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tables/table9.xml" ContentType="application/vnd.openxmlformats-officedocument.spreadsheetml.table+xml"/>
  <Override PartName="/xl/drawings/drawing9.xml" ContentType="application/vnd.openxmlformats-officedocument.drawing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2940" yWindow="2460" windowWidth="19005" windowHeight="5505" tabRatio="893" firstSheet="1" activeTab="1"/>
  </bookViews>
  <sheets>
    <sheet name="Reference" sheetId="3" state="hidden" r:id="rId1"/>
    <sheet name="Control" sheetId="4" r:id="rId2"/>
    <sheet name="Breakdown" sheetId="21" r:id="rId3"/>
    <sheet name="StaticChecks" sheetId="19" r:id="rId4"/>
    <sheet name="Calculation" sheetId="16" r:id="rId5"/>
    <sheet name="B1Export" sheetId="17" r:id="rId6"/>
    <sheet name="B1Returns" sheetId="18" r:id="rId7"/>
    <sheet name="DTS" sheetId="7" r:id="rId8"/>
    <sheet name="iPasStaticData" sheetId="6" r:id="rId9"/>
    <sheet name="BbergData" sheetId="9" r:id="rId10"/>
    <sheet name="ISIN_StaticData" sheetId="14" r:id="rId11"/>
    <sheet name="ISIN_Classification" sheetId="12" r:id="rId12"/>
    <sheet name="ConfigTables" sheetId="20" state="hidden" r:id="rId13"/>
  </sheets>
  <functionGroups builtInGroupCount="17"/>
  <definedNames>
    <definedName name="_xlnm._FilterDatabase" localSheetId="1" hidden="1">Control!#REF!</definedName>
    <definedName name="_xlnm._FilterDatabase" localSheetId="7" hidden="1">DTS!$C$1:$J$344</definedName>
    <definedName name="_xlnm._FilterDatabase" localSheetId="8" hidden="1">iPasStaticData!$E$1:$Z$252</definedName>
    <definedName name="BMK_Credit_Adj">Calculation!$B$26</definedName>
    <definedName name="FundList">tblFund_Code[Fund Code/Name]</definedName>
    <definedName name="PTF_Credit_Adj">Calculation!$B$24</definedName>
    <definedName name="rngB1Return_bmk_tol">B1Returns!$B$2</definedName>
    <definedName name="rngB1Return_ptf_tol">B1Returns!$B$1</definedName>
    <definedName name="rngBBIsin">tblBbergDataLink[[#Headers],[ISIN]]</definedName>
    <definedName name="rngBenchmark">Control!$E$12</definedName>
    <definedName name="rngBMKExportWeight">B1Export!$D$1</definedName>
    <definedName name="rngBOneDataResults">B1Export!$F$1</definedName>
    <definedName name="rngCCY">Control!$E$15</definedName>
    <definedName name="rngClassification">Control!$E$14</definedName>
    <definedName name="rngDBEnvironment">Control!$D$31</definedName>
    <definedName name="rngDBEnvironmentTest">Control!$E$31</definedName>
    <definedName name="rngDTSCheck">Calculation!$C$20</definedName>
    <definedName name="rngDTSOutput">DTS!$C$2</definedName>
    <definedName name="rngEndDate">Control!$E$7</definedName>
    <definedName name="rngEndMonth">Control!$E$5</definedName>
    <definedName name="rngEndYear">Control!$E$6</definedName>
    <definedName name="rngFiaStaticDataResults">tblGetStaticData[[#Headers],[ISIN]]</definedName>
    <definedName name="rngFundCode">Control!$E$20</definedName>
    <definedName name="rngFundCodeandName">Control!$E$3</definedName>
    <definedName name="rngFundCodeDTS">Control!$E$16</definedName>
    <definedName name="rngFundInformation">Control!$D$10</definedName>
    <definedName name="rngFundName">Control!$E$11</definedName>
    <definedName name="RngHolidays">Reference!$A$1:$A$768</definedName>
    <definedName name="rngMainCode">Control!$E$19</definedName>
    <definedName name="rngPeriod">Control!$E$4</definedName>
    <definedName name="rngPringiPadClassfication">tblISINClassificationLink[[#Headers],[iPasL1]]</definedName>
    <definedName name="rngPrintFromIPas">tblISINClassificationLink[[#Headers],[iPasL1]]</definedName>
    <definedName name="rngPTFExportWeight">B1Export!$B$1</definedName>
    <definedName name="rngStartDate">Control!$E$8</definedName>
    <definedName name="rngStoreToiPasL1">tblISINClassificationLink[[#Headers],[StoreToiPasL1]]</definedName>
    <definedName name="rngStrategy">Control!$E$13</definedName>
    <definedName name="rngTemplate">Control!$E$18</definedName>
    <definedName name="rngTotalDTSweight">Calculation!#REF!</definedName>
    <definedName name="rngValuatedOnWeekend">Control!#REF!</definedName>
    <definedName name="rngVendor">Control!$E$17</definedName>
  </definedNames>
  <calcPr calcId="145621"/>
</workbook>
</file>

<file path=xl/calcChain.xml><?xml version="1.0" encoding="utf-8"?>
<calcChain xmlns="http://schemas.openxmlformats.org/spreadsheetml/2006/main">
  <c r="Q2" i="12" l="1"/>
  <c r="P2" i="12"/>
  <c r="O2" i="12"/>
  <c r="AO2" i="14"/>
  <c r="AN2" i="14"/>
  <c r="AG2" i="14"/>
  <c r="AF2" i="14"/>
  <c r="AB2" i="14"/>
  <c r="AA2" i="14"/>
  <c r="X2" i="14"/>
  <c r="W2" i="14"/>
  <c r="R2" i="14"/>
  <c r="Q2" i="14"/>
  <c r="M2" i="14"/>
  <c r="L2" i="14"/>
  <c r="D2" i="14" s="1"/>
  <c r="D18" i="19"/>
  <c r="D19" i="19"/>
  <c r="D20" i="19"/>
  <c r="F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AN2" i="16"/>
  <c r="AF2" i="16"/>
  <c r="AG2" i="16" s="1"/>
  <c r="AC2" i="16"/>
  <c r="S2" i="16"/>
  <c r="Q2" i="16"/>
  <c r="N2" i="16"/>
  <c r="J2" i="16"/>
  <c r="I2" i="16"/>
  <c r="G2" i="16"/>
  <c r="F2" i="16"/>
  <c r="E2" i="16"/>
  <c r="E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72" i="16"/>
  <c r="E73" i="16"/>
  <c r="E74" i="16"/>
  <c r="E75" i="16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96" i="16"/>
  <c r="E97" i="16"/>
  <c r="E98" i="16"/>
  <c r="E99" i="16"/>
  <c r="E100" i="16"/>
  <c r="E101" i="16"/>
  <c r="E102" i="16"/>
  <c r="E103" i="16"/>
  <c r="E104" i="16"/>
  <c r="E105" i="16"/>
  <c r="E106" i="16"/>
  <c r="E107" i="16"/>
  <c r="E108" i="16"/>
  <c r="E109" i="16"/>
  <c r="E110" i="16"/>
  <c r="E111" i="16"/>
  <c r="E112" i="16"/>
  <c r="E113" i="16"/>
  <c r="E114" i="16"/>
  <c r="E115" i="16"/>
  <c r="E116" i="16"/>
  <c r="E117" i="16"/>
  <c r="E118" i="16"/>
  <c r="E119" i="16"/>
  <c r="E120" i="16"/>
  <c r="E121" i="16"/>
  <c r="E122" i="16"/>
  <c r="E123" i="16"/>
  <c r="E124" i="16"/>
  <c r="E125" i="16"/>
  <c r="E126" i="16"/>
  <c r="E127" i="16"/>
  <c r="E128" i="16"/>
  <c r="E129" i="16"/>
  <c r="E130" i="16"/>
  <c r="E131" i="16"/>
  <c r="E132" i="16"/>
  <c r="E133" i="16"/>
  <c r="E134" i="16"/>
  <c r="E135" i="16"/>
  <c r="E136" i="16"/>
  <c r="E137" i="16"/>
  <c r="E138" i="16"/>
  <c r="E139" i="16"/>
  <c r="E140" i="16"/>
  <c r="E141" i="16"/>
  <c r="E142" i="16"/>
  <c r="E143" i="16"/>
  <c r="E144" i="16"/>
  <c r="E145" i="16"/>
  <c r="E146" i="16"/>
  <c r="E147" i="16"/>
  <c r="E148" i="16"/>
  <c r="E149" i="16"/>
  <c r="E150" i="16"/>
  <c r="E151" i="16"/>
  <c r="E152" i="16"/>
  <c r="E153" i="16"/>
  <c r="E154" i="16"/>
  <c r="E155" i="16"/>
  <c r="E156" i="16"/>
  <c r="E157" i="16"/>
  <c r="E158" i="16"/>
  <c r="E159" i="16"/>
  <c r="E160" i="16"/>
  <c r="E161" i="16"/>
  <c r="E162" i="16"/>
  <c r="E163" i="16"/>
  <c r="E164" i="16"/>
  <c r="E165" i="16"/>
  <c r="E166" i="16"/>
  <c r="E167" i="16"/>
  <c r="E168" i="16"/>
  <c r="E169" i="16"/>
  <c r="E170" i="16"/>
  <c r="E171" i="16"/>
  <c r="E172" i="16"/>
  <c r="E173" i="16"/>
  <c r="E174" i="16"/>
  <c r="E175" i="16"/>
  <c r="E176" i="16"/>
  <c r="E177" i="16"/>
  <c r="E178" i="16"/>
  <c r="E179" i="16"/>
  <c r="E180" i="16"/>
  <c r="E181" i="16"/>
  <c r="E182" i="16"/>
  <c r="E183" i="16"/>
  <c r="E184" i="16"/>
  <c r="E185" i="16"/>
  <c r="E186" i="16"/>
  <c r="E187" i="16"/>
  <c r="E188" i="16"/>
  <c r="E189" i="16"/>
  <c r="E190" i="16"/>
  <c r="E191" i="16"/>
  <c r="E192" i="16"/>
  <c r="E193" i="16"/>
  <c r="E194" i="16"/>
  <c r="E195" i="16"/>
  <c r="E196" i="16"/>
  <c r="E197" i="16"/>
  <c r="E198" i="16"/>
  <c r="E199" i="16"/>
  <c r="E200" i="16"/>
  <c r="E201" i="16"/>
  <c r="E202" i="16"/>
  <c r="E203" i="16"/>
  <c r="E204" i="16"/>
  <c r="E205" i="16"/>
  <c r="E206" i="16"/>
  <c r="E207" i="16"/>
  <c r="E208" i="16"/>
  <c r="E209" i="16"/>
  <c r="E210" i="16"/>
  <c r="E211" i="16"/>
  <c r="E212" i="16"/>
  <c r="E213" i="16"/>
  <c r="E214" i="16"/>
  <c r="E215" i="16"/>
  <c r="E216" i="16"/>
  <c r="E217" i="16"/>
  <c r="E218" i="16"/>
  <c r="E219" i="16"/>
  <c r="E220" i="16"/>
  <c r="E221" i="16"/>
  <c r="E222" i="16"/>
  <c r="E223" i="16"/>
  <c r="E224" i="16"/>
  <c r="E225" i="16"/>
  <c r="E226" i="16"/>
  <c r="E227" i="16"/>
  <c r="E228" i="16"/>
  <c r="E229" i="16"/>
  <c r="E230" i="16"/>
  <c r="E231" i="16"/>
  <c r="E232" i="16"/>
  <c r="E233" i="16"/>
  <c r="E234" i="16"/>
  <c r="E235" i="16"/>
  <c r="E236" i="16"/>
  <c r="E237" i="16"/>
  <c r="E238" i="16"/>
  <c r="E239" i="16"/>
  <c r="E240" i="16"/>
  <c r="E241" i="16"/>
  <c r="E242" i="16"/>
  <c r="E243" i="16"/>
  <c r="E244" i="16"/>
  <c r="E245" i="16"/>
  <c r="E246" i="16"/>
  <c r="E247" i="16"/>
  <c r="E248" i="16"/>
  <c r="E249" i="16"/>
  <c r="E250" i="16"/>
  <c r="E251" i="16"/>
  <c r="E252" i="16"/>
  <c r="E253" i="16"/>
  <c r="E254" i="16"/>
  <c r="F3" i="16"/>
  <c r="F4" i="16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2" i="16"/>
  <c r="F73" i="16"/>
  <c r="F74" i="16"/>
  <c r="F75" i="16"/>
  <c r="F76" i="16"/>
  <c r="F77" i="16"/>
  <c r="F78" i="16"/>
  <c r="F79" i="16"/>
  <c r="F80" i="16"/>
  <c r="F81" i="16"/>
  <c r="F82" i="16"/>
  <c r="F83" i="16"/>
  <c r="F84" i="16"/>
  <c r="F85" i="16"/>
  <c r="F86" i="16"/>
  <c r="F87" i="16"/>
  <c r="F88" i="16"/>
  <c r="F89" i="16"/>
  <c r="F90" i="16"/>
  <c r="F91" i="16"/>
  <c r="F92" i="16"/>
  <c r="F93" i="16"/>
  <c r="F94" i="16"/>
  <c r="F95" i="16"/>
  <c r="F96" i="16"/>
  <c r="F97" i="16"/>
  <c r="F98" i="16"/>
  <c r="F99" i="16"/>
  <c r="F100" i="16"/>
  <c r="F101" i="16"/>
  <c r="F102" i="16"/>
  <c r="F103" i="16"/>
  <c r="F104" i="16"/>
  <c r="F105" i="16"/>
  <c r="F106" i="16"/>
  <c r="F107" i="16"/>
  <c r="F108" i="16"/>
  <c r="F109" i="16"/>
  <c r="F110" i="16"/>
  <c r="F111" i="16"/>
  <c r="F112" i="16"/>
  <c r="F113" i="16"/>
  <c r="F114" i="16"/>
  <c r="F115" i="16"/>
  <c r="F116" i="16"/>
  <c r="F117" i="16"/>
  <c r="F118" i="16"/>
  <c r="F119" i="16"/>
  <c r="F120" i="16"/>
  <c r="F121" i="16"/>
  <c r="F122" i="16"/>
  <c r="F123" i="16"/>
  <c r="F124" i="16"/>
  <c r="F125" i="16"/>
  <c r="F126" i="16"/>
  <c r="F127" i="16"/>
  <c r="F128" i="16"/>
  <c r="F129" i="16"/>
  <c r="F130" i="16"/>
  <c r="F131" i="16"/>
  <c r="F132" i="16"/>
  <c r="F133" i="16"/>
  <c r="F134" i="16"/>
  <c r="F135" i="16"/>
  <c r="F136" i="16"/>
  <c r="F137" i="16"/>
  <c r="F138" i="16"/>
  <c r="F139" i="16"/>
  <c r="F140" i="16"/>
  <c r="F141" i="16"/>
  <c r="F142" i="16"/>
  <c r="F143" i="16"/>
  <c r="F144" i="16"/>
  <c r="F145" i="16"/>
  <c r="F146" i="16"/>
  <c r="F147" i="16"/>
  <c r="F148" i="16"/>
  <c r="F149" i="16"/>
  <c r="F150" i="16"/>
  <c r="F151" i="16"/>
  <c r="F152" i="16"/>
  <c r="F153" i="16"/>
  <c r="F154" i="16"/>
  <c r="F155" i="16"/>
  <c r="F156" i="16"/>
  <c r="F157" i="16"/>
  <c r="F158" i="16"/>
  <c r="F159" i="16"/>
  <c r="F160" i="16"/>
  <c r="F161" i="16"/>
  <c r="F162" i="16"/>
  <c r="F163" i="16"/>
  <c r="F164" i="16"/>
  <c r="F165" i="16"/>
  <c r="F166" i="16"/>
  <c r="F167" i="16"/>
  <c r="F168" i="16"/>
  <c r="F169" i="16"/>
  <c r="F170" i="16"/>
  <c r="F171" i="16"/>
  <c r="F172" i="16"/>
  <c r="F173" i="16"/>
  <c r="F174" i="16"/>
  <c r="F175" i="16"/>
  <c r="F176" i="16"/>
  <c r="F177" i="16"/>
  <c r="F178" i="16"/>
  <c r="F179" i="16"/>
  <c r="F180" i="16"/>
  <c r="F181" i="16"/>
  <c r="F182" i="16"/>
  <c r="F183" i="16"/>
  <c r="F184" i="16"/>
  <c r="F185" i="16"/>
  <c r="F186" i="16"/>
  <c r="F187" i="16"/>
  <c r="F188" i="16"/>
  <c r="F189" i="16"/>
  <c r="F190" i="16"/>
  <c r="F191" i="16"/>
  <c r="F192" i="16"/>
  <c r="F193" i="16"/>
  <c r="F194" i="16"/>
  <c r="F195" i="16"/>
  <c r="F196" i="16"/>
  <c r="F197" i="16"/>
  <c r="F198" i="16"/>
  <c r="F199" i="16"/>
  <c r="F200" i="16"/>
  <c r="F201" i="16"/>
  <c r="F202" i="16"/>
  <c r="F203" i="16"/>
  <c r="F204" i="16"/>
  <c r="F205" i="16"/>
  <c r="F206" i="16"/>
  <c r="F207" i="16"/>
  <c r="F208" i="16"/>
  <c r="F209" i="16"/>
  <c r="F210" i="16"/>
  <c r="F211" i="16"/>
  <c r="F212" i="16"/>
  <c r="F213" i="16"/>
  <c r="F214" i="16"/>
  <c r="F215" i="16"/>
  <c r="F216" i="16"/>
  <c r="F217" i="16"/>
  <c r="F218" i="16"/>
  <c r="F219" i="16"/>
  <c r="F220" i="16"/>
  <c r="F221" i="16"/>
  <c r="F222" i="16"/>
  <c r="F223" i="16"/>
  <c r="F224" i="16"/>
  <c r="F225" i="16"/>
  <c r="F226" i="16"/>
  <c r="F227" i="16"/>
  <c r="F228" i="16"/>
  <c r="F229" i="16"/>
  <c r="F230" i="16"/>
  <c r="F231" i="16"/>
  <c r="F232" i="16"/>
  <c r="F233" i="16"/>
  <c r="F234" i="16"/>
  <c r="F235" i="16"/>
  <c r="F236" i="16"/>
  <c r="F237" i="16"/>
  <c r="F238" i="16"/>
  <c r="F239" i="16"/>
  <c r="F240" i="16"/>
  <c r="F241" i="16"/>
  <c r="F242" i="16"/>
  <c r="F243" i="16"/>
  <c r="F244" i="16"/>
  <c r="F245" i="16"/>
  <c r="F246" i="16"/>
  <c r="F247" i="16"/>
  <c r="F248" i="16"/>
  <c r="F249" i="16"/>
  <c r="F250" i="16"/>
  <c r="F251" i="16"/>
  <c r="F252" i="16"/>
  <c r="F253" i="16"/>
  <c r="F254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I3" i="16"/>
  <c r="H3" i="16" s="1"/>
  <c r="I4" i="16"/>
  <c r="H4" i="16" s="1"/>
  <c r="I5" i="16"/>
  <c r="H5" i="16" s="1"/>
  <c r="I6" i="16"/>
  <c r="H6" i="16" s="1"/>
  <c r="I7" i="16"/>
  <c r="H7" i="16" s="1"/>
  <c r="I8" i="16"/>
  <c r="H8" i="16" s="1"/>
  <c r="I9" i="16"/>
  <c r="H9" i="16" s="1"/>
  <c r="I10" i="16"/>
  <c r="H10" i="16" s="1"/>
  <c r="I11" i="16"/>
  <c r="H11" i="16" s="1"/>
  <c r="I12" i="16"/>
  <c r="H12" i="16" s="1"/>
  <c r="I13" i="16"/>
  <c r="H13" i="16" s="1"/>
  <c r="I14" i="16"/>
  <c r="H14" i="16" s="1"/>
  <c r="I15" i="16"/>
  <c r="H15" i="16" s="1"/>
  <c r="I16" i="16"/>
  <c r="H16" i="16" s="1"/>
  <c r="I17" i="16"/>
  <c r="H17" i="16" s="1"/>
  <c r="I18" i="16"/>
  <c r="H18" i="16" s="1"/>
  <c r="I19" i="16"/>
  <c r="H19" i="16" s="1"/>
  <c r="I20" i="16"/>
  <c r="H20" i="16" s="1"/>
  <c r="I21" i="16"/>
  <c r="H21" i="16" s="1"/>
  <c r="I22" i="16"/>
  <c r="H22" i="16" s="1"/>
  <c r="I23" i="16"/>
  <c r="H23" i="16" s="1"/>
  <c r="I24" i="16"/>
  <c r="H24" i="16" s="1"/>
  <c r="I25" i="16"/>
  <c r="H25" i="16" s="1"/>
  <c r="I26" i="16"/>
  <c r="H26" i="16" s="1"/>
  <c r="I27" i="16"/>
  <c r="H27" i="16" s="1"/>
  <c r="I28" i="16"/>
  <c r="H28" i="16" s="1"/>
  <c r="I29" i="16"/>
  <c r="H29" i="16" s="1"/>
  <c r="I30" i="16"/>
  <c r="H30" i="16" s="1"/>
  <c r="I31" i="16"/>
  <c r="H31" i="16" s="1"/>
  <c r="I32" i="16"/>
  <c r="H32" i="16" s="1"/>
  <c r="I33" i="16"/>
  <c r="H33" i="16" s="1"/>
  <c r="I34" i="16"/>
  <c r="H34" i="16" s="1"/>
  <c r="I35" i="16"/>
  <c r="H35" i="16" s="1"/>
  <c r="I36" i="16"/>
  <c r="H36" i="16" s="1"/>
  <c r="I37" i="16"/>
  <c r="H37" i="16" s="1"/>
  <c r="I38" i="16"/>
  <c r="H38" i="16" s="1"/>
  <c r="I39" i="16"/>
  <c r="H39" i="16" s="1"/>
  <c r="I40" i="16"/>
  <c r="H40" i="16" s="1"/>
  <c r="I41" i="16"/>
  <c r="H41" i="16" s="1"/>
  <c r="I42" i="16"/>
  <c r="H42" i="16" s="1"/>
  <c r="I43" i="16"/>
  <c r="H43" i="16" s="1"/>
  <c r="I44" i="16"/>
  <c r="H44" i="16" s="1"/>
  <c r="I45" i="16"/>
  <c r="H45" i="16" s="1"/>
  <c r="I46" i="16"/>
  <c r="H46" i="16" s="1"/>
  <c r="I47" i="16"/>
  <c r="H47" i="16" s="1"/>
  <c r="I48" i="16"/>
  <c r="H48" i="16" s="1"/>
  <c r="I49" i="16"/>
  <c r="H49" i="16" s="1"/>
  <c r="I50" i="16"/>
  <c r="H50" i="16" s="1"/>
  <c r="I51" i="16"/>
  <c r="H51" i="16" s="1"/>
  <c r="I52" i="16"/>
  <c r="H52" i="16" s="1"/>
  <c r="I53" i="16"/>
  <c r="H53" i="16" s="1"/>
  <c r="I54" i="16"/>
  <c r="H54" i="16" s="1"/>
  <c r="I55" i="16"/>
  <c r="H55" i="16" s="1"/>
  <c r="I56" i="16"/>
  <c r="H56" i="16" s="1"/>
  <c r="I57" i="16"/>
  <c r="H57" i="16" s="1"/>
  <c r="I58" i="16"/>
  <c r="H58" i="16" s="1"/>
  <c r="I59" i="16"/>
  <c r="H59" i="16" s="1"/>
  <c r="I60" i="16"/>
  <c r="H60" i="16" s="1"/>
  <c r="I61" i="16"/>
  <c r="H61" i="16" s="1"/>
  <c r="I62" i="16"/>
  <c r="H62" i="16" s="1"/>
  <c r="I63" i="16"/>
  <c r="H63" i="16" s="1"/>
  <c r="I64" i="16"/>
  <c r="H64" i="16" s="1"/>
  <c r="I65" i="16"/>
  <c r="H65" i="16" s="1"/>
  <c r="I66" i="16"/>
  <c r="H66" i="16" s="1"/>
  <c r="I67" i="16"/>
  <c r="H67" i="16" s="1"/>
  <c r="I68" i="16"/>
  <c r="H68" i="16" s="1"/>
  <c r="I69" i="16"/>
  <c r="H69" i="16" s="1"/>
  <c r="I70" i="16"/>
  <c r="H70" i="16" s="1"/>
  <c r="I71" i="16"/>
  <c r="H71" i="16" s="1"/>
  <c r="I72" i="16"/>
  <c r="H72" i="16" s="1"/>
  <c r="I73" i="16"/>
  <c r="H73" i="16" s="1"/>
  <c r="I74" i="16"/>
  <c r="H74" i="16" s="1"/>
  <c r="I75" i="16"/>
  <c r="H75" i="16" s="1"/>
  <c r="I76" i="16"/>
  <c r="H76" i="16" s="1"/>
  <c r="I77" i="16"/>
  <c r="H77" i="16" s="1"/>
  <c r="I78" i="16"/>
  <c r="H78" i="16" s="1"/>
  <c r="I79" i="16"/>
  <c r="H79" i="16" s="1"/>
  <c r="I80" i="16"/>
  <c r="H80" i="16" s="1"/>
  <c r="I81" i="16"/>
  <c r="H81" i="16" s="1"/>
  <c r="I82" i="16"/>
  <c r="H82" i="16" s="1"/>
  <c r="I83" i="16"/>
  <c r="H83" i="16" s="1"/>
  <c r="I84" i="16"/>
  <c r="H84" i="16" s="1"/>
  <c r="I85" i="16"/>
  <c r="H85" i="16" s="1"/>
  <c r="I86" i="16"/>
  <c r="H86" i="16" s="1"/>
  <c r="I87" i="16"/>
  <c r="H87" i="16" s="1"/>
  <c r="I88" i="16"/>
  <c r="H88" i="16" s="1"/>
  <c r="I89" i="16"/>
  <c r="H89" i="16" s="1"/>
  <c r="I90" i="16"/>
  <c r="H90" i="16" s="1"/>
  <c r="I91" i="16"/>
  <c r="H91" i="16" s="1"/>
  <c r="I92" i="16"/>
  <c r="H92" i="16" s="1"/>
  <c r="I93" i="16"/>
  <c r="H93" i="16" s="1"/>
  <c r="I94" i="16"/>
  <c r="H94" i="16" s="1"/>
  <c r="I95" i="16"/>
  <c r="H95" i="16" s="1"/>
  <c r="I96" i="16"/>
  <c r="H96" i="16" s="1"/>
  <c r="I97" i="16"/>
  <c r="H97" i="16" s="1"/>
  <c r="I98" i="16"/>
  <c r="H98" i="16" s="1"/>
  <c r="I99" i="16"/>
  <c r="H99" i="16" s="1"/>
  <c r="I100" i="16"/>
  <c r="H100" i="16" s="1"/>
  <c r="I101" i="16"/>
  <c r="H101" i="16" s="1"/>
  <c r="I102" i="16"/>
  <c r="H102" i="16" s="1"/>
  <c r="I103" i="16"/>
  <c r="H103" i="16" s="1"/>
  <c r="I104" i="16"/>
  <c r="H104" i="16" s="1"/>
  <c r="I105" i="16"/>
  <c r="H105" i="16" s="1"/>
  <c r="I106" i="16"/>
  <c r="H106" i="16" s="1"/>
  <c r="I107" i="16"/>
  <c r="H107" i="16" s="1"/>
  <c r="I108" i="16"/>
  <c r="H108" i="16" s="1"/>
  <c r="I109" i="16"/>
  <c r="H109" i="16" s="1"/>
  <c r="I110" i="16"/>
  <c r="H110" i="16" s="1"/>
  <c r="I111" i="16"/>
  <c r="H111" i="16" s="1"/>
  <c r="I112" i="16"/>
  <c r="H112" i="16" s="1"/>
  <c r="I113" i="16"/>
  <c r="H113" i="16" s="1"/>
  <c r="I114" i="16"/>
  <c r="H114" i="16" s="1"/>
  <c r="I115" i="16"/>
  <c r="H115" i="16" s="1"/>
  <c r="I116" i="16"/>
  <c r="H116" i="16" s="1"/>
  <c r="I117" i="16"/>
  <c r="H117" i="16" s="1"/>
  <c r="I118" i="16"/>
  <c r="H118" i="16" s="1"/>
  <c r="I119" i="16"/>
  <c r="H119" i="16" s="1"/>
  <c r="I120" i="16"/>
  <c r="H120" i="16" s="1"/>
  <c r="I121" i="16"/>
  <c r="H121" i="16" s="1"/>
  <c r="I122" i="16"/>
  <c r="H122" i="16" s="1"/>
  <c r="I123" i="16"/>
  <c r="H123" i="16" s="1"/>
  <c r="I124" i="16"/>
  <c r="H124" i="16" s="1"/>
  <c r="I125" i="16"/>
  <c r="H125" i="16" s="1"/>
  <c r="I126" i="16"/>
  <c r="H126" i="16" s="1"/>
  <c r="I127" i="16"/>
  <c r="H127" i="16" s="1"/>
  <c r="I128" i="16"/>
  <c r="H128" i="16" s="1"/>
  <c r="I129" i="16"/>
  <c r="H129" i="16" s="1"/>
  <c r="I130" i="16"/>
  <c r="H130" i="16" s="1"/>
  <c r="I131" i="16"/>
  <c r="H131" i="16" s="1"/>
  <c r="I132" i="16"/>
  <c r="H132" i="16" s="1"/>
  <c r="I133" i="16"/>
  <c r="H133" i="16" s="1"/>
  <c r="I134" i="16"/>
  <c r="H134" i="16" s="1"/>
  <c r="I135" i="16"/>
  <c r="H135" i="16" s="1"/>
  <c r="I136" i="16"/>
  <c r="H136" i="16" s="1"/>
  <c r="I137" i="16"/>
  <c r="H137" i="16" s="1"/>
  <c r="I138" i="16"/>
  <c r="H138" i="16" s="1"/>
  <c r="I139" i="16"/>
  <c r="H139" i="16" s="1"/>
  <c r="I140" i="16"/>
  <c r="H140" i="16" s="1"/>
  <c r="I141" i="16"/>
  <c r="I142" i="16"/>
  <c r="H142" i="16" s="1"/>
  <c r="I143" i="16"/>
  <c r="H143" i="16" s="1"/>
  <c r="I144" i="16"/>
  <c r="H144" i="16" s="1"/>
  <c r="I145" i="16"/>
  <c r="H145" i="16" s="1"/>
  <c r="I146" i="16"/>
  <c r="H146" i="16" s="1"/>
  <c r="I147" i="16"/>
  <c r="H147" i="16" s="1"/>
  <c r="I148" i="16"/>
  <c r="H148" i="16" s="1"/>
  <c r="I149" i="16"/>
  <c r="H149" i="16" s="1"/>
  <c r="I150" i="16"/>
  <c r="H150" i="16" s="1"/>
  <c r="I151" i="16"/>
  <c r="H151" i="16" s="1"/>
  <c r="I152" i="16"/>
  <c r="H152" i="16" s="1"/>
  <c r="I153" i="16"/>
  <c r="H153" i="16" s="1"/>
  <c r="I154" i="16"/>
  <c r="H154" i="16" s="1"/>
  <c r="I155" i="16"/>
  <c r="H155" i="16" s="1"/>
  <c r="I156" i="16"/>
  <c r="H156" i="16" s="1"/>
  <c r="I157" i="16"/>
  <c r="H157" i="16" s="1"/>
  <c r="I158" i="16"/>
  <c r="H158" i="16" s="1"/>
  <c r="I159" i="16"/>
  <c r="H159" i="16" s="1"/>
  <c r="I160" i="16"/>
  <c r="H160" i="16" s="1"/>
  <c r="I161" i="16"/>
  <c r="H161" i="16" s="1"/>
  <c r="I162" i="16"/>
  <c r="H162" i="16" s="1"/>
  <c r="I163" i="16"/>
  <c r="H163" i="16" s="1"/>
  <c r="I164" i="16"/>
  <c r="H164" i="16" s="1"/>
  <c r="I165" i="16"/>
  <c r="H165" i="16" s="1"/>
  <c r="I166" i="16"/>
  <c r="H166" i="16" s="1"/>
  <c r="I167" i="16"/>
  <c r="H167" i="16" s="1"/>
  <c r="I168" i="16"/>
  <c r="H168" i="16" s="1"/>
  <c r="I169" i="16"/>
  <c r="H169" i="16" s="1"/>
  <c r="I170" i="16"/>
  <c r="H170" i="16" s="1"/>
  <c r="I171" i="16"/>
  <c r="H171" i="16" s="1"/>
  <c r="I172" i="16"/>
  <c r="H172" i="16" s="1"/>
  <c r="I173" i="16"/>
  <c r="H173" i="16" s="1"/>
  <c r="I174" i="16"/>
  <c r="H174" i="16" s="1"/>
  <c r="I175" i="16"/>
  <c r="H175" i="16" s="1"/>
  <c r="I176" i="16"/>
  <c r="H176" i="16" s="1"/>
  <c r="I177" i="16"/>
  <c r="H177" i="16" s="1"/>
  <c r="I178" i="16"/>
  <c r="H178" i="16" s="1"/>
  <c r="I179" i="16"/>
  <c r="H179" i="16" s="1"/>
  <c r="I180" i="16"/>
  <c r="H180" i="16" s="1"/>
  <c r="I181" i="16"/>
  <c r="H181" i="16" s="1"/>
  <c r="I182" i="16"/>
  <c r="H182" i="16" s="1"/>
  <c r="I183" i="16"/>
  <c r="H183" i="16" s="1"/>
  <c r="I184" i="16"/>
  <c r="H184" i="16" s="1"/>
  <c r="I185" i="16"/>
  <c r="H185" i="16" s="1"/>
  <c r="I186" i="16"/>
  <c r="H186" i="16" s="1"/>
  <c r="I187" i="16"/>
  <c r="I188" i="16"/>
  <c r="H188" i="16" s="1"/>
  <c r="I189" i="16"/>
  <c r="H189" i="16" s="1"/>
  <c r="I190" i="16"/>
  <c r="H190" i="16" s="1"/>
  <c r="I191" i="16"/>
  <c r="I192" i="16"/>
  <c r="H192" i="16" s="1"/>
  <c r="I193" i="16"/>
  <c r="H193" i="16" s="1"/>
  <c r="I194" i="16"/>
  <c r="H194" i="16" s="1"/>
  <c r="I195" i="16"/>
  <c r="I196" i="16"/>
  <c r="H196" i="16" s="1"/>
  <c r="I197" i="16"/>
  <c r="H197" i="16" s="1"/>
  <c r="I198" i="16"/>
  <c r="H198" i="16" s="1"/>
  <c r="I199" i="16"/>
  <c r="I200" i="16"/>
  <c r="H200" i="16" s="1"/>
  <c r="I201" i="16"/>
  <c r="H201" i="16" s="1"/>
  <c r="I202" i="16"/>
  <c r="H202" i="16" s="1"/>
  <c r="I203" i="16"/>
  <c r="I204" i="16"/>
  <c r="H204" i="16" s="1"/>
  <c r="I205" i="16"/>
  <c r="I206" i="16"/>
  <c r="H206" i="16" s="1"/>
  <c r="I207" i="16"/>
  <c r="I208" i="16"/>
  <c r="H208" i="16" s="1"/>
  <c r="I209" i="16"/>
  <c r="H209" i="16" s="1"/>
  <c r="I210" i="16"/>
  <c r="H210" i="16" s="1"/>
  <c r="I211" i="16"/>
  <c r="I212" i="16"/>
  <c r="H212" i="16" s="1"/>
  <c r="I213" i="16"/>
  <c r="H213" i="16" s="1"/>
  <c r="I214" i="16"/>
  <c r="H214" i="16" s="1"/>
  <c r="I215" i="16"/>
  <c r="I216" i="16"/>
  <c r="H216" i="16" s="1"/>
  <c r="I217" i="16"/>
  <c r="H217" i="16" s="1"/>
  <c r="I218" i="16"/>
  <c r="H218" i="16" s="1"/>
  <c r="I219" i="16"/>
  <c r="I220" i="16"/>
  <c r="H220" i="16" s="1"/>
  <c r="I221" i="16"/>
  <c r="H221" i="16" s="1"/>
  <c r="I222" i="16"/>
  <c r="H222" i="16" s="1"/>
  <c r="I223" i="16"/>
  <c r="H223" i="16" s="1"/>
  <c r="I224" i="16"/>
  <c r="H224" i="16" s="1"/>
  <c r="I225" i="16"/>
  <c r="H225" i="16" s="1"/>
  <c r="I226" i="16"/>
  <c r="H226" i="16" s="1"/>
  <c r="I227" i="16"/>
  <c r="H227" i="16" s="1"/>
  <c r="I228" i="16"/>
  <c r="H228" i="16" s="1"/>
  <c r="I229" i="16"/>
  <c r="H229" i="16" s="1"/>
  <c r="I230" i="16"/>
  <c r="H230" i="16" s="1"/>
  <c r="I231" i="16"/>
  <c r="H231" i="16" s="1"/>
  <c r="I232" i="16"/>
  <c r="H232" i="16" s="1"/>
  <c r="I233" i="16"/>
  <c r="H233" i="16" s="1"/>
  <c r="I234" i="16"/>
  <c r="H234" i="16" s="1"/>
  <c r="I235" i="16"/>
  <c r="H235" i="16" s="1"/>
  <c r="I236" i="16"/>
  <c r="H236" i="16" s="1"/>
  <c r="I237" i="16"/>
  <c r="H237" i="16" s="1"/>
  <c r="I238" i="16"/>
  <c r="H238" i="16" s="1"/>
  <c r="I239" i="16"/>
  <c r="H239" i="16" s="1"/>
  <c r="I240" i="16"/>
  <c r="H240" i="16" s="1"/>
  <c r="I241" i="16"/>
  <c r="H241" i="16" s="1"/>
  <c r="I242" i="16"/>
  <c r="H242" i="16" s="1"/>
  <c r="I243" i="16"/>
  <c r="H243" i="16" s="1"/>
  <c r="I244" i="16"/>
  <c r="H244" i="16" s="1"/>
  <c r="I245" i="16"/>
  <c r="H245" i="16" s="1"/>
  <c r="I246" i="16"/>
  <c r="H246" i="16" s="1"/>
  <c r="I247" i="16"/>
  <c r="H247" i="16" s="1"/>
  <c r="I248" i="16"/>
  <c r="H248" i="16" s="1"/>
  <c r="I249" i="16"/>
  <c r="H249" i="16" s="1"/>
  <c r="I250" i="16"/>
  <c r="H250" i="16" s="1"/>
  <c r="I251" i="16"/>
  <c r="H251" i="16" s="1"/>
  <c r="I252" i="16"/>
  <c r="H252" i="16" s="1"/>
  <c r="I253" i="16"/>
  <c r="H253" i="16" s="1"/>
  <c r="I254" i="16"/>
  <c r="H254" i="16" s="1"/>
  <c r="J3" i="16"/>
  <c r="J4" i="16"/>
  <c r="J5" i="16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J19" i="16"/>
  <c r="J20" i="16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60" i="16"/>
  <c r="J61" i="16"/>
  <c r="J62" i="16"/>
  <c r="J63" i="16"/>
  <c r="J64" i="16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83" i="16"/>
  <c r="J84" i="16"/>
  <c r="J85" i="16"/>
  <c r="J86" i="16"/>
  <c r="J87" i="16"/>
  <c r="J88" i="16"/>
  <c r="J89" i="16"/>
  <c r="J90" i="16"/>
  <c r="J91" i="16"/>
  <c r="J92" i="16"/>
  <c r="J93" i="16"/>
  <c r="J94" i="16"/>
  <c r="J95" i="16"/>
  <c r="J96" i="16"/>
  <c r="J97" i="16"/>
  <c r="J98" i="16"/>
  <c r="J99" i="16"/>
  <c r="J100" i="16"/>
  <c r="J101" i="16"/>
  <c r="J102" i="16"/>
  <c r="J103" i="16"/>
  <c r="J104" i="16"/>
  <c r="J105" i="16"/>
  <c r="J106" i="16"/>
  <c r="J107" i="16"/>
  <c r="J108" i="16"/>
  <c r="J109" i="16"/>
  <c r="J110" i="16"/>
  <c r="J111" i="16"/>
  <c r="J112" i="16"/>
  <c r="J113" i="16"/>
  <c r="J114" i="16"/>
  <c r="J115" i="16"/>
  <c r="J116" i="16"/>
  <c r="J117" i="16"/>
  <c r="J118" i="16"/>
  <c r="J119" i="16"/>
  <c r="J120" i="16"/>
  <c r="J121" i="16"/>
  <c r="J122" i="16"/>
  <c r="J123" i="16"/>
  <c r="J124" i="16"/>
  <c r="J125" i="16"/>
  <c r="J126" i="16"/>
  <c r="J127" i="16"/>
  <c r="J128" i="16"/>
  <c r="J129" i="16"/>
  <c r="J130" i="16"/>
  <c r="J131" i="16"/>
  <c r="J132" i="16"/>
  <c r="J133" i="16"/>
  <c r="J134" i="16"/>
  <c r="J135" i="16"/>
  <c r="J136" i="16"/>
  <c r="J137" i="16"/>
  <c r="J138" i="16"/>
  <c r="J139" i="16"/>
  <c r="J140" i="16"/>
  <c r="J141" i="16"/>
  <c r="J142" i="16"/>
  <c r="J143" i="16"/>
  <c r="J144" i="16"/>
  <c r="J145" i="16"/>
  <c r="J146" i="16"/>
  <c r="J147" i="16"/>
  <c r="J148" i="16"/>
  <c r="J149" i="16"/>
  <c r="J150" i="16"/>
  <c r="J151" i="16"/>
  <c r="J152" i="16"/>
  <c r="J153" i="16"/>
  <c r="J154" i="16"/>
  <c r="J155" i="16"/>
  <c r="J156" i="16"/>
  <c r="J157" i="16"/>
  <c r="J158" i="16"/>
  <c r="J159" i="16"/>
  <c r="J160" i="16"/>
  <c r="J161" i="16"/>
  <c r="J162" i="16"/>
  <c r="J163" i="16"/>
  <c r="J164" i="16"/>
  <c r="J165" i="16"/>
  <c r="J166" i="16"/>
  <c r="J167" i="16"/>
  <c r="J168" i="16"/>
  <c r="J169" i="16"/>
  <c r="J170" i="16"/>
  <c r="J171" i="16"/>
  <c r="J172" i="16"/>
  <c r="J173" i="16"/>
  <c r="J174" i="16"/>
  <c r="J175" i="16"/>
  <c r="J176" i="16"/>
  <c r="J177" i="16"/>
  <c r="J178" i="16"/>
  <c r="J179" i="16"/>
  <c r="J180" i="16"/>
  <c r="J181" i="16"/>
  <c r="J182" i="16"/>
  <c r="J183" i="16"/>
  <c r="J184" i="16"/>
  <c r="J185" i="16"/>
  <c r="J186" i="16"/>
  <c r="J187" i="16"/>
  <c r="J188" i="16"/>
  <c r="J189" i="16"/>
  <c r="J190" i="16"/>
  <c r="J191" i="16"/>
  <c r="J192" i="16"/>
  <c r="J193" i="16"/>
  <c r="J194" i="16"/>
  <c r="J195" i="16"/>
  <c r="J196" i="16"/>
  <c r="J197" i="16"/>
  <c r="J198" i="16"/>
  <c r="J199" i="16"/>
  <c r="J200" i="16"/>
  <c r="J201" i="16"/>
  <c r="J202" i="16"/>
  <c r="J203" i="16"/>
  <c r="J204" i="16"/>
  <c r="J205" i="16"/>
  <c r="J206" i="16"/>
  <c r="J207" i="16"/>
  <c r="J208" i="16"/>
  <c r="J209" i="16"/>
  <c r="J210" i="16"/>
  <c r="J211" i="16"/>
  <c r="J212" i="16"/>
  <c r="J213" i="16"/>
  <c r="J214" i="16"/>
  <c r="J215" i="16"/>
  <c r="J216" i="16"/>
  <c r="J217" i="16"/>
  <c r="J218" i="16"/>
  <c r="J219" i="16"/>
  <c r="J220" i="16"/>
  <c r="J221" i="16"/>
  <c r="J222" i="16"/>
  <c r="J223" i="16"/>
  <c r="J224" i="16"/>
  <c r="J225" i="16"/>
  <c r="J226" i="16"/>
  <c r="J227" i="16"/>
  <c r="J228" i="16"/>
  <c r="J229" i="16"/>
  <c r="J230" i="16"/>
  <c r="J231" i="16"/>
  <c r="J232" i="16"/>
  <c r="J233" i="16"/>
  <c r="J234" i="16"/>
  <c r="J235" i="16"/>
  <c r="J236" i="16"/>
  <c r="J237" i="16"/>
  <c r="J238" i="16"/>
  <c r="J239" i="16"/>
  <c r="J240" i="16"/>
  <c r="J241" i="16"/>
  <c r="J242" i="16"/>
  <c r="J243" i="16"/>
  <c r="J244" i="16"/>
  <c r="J245" i="16"/>
  <c r="J246" i="16"/>
  <c r="J247" i="16"/>
  <c r="J248" i="16"/>
  <c r="J249" i="16"/>
  <c r="J250" i="16"/>
  <c r="J251" i="16"/>
  <c r="J252" i="16"/>
  <c r="J253" i="16"/>
  <c r="J254" i="16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89" i="16"/>
  <c r="K90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108" i="16"/>
  <c r="K109" i="16"/>
  <c r="K110" i="16"/>
  <c r="K111" i="16"/>
  <c r="K112" i="16"/>
  <c r="K113" i="16"/>
  <c r="K114" i="16"/>
  <c r="K115" i="16"/>
  <c r="K116" i="16"/>
  <c r="K117" i="16"/>
  <c r="K118" i="16"/>
  <c r="K119" i="16"/>
  <c r="K120" i="16"/>
  <c r="K121" i="16"/>
  <c r="K122" i="16"/>
  <c r="K123" i="16"/>
  <c r="K124" i="16"/>
  <c r="K125" i="16"/>
  <c r="K126" i="16"/>
  <c r="K127" i="16"/>
  <c r="K128" i="16"/>
  <c r="K129" i="16"/>
  <c r="K130" i="16"/>
  <c r="K131" i="16"/>
  <c r="K132" i="16"/>
  <c r="K133" i="16"/>
  <c r="K134" i="16"/>
  <c r="K135" i="16"/>
  <c r="K136" i="16"/>
  <c r="K137" i="16"/>
  <c r="K138" i="16"/>
  <c r="K139" i="16"/>
  <c r="K140" i="16"/>
  <c r="K141" i="16"/>
  <c r="K142" i="16"/>
  <c r="K143" i="16"/>
  <c r="K144" i="16"/>
  <c r="K145" i="16"/>
  <c r="K146" i="16"/>
  <c r="K147" i="16"/>
  <c r="K148" i="16"/>
  <c r="K149" i="16"/>
  <c r="K150" i="16"/>
  <c r="K151" i="16"/>
  <c r="K152" i="16"/>
  <c r="K153" i="16"/>
  <c r="K154" i="16"/>
  <c r="K155" i="16"/>
  <c r="K156" i="16"/>
  <c r="K157" i="16"/>
  <c r="K158" i="16"/>
  <c r="K159" i="16"/>
  <c r="K160" i="16"/>
  <c r="K161" i="16"/>
  <c r="K162" i="16"/>
  <c r="K163" i="16"/>
  <c r="K164" i="16"/>
  <c r="K165" i="16"/>
  <c r="K166" i="16"/>
  <c r="K167" i="16"/>
  <c r="K168" i="16"/>
  <c r="K169" i="16"/>
  <c r="K170" i="16"/>
  <c r="K171" i="16"/>
  <c r="K172" i="16"/>
  <c r="K173" i="16"/>
  <c r="K174" i="16"/>
  <c r="K175" i="16"/>
  <c r="K176" i="16"/>
  <c r="K177" i="16"/>
  <c r="K178" i="16"/>
  <c r="K179" i="16"/>
  <c r="K180" i="16"/>
  <c r="K181" i="16"/>
  <c r="K182" i="16"/>
  <c r="K183" i="16"/>
  <c r="K184" i="16"/>
  <c r="K185" i="16"/>
  <c r="K186" i="16"/>
  <c r="K187" i="16"/>
  <c r="K188" i="16"/>
  <c r="K189" i="16"/>
  <c r="K190" i="16"/>
  <c r="K191" i="16"/>
  <c r="K192" i="16"/>
  <c r="K193" i="16"/>
  <c r="K194" i="16"/>
  <c r="K195" i="16"/>
  <c r="K196" i="16"/>
  <c r="K197" i="16"/>
  <c r="K198" i="16"/>
  <c r="K199" i="16"/>
  <c r="K200" i="16"/>
  <c r="K201" i="16"/>
  <c r="K202" i="16"/>
  <c r="K203" i="16"/>
  <c r="K204" i="16"/>
  <c r="K205" i="16"/>
  <c r="K206" i="16"/>
  <c r="K207" i="16"/>
  <c r="K208" i="16"/>
  <c r="K209" i="16"/>
  <c r="K210" i="16"/>
  <c r="K211" i="16"/>
  <c r="K212" i="16"/>
  <c r="K213" i="16"/>
  <c r="K214" i="16"/>
  <c r="K215" i="16"/>
  <c r="K216" i="16"/>
  <c r="K217" i="16"/>
  <c r="K218" i="16"/>
  <c r="K219" i="16"/>
  <c r="K220" i="16"/>
  <c r="K221" i="16"/>
  <c r="K222" i="16"/>
  <c r="K223" i="16"/>
  <c r="K224" i="16"/>
  <c r="K225" i="16"/>
  <c r="L225" i="16" s="1"/>
  <c r="K226" i="16"/>
  <c r="K227" i="16"/>
  <c r="L227" i="16" s="1"/>
  <c r="K228" i="16"/>
  <c r="K229" i="16"/>
  <c r="L229" i="16" s="1"/>
  <c r="K230" i="16"/>
  <c r="K231" i="16"/>
  <c r="L231" i="16" s="1"/>
  <c r="M231" i="16" s="1"/>
  <c r="AH231" i="16" s="1"/>
  <c r="K232" i="16"/>
  <c r="K233" i="16"/>
  <c r="L233" i="16" s="1"/>
  <c r="M233" i="16" s="1"/>
  <c r="K234" i="16"/>
  <c r="K235" i="16"/>
  <c r="L235" i="16" s="1"/>
  <c r="M235" i="16" s="1"/>
  <c r="K236" i="16"/>
  <c r="K237" i="16"/>
  <c r="L237" i="16" s="1"/>
  <c r="M237" i="16" s="1"/>
  <c r="AH237" i="16" s="1"/>
  <c r="K238" i="16"/>
  <c r="K239" i="16"/>
  <c r="L239" i="16" s="1"/>
  <c r="M239" i="16" s="1"/>
  <c r="AH239" i="16" s="1"/>
  <c r="K240" i="16"/>
  <c r="K241" i="16"/>
  <c r="L241" i="16" s="1"/>
  <c r="M241" i="16" s="1"/>
  <c r="K242" i="16"/>
  <c r="K243" i="16"/>
  <c r="L243" i="16" s="1"/>
  <c r="M243" i="16" s="1"/>
  <c r="K244" i="16"/>
  <c r="K245" i="16"/>
  <c r="L245" i="16" s="1"/>
  <c r="M245" i="16" s="1"/>
  <c r="AH245" i="16" s="1"/>
  <c r="K246" i="16"/>
  <c r="K247" i="16"/>
  <c r="L247" i="16" s="1"/>
  <c r="M247" i="16" s="1"/>
  <c r="AH247" i="16" s="1"/>
  <c r="K248" i="16"/>
  <c r="K249" i="16"/>
  <c r="L249" i="16" s="1"/>
  <c r="M249" i="16" s="1"/>
  <c r="K250" i="16"/>
  <c r="K251" i="16"/>
  <c r="L251" i="16" s="1"/>
  <c r="M251" i="16" s="1"/>
  <c r="K252" i="16"/>
  <c r="K253" i="16"/>
  <c r="L253" i="16" s="1"/>
  <c r="M253" i="16" s="1"/>
  <c r="AH253" i="16" s="1"/>
  <c r="K254" i="16"/>
  <c r="L3" i="16"/>
  <c r="M3" i="16" s="1"/>
  <c r="O3" i="16" s="1"/>
  <c r="L4" i="16"/>
  <c r="L5" i="16"/>
  <c r="L6" i="16"/>
  <c r="L7" i="16"/>
  <c r="L8" i="16"/>
  <c r="L9" i="16"/>
  <c r="AM9" i="16" s="1"/>
  <c r="L10" i="16"/>
  <c r="L11" i="16"/>
  <c r="M11" i="16" s="1"/>
  <c r="L12" i="16"/>
  <c r="L13" i="16"/>
  <c r="AM13" i="16" s="1"/>
  <c r="L14" i="16"/>
  <c r="L15" i="16"/>
  <c r="AM15" i="16" s="1"/>
  <c r="L16" i="16"/>
  <c r="L17" i="16"/>
  <c r="AM17" i="16" s="1"/>
  <c r="L18" i="16"/>
  <c r="L19" i="16"/>
  <c r="M19" i="16" s="1"/>
  <c r="L20" i="16"/>
  <c r="L21" i="16"/>
  <c r="L22" i="16"/>
  <c r="L23" i="16"/>
  <c r="AM23" i="16" s="1"/>
  <c r="L24" i="16"/>
  <c r="L25" i="16"/>
  <c r="AM25" i="16" s="1"/>
  <c r="L26" i="16"/>
  <c r="L27" i="16"/>
  <c r="M27" i="16" s="1"/>
  <c r="L28" i="16"/>
  <c r="L29" i="16"/>
  <c r="AM29" i="16" s="1"/>
  <c r="L30" i="16"/>
  <c r="L31" i="16"/>
  <c r="M31" i="16" s="1"/>
  <c r="O31" i="16" s="1"/>
  <c r="L32" i="16"/>
  <c r="L33" i="16"/>
  <c r="AM33" i="16" s="1"/>
  <c r="L34" i="16"/>
  <c r="L35" i="16"/>
  <c r="M35" i="16" s="1"/>
  <c r="L36" i="16"/>
  <c r="L37" i="16"/>
  <c r="L38" i="16"/>
  <c r="L39" i="16"/>
  <c r="L40" i="16"/>
  <c r="L41" i="16"/>
  <c r="AM41" i="16" s="1"/>
  <c r="L42" i="16"/>
  <c r="L43" i="16"/>
  <c r="M43" i="16" s="1"/>
  <c r="L44" i="16"/>
  <c r="L45" i="16"/>
  <c r="AM45" i="16" s="1"/>
  <c r="L46" i="16"/>
  <c r="L47" i="16"/>
  <c r="AM47" i="16" s="1"/>
  <c r="L48" i="16"/>
  <c r="L49" i="16"/>
  <c r="AM49" i="16" s="1"/>
  <c r="L50" i="16"/>
  <c r="L51" i="16"/>
  <c r="M51" i="16" s="1"/>
  <c r="L52" i="16"/>
  <c r="L53" i="16"/>
  <c r="L54" i="16"/>
  <c r="L55" i="16"/>
  <c r="AM55" i="16" s="1"/>
  <c r="L56" i="16"/>
  <c r="L57" i="16"/>
  <c r="AM57" i="16" s="1"/>
  <c r="L58" i="16"/>
  <c r="L59" i="16"/>
  <c r="M59" i="16" s="1"/>
  <c r="L60" i="16"/>
  <c r="L61" i="16"/>
  <c r="AM61" i="16" s="1"/>
  <c r="L62" i="16"/>
  <c r="L63" i="16"/>
  <c r="M63" i="16" s="1"/>
  <c r="O63" i="16" s="1"/>
  <c r="L64" i="16"/>
  <c r="L65" i="16"/>
  <c r="AM65" i="16" s="1"/>
  <c r="L66" i="16"/>
  <c r="L67" i="16"/>
  <c r="M67" i="16" s="1"/>
  <c r="L68" i="16"/>
  <c r="L69" i="16"/>
  <c r="L70" i="16"/>
  <c r="L71" i="16"/>
  <c r="M71" i="16" s="1"/>
  <c r="L72" i="16"/>
  <c r="L73" i="16"/>
  <c r="AM73" i="16" s="1"/>
  <c r="L74" i="16"/>
  <c r="L75" i="16"/>
  <c r="M75" i="16" s="1"/>
  <c r="O75" i="16" s="1"/>
  <c r="L76" i="16"/>
  <c r="L77" i="16"/>
  <c r="AM77" i="16" s="1"/>
  <c r="L78" i="16"/>
  <c r="L79" i="16"/>
  <c r="AM79" i="16" s="1"/>
  <c r="L80" i="16"/>
  <c r="L81" i="16"/>
  <c r="AM81" i="16" s="1"/>
  <c r="L82" i="16"/>
  <c r="L83" i="16"/>
  <c r="M83" i="16" s="1"/>
  <c r="O83" i="16" s="1"/>
  <c r="L84" i="16"/>
  <c r="L85" i="16"/>
  <c r="L86" i="16"/>
  <c r="L87" i="16"/>
  <c r="M87" i="16" s="1"/>
  <c r="L88" i="16"/>
  <c r="L89" i="16"/>
  <c r="AM89" i="16" s="1"/>
  <c r="L90" i="16"/>
  <c r="L91" i="16"/>
  <c r="M91" i="16" s="1"/>
  <c r="O91" i="16" s="1"/>
  <c r="L92" i="16"/>
  <c r="L93" i="16"/>
  <c r="AM93" i="16" s="1"/>
  <c r="L94" i="16"/>
  <c r="L95" i="16"/>
  <c r="AM95" i="16" s="1"/>
  <c r="L96" i="16"/>
  <c r="L97" i="16"/>
  <c r="AM97" i="16" s="1"/>
  <c r="L98" i="16"/>
  <c r="L99" i="16"/>
  <c r="M99" i="16" s="1"/>
  <c r="AI99" i="16" s="1"/>
  <c r="L100" i="16"/>
  <c r="L101" i="16"/>
  <c r="AM101" i="16" s="1"/>
  <c r="L102" i="16"/>
  <c r="L103" i="16"/>
  <c r="L104" i="16"/>
  <c r="L105" i="16"/>
  <c r="AM105" i="16" s="1"/>
  <c r="L106" i="16"/>
  <c r="L107" i="16"/>
  <c r="M107" i="16" s="1"/>
  <c r="L108" i="16"/>
  <c r="L109" i="16"/>
  <c r="AM109" i="16" s="1"/>
  <c r="L110" i="16"/>
  <c r="L111" i="16"/>
  <c r="AM111" i="16" s="1"/>
  <c r="L112" i="16"/>
  <c r="L113" i="16"/>
  <c r="AM113" i="16" s="1"/>
  <c r="L114" i="16"/>
  <c r="L115" i="16"/>
  <c r="M115" i="16" s="1"/>
  <c r="AH115" i="16" s="1"/>
  <c r="L116" i="16"/>
  <c r="L117" i="16"/>
  <c r="L118" i="16"/>
  <c r="L119" i="16"/>
  <c r="AM119" i="16" s="1"/>
  <c r="L120" i="16"/>
  <c r="L121" i="16"/>
  <c r="L122" i="16"/>
  <c r="L123" i="16"/>
  <c r="M123" i="16" s="1"/>
  <c r="L124" i="16"/>
  <c r="L125" i="16"/>
  <c r="L126" i="16"/>
  <c r="L127" i="16"/>
  <c r="AM127" i="16" s="1"/>
  <c r="L128" i="16"/>
  <c r="L129" i="16"/>
  <c r="AM129" i="16" s="1"/>
  <c r="L130" i="16"/>
  <c r="L131" i="16"/>
  <c r="L132" i="16"/>
  <c r="L133" i="16"/>
  <c r="L134" i="16"/>
  <c r="L135" i="16"/>
  <c r="L136" i="16"/>
  <c r="L137" i="16"/>
  <c r="L138" i="16"/>
  <c r="L139" i="16"/>
  <c r="M139" i="16" s="1"/>
  <c r="L140" i="16"/>
  <c r="L141" i="16"/>
  <c r="L142" i="16"/>
  <c r="L143" i="16"/>
  <c r="AM143" i="16" s="1"/>
  <c r="L144" i="16"/>
  <c r="L145" i="16"/>
  <c r="AM145" i="16" s="1"/>
  <c r="L146" i="16"/>
  <c r="L147" i="16"/>
  <c r="L148" i="16"/>
  <c r="L149" i="16"/>
  <c r="L150" i="16"/>
  <c r="L151" i="16"/>
  <c r="AM151" i="16" s="1"/>
  <c r="L152" i="16"/>
  <c r="L153" i="16"/>
  <c r="L154" i="16"/>
  <c r="L155" i="16"/>
  <c r="M155" i="16" s="1"/>
  <c r="L156" i="16"/>
  <c r="L157" i="16"/>
  <c r="L158" i="16"/>
  <c r="L159" i="16"/>
  <c r="AM159" i="16" s="1"/>
  <c r="L160" i="16"/>
  <c r="L161" i="16"/>
  <c r="AM161" i="16" s="1"/>
  <c r="L162" i="16"/>
  <c r="L163" i="16"/>
  <c r="L164" i="16"/>
  <c r="L165" i="16"/>
  <c r="AM165" i="16" s="1"/>
  <c r="L166" i="16"/>
  <c r="L167" i="16"/>
  <c r="L168" i="16"/>
  <c r="L169" i="16"/>
  <c r="L170" i="16"/>
  <c r="L171" i="16"/>
  <c r="M171" i="16" s="1"/>
  <c r="AH171" i="16" s="1"/>
  <c r="L172" i="16"/>
  <c r="L173" i="16"/>
  <c r="L174" i="16"/>
  <c r="L175" i="16"/>
  <c r="AM175" i="16" s="1"/>
  <c r="L176" i="16"/>
  <c r="L177" i="16"/>
  <c r="L178" i="16"/>
  <c r="L179" i="16"/>
  <c r="M179" i="16" s="1"/>
  <c r="AH179" i="16" s="1"/>
  <c r="L180" i="16"/>
  <c r="L181" i="16"/>
  <c r="L182" i="16"/>
  <c r="L183" i="16"/>
  <c r="AM183" i="16" s="1"/>
  <c r="L184" i="16"/>
  <c r="L185" i="16"/>
  <c r="L186" i="16"/>
  <c r="L187" i="16"/>
  <c r="L188" i="16"/>
  <c r="L189" i="16"/>
  <c r="L190" i="16"/>
  <c r="L191" i="16"/>
  <c r="AM191" i="16" s="1"/>
  <c r="L192" i="16"/>
  <c r="L193" i="16"/>
  <c r="L194" i="16"/>
  <c r="L195" i="16"/>
  <c r="L196" i="16"/>
  <c r="L197" i="16"/>
  <c r="L198" i="16"/>
  <c r="L199" i="16"/>
  <c r="L200" i="16"/>
  <c r="L201" i="16"/>
  <c r="L202" i="16"/>
  <c r="L203" i="16"/>
  <c r="L204" i="16"/>
  <c r="L205" i="16"/>
  <c r="L206" i="16"/>
  <c r="L207" i="16"/>
  <c r="AM207" i="16" s="1"/>
  <c r="L208" i="16"/>
  <c r="L209" i="16"/>
  <c r="L210" i="16"/>
  <c r="L211" i="16"/>
  <c r="L212" i="16"/>
  <c r="L213" i="16"/>
  <c r="L214" i="16"/>
  <c r="L215" i="16"/>
  <c r="AM215" i="16" s="1"/>
  <c r="L216" i="16"/>
  <c r="L217" i="16"/>
  <c r="L218" i="16"/>
  <c r="L219" i="16"/>
  <c r="M219" i="16" s="1"/>
  <c r="L220" i="16"/>
  <c r="L221" i="16"/>
  <c r="L222" i="16"/>
  <c r="L224" i="16"/>
  <c r="AM224" i="16" s="1"/>
  <c r="L226" i="16"/>
  <c r="L228" i="16"/>
  <c r="AM228" i="16" s="1"/>
  <c r="L230" i="16"/>
  <c r="L232" i="16"/>
  <c r="AM232" i="16" s="1"/>
  <c r="L234" i="16"/>
  <c r="L236" i="16"/>
  <c r="AM236" i="16" s="1"/>
  <c r="L238" i="16"/>
  <c r="L240" i="16"/>
  <c r="AM240" i="16" s="1"/>
  <c r="L242" i="16"/>
  <c r="L244" i="16"/>
  <c r="AM244" i="16" s="1"/>
  <c r="L246" i="16"/>
  <c r="L248" i="16"/>
  <c r="AB248" i="16" s="1"/>
  <c r="R248" i="16" s="1"/>
  <c r="L250" i="16"/>
  <c r="L252" i="16"/>
  <c r="AM252" i="16" s="1"/>
  <c r="L254" i="16"/>
  <c r="M5" i="16"/>
  <c r="AD5" i="16" s="1"/>
  <c r="M174" i="16"/>
  <c r="M176" i="16"/>
  <c r="T176" i="16" s="1"/>
  <c r="M178" i="16"/>
  <c r="M180" i="16"/>
  <c r="T180" i="16" s="1"/>
  <c r="M182" i="16"/>
  <c r="M184" i="16"/>
  <c r="U184" i="16" s="1"/>
  <c r="M186" i="16"/>
  <c r="M188" i="16"/>
  <c r="U188" i="16" s="1"/>
  <c r="M190" i="16"/>
  <c r="M192" i="16"/>
  <c r="T192" i="16" s="1"/>
  <c r="M194" i="16"/>
  <c r="M196" i="16"/>
  <c r="T196" i="16" s="1"/>
  <c r="M198" i="16"/>
  <c r="M200" i="16"/>
  <c r="U200" i="16" s="1"/>
  <c r="M202" i="16"/>
  <c r="M204" i="16"/>
  <c r="U204" i="16" s="1"/>
  <c r="M206" i="16"/>
  <c r="M208" i="16"/>
  <c r="T208" i="16" s="1"/>
  <c r="M210" i="16"/>
  <c r="M212" i="16"/>
  <c r="T212" i="16" s="1"/>
  <c r="M214" i="16"/>
  <c r="M216" i="16"/>
  <c r="U216" i="16" s="1"/>
  <c r="M218" i="16"/>
  <c r="M220" i="16"/>
  <c r="U220" i="16" s="1"/>
  <c r="M222" i="16"/>
  <c r="M226" i="16"/>
  <c r="T226" i="16" s="1"/>
  <c r="M230" i="16"/>
  <c r="M234" i="16"/>
  <c r="T234" i="16" s="1"/>
  <c r="M238" i="16"/>
  <c r="M242" i="16"/>
  <c r="O242" i="16" s="1"/>
  <c r="M246" i="16"/>
  <c r="M250" i="16"/>
  <c r="T250" i="16" s="1"/>
  <c r="M254" i="16"/>
  <c r="N3" i="16"/>
  <c r="N4" i="16"/>
  <c r="N5" i="16"/>
  <c r="N6" i="16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N21" i="16"/>
  <c r="N22" i="16"/>
  <c r="N23" i="16"/>
  <c r="N24" i="16"/>
  <c r="N25" i="16"/>
  <c r="N26" i="16"/>
  <c r="N27" i="16"/>
  <c r="N28" i="16"/>
  <c r="N29" i="16"/>
  <c r="N30" i="16"/>
  <c r="N31" i="16"/>
  <c r="N32" i="16"/>
  <c r="N33" i="16"/>
  <c r="N34" i="16"/>
  <c r="N35" i="16"/>
  <c r="N36" i="16"/>
  <c r="N37" i="16"/>
  <c r="N38" i="16"/>
  <c r="N39" i="16"/>
  <c r="N40" i="16"/>
  <c r="N41" i="16"/>
  <c r="N42" i="16"/>
  <c r="N43" i="16"/>
  <c r="N44" i="16"/>
  <c r="N45" i="16"/>
  <c r="N46" i="16"/>
  <c r="N47" i="16"/>
  <c r="N48" i="16"/>
  <c r="N49" i="16"/>
  <c r="N50" i="16"/>
  <c r="N51" i="16"/>
  <c r="N52" i="16"/>
  <c r="N53" i="16"/>
  <c r="N54" i="16"/>
  <c r="N55" i="16"/>
  <c r="N56" i="16"/>
  <c r="N57" i="16"/>
  <c r="N58" i="16"/>
  <c r="N59" i="16"/>
  <c r="N60" i="16"/>
  <c r="N61" i="16"/>
  <c r="N62" i="16"/>
  <c r="N63" i="16"/>
  <c r="N64" i="16"/>
  <c r="N65" i="16"/>
  <c r="N66" i="16"/>
  <c r="N67" i="16"/>
  <c r="N68" i="16"/>
  <c r="N69" i="16"/>
  <c r="N70" i="16"/>
  <c r="N71" i="16"/>
  <c r="N72" i="16"/>
  <c r="N73" i="16"/>
  <c r="N74" i="16"/>
  <c r="N75" i="16"/>
  <c r="N76" i="16"/>
  <c r="N77" i="16"/>
  <c r="N78" i="16"/>
  <c r="N79" i="16"/>
  <c r="N80" i="16"/>
  <c r="N81" i="16"/>
  <c r="N82" i="16"/>
  <c r="N83" i="16"/>
  <c r="N84" i="16"/>
  <c r="N85" i="16"/>
  <c r="N86" i="16"/>
  <c r="N87" i="16"/>
  <c r="N88" i="16"/>
  <c r="N89" i="16"/>
  <c r="N90" i="16"/>
  <c r="N91" i="16"/>
  <c r="N92" i="16"/>
  <c r="N93" i="16"/>
  <c r="N94" i="16"/>
  <c r="N95" i="16"/>
  <c r="N96" i="16"/>
  <c r="N97" i="16"/>
  <c r="N98" i="16"/>
  <c r="N99" i="16"/>
  <c r="N100" i="16"/>
  <c r="N101" i="16"/>
  <c r="N102" i="16"/>
  <c r="N103" i="16"/>
  <c r="N104" i="16"/>
  <c r="N105" i="16"/>
  <c r="N106" i="16"/>
  <c r="N107" i="16"/>
  <c r="N108" i="16"/>
  <c r="N109" i="16"/>
  <c r="N110" i="16"/>
  <c r="N111" i="16"/>
  <c r="N112" i="16"/>
  <c r="N113" i="16"/>
  <c r="N114" i="16"/>
  <c r="N115" i="16"/>
  <c r="N116" i="16"/>
  <c r="N117" i="16"/>
  <c r="N118" i="16"/>
  <c r="N119" i="16"/>
  <c r="N120" i="16"/>
  <c r="N121" i="16"/>
  <c r="N122" i="16"/>
  <c r="N123" i="16"/>
  <c r="N124" i="16"/>
  <c r="N125" i="16"/>
  <c r="N126" i="16"/>
  <c r="N127" i="16"/>
  <c r="N128" i="16"/>
  <c r="N129" i="16"/>
  <c r="N130" i="16"/>
  <c r="N131" i="16"/>
  <c r="N132" i="16"/>
  <c r="N133" i="16"/>
  <c r="N134" i="16"/>
  <c r="N135" i="16"/>
  <c r="N136" i="16"/>
  <c r="N137" i="16"/>
  <c r="N138" i="16"/>
  <c r="N139" i="16"/>
  <c r="N140" i="16"/>
  <c r="N141" i="16"/>
  <c r="N142" i="16"/>
  <c r="N143" i="16"/>
  <c r="N144" i="16"/>
  <c r="N145" i="16"/>
  <c r="N146" i="16"/>
  <c r="N147" i="16"/>
  <c r="N148" i="16"/>
  <c r="N149" i="16"/>
  <c r="N150" i="16"/>
  <c r="N151" i="16"/>
  <c r="N152" i="16"/>
  <c r="N153" i="16"/>
  <c r="N154" i="16"/>
  <c r="N155" i="16"/>
  <c r="N156" i="16"/>
  <c r="N157" i="16"/>
  <c r="N158" i="16"/>
  <c r="N159" i="16"/>
  <c r="N160" i="16"/>
  <c r="N161" i="16"/>
  <c r="N162" i="16"/>
  <c r="N163" i="16"/>
  <c r="N164" i="16"/>
  <c r="N165" i="16"/>
  <c r="N166" i="16"/>
  <c r="N167" i="16"/>
  <c r="N168" i="16"/>
  <c r="N169" i="16"/>
  <c r="N170" i="16"/>
  <c r="N171" i="16"/>
  <c r="N172" i="16"/>
  <c r="N173" i="16"/>
  <c r="N174" i="16"/>
  <c r="N175" i="16"/>
  <c r="N176" i="16"/>
  <c r="N177" i="16"/>
  <c r="N178" i="16"/>
  <c r="N179" i="16"/>
  <c r="N180" i="16"/>
  <c r="N181" i="16"/>
  <c r="N182" i="16"/>
  <c r="N183" i="16"/>
  <c r="N184" i="16"/>
  <c r="N185" i="16"/>
  <c r="N186" i="16"/>
  <c r="N187" i="16"/>
  <c r="N188" i="16"/>
  <c r="N189" i="16"/>
  <c r="N190" i="16"/>
  <c r="N191" i="16"/>
  <c r="N192" i="16"/>
  <c r="N193" i="16"/>
  <c r="N194" i="16"/>
  <c r="N195" i="16"/>
  <c r="N196" i="16"/>
  <c r="N197" i="16"/>
  <c r="N198" i="16"/>
  <c r="N199" i="16"/>
  <c r="N200" i="16"/>
  <c r="N201" i="16"/>
  <c r="N202" i="16"/>
  <c r="N203" i="16"/>
  <c r="N204" i="16"/>
  <c r="N205" i="16"/>
  <c r="N206" i="16"/>
  <c r="N207" i="16"/>
  <c r="N208" i="16"/>
  <c r="N209" i="16"/>
  <c r="N210" i="16"/>
  <c r="N211" i="16"/>
  <c r="N212" i="16"/>
  <c r="N213" i="16"/>
  <c r="N214" i="16"/>
  <c r="N215" i="16"/>
  <c r="N216" i="16"/>
  <c r="N217" i="16"/>
  <c r="N218" i="16"/>
  <c r="N219" i="16"/>
  <c r="N220" i="16"/>
  <c r="N221" i="16"/>
  <c r="N222" i="16"/>
  <c r="N223" i="16"/>
  <c r="N224" i="16"/>
  <c r="N225" i="16"/>
  <c r="N226" i="16"/>
  <c r="N227" i="16"/>
  <c r="N228" i="16"/>
  <c r="N229" i="16"/>
  <c r="N230" i="16"/>
  <c r="N231" i="16"/>
  <c r="N232" i="16"/>
  <c r="N233" i="16"/>
  <c r="N234" i="16"/>
  <c r="N235" i="16"/>
  <c r="N236" i="16"/>
  <c r="N237" i="16"/>
  <c r="N238" i="16"/>
  <c r="N239" i="16"/>
  <c r="N240" i="16"/>
  <c r="N241" i="16"/>
  <c r="N242" i="16"/>
  <c r="N243" i="16"/>
  <c r="N244" i="16"/>
  <c r="N245" i="16"/>
  <c r="N246" i="16"/>
  <c r="N247" i="16"/>
  <c r="N248" i="16"/>
  <c r="N249" i="16"/>
  <c r="N250" i="16"/>
  <c r="N251" i="16"/>
  <c r="N252" i="16"/>
  <c r="N253" i="16"/>
  <c r="N254" i="16"/>
  <c r="O226" i="16"/>
  <c r="Q3" i="16"/>
  <c r="Q4" i="16"/>
  <c r="Q5" i="16"/>
  <c r="Q6" i="16"/>
  <c r="Q7" i="16"/>
  <c r="Q8" i="16"/>
  <c r="Q9" i="16"/>
  <c r="Q10" i="16"/>
  <c r="Q11" i="16"/>
  <c r="Q12" i="16"/>
  <c r="Q13" i="16"/>
  <c r="Q14" i="16"/>
  <c r="Q15" i="16"/>
  <c r="Q16" i="16"/>
  <c r="Q17" i="16"/>
  <c r="Q18" i="16"/>
  <c r="Q19" i="16"/>
  <c r="Q20" i="16"/>
  <c r="Q21" i="16"/>
  <c r="Q22" i="16"/>
  <c r="Q23" i="16"/>
  <c r="Q24" i="16"/>
  <c r="Q25" i="16"/>
  <c r="Q26" i="16"/>
  <c r="Q27" i="16"/>
  <c r="Q28" i="16"/>
  <c r="Q29" i="16"/>
  <c r="Q30" i="16"/>
  <c r="Q31" i="16"/>
  <c r="Q32" i="16"/>
  <c r="Q33" i="16"/>
  <c r="Q34" i="16"/>
  <c r="Q35" i="16"/>
  <c r="Q36" i="16"/>
  <c r="Q37" i="16"/>
  <c r="Q38" i="16"/>
  <c r="Q39" i="16"/>
  <c r="Q40" i="16"/>
  <c r="Q41" i="16"/>
  <c r="Q42" i="16"/>
  <c r="Q43" i="16"/>
  <c r="Q44" i="16"/>
  <c r="Q45" i="16"/>
  <c r="Q46" i="16"/>
  <c r="Q47" i="16"/>
  <c r="Q48" i="16"/>
  <c r="Q49" i="16"/>
  <c r="Q50" i="16"/>
  <c r="Q51" i="16"/>
  <c r="Q52" i="16"/>
  <c r="Q53" i="16"/>
  <c r="Q54" i="16"/>
  <c r="Q55" i="16"/>
  <c r="Q56" i="16"/>
  <c r="Q57" i="16"/>
  <c r="Q58" i="16"/>
  <c r="Q59" i="16"/>
  <c r="Q60" i="16"/>
  <c r="Q61" i="16"/>
  <c r="Q62" i="16"/>
  <c r="Q63" i="16"/>
  <c r="Q64" i="16"/>
  <c r="Q65" i="16"/>
  <c r="Q66" i="16"/>
  <c r="Q67" i="16"/>
  <c r="Q68" i="16"/>
  <c r="Q69" i="16"/>
  <c r="Q70" i="16"/>
  <c r="Q71" i="16"/>
  <c r="Q72" i="16"/>
  <c r="Q73" i="16"/>
  <c r="Q74" i="16"/>
  <c r="Q75" i="16"/>
  <c r="Q76" i="16"/>
  <c r="Q77" i="16"/>
  <c r="Q78" i="16"/>
  <c r="Q79" i="16"/>
  <c r="Q80" i="16"/>
  <c r="Q81" i="16"/>
  <c r="Q82" i="16"/>
  <c r="Q83" i="16"/>
  <c r="Q84" i="16"/>
  <c r="Q85" i="16"/>
  <c r="Q86" i="16"/>
  <c r="Q87" i="16"/>
  <c r="Q88" i="16"/>
  <c r="Q89" i="16"/>
  <c r="Q90" i="16"/>
  <c r="Q91" i="16"/>
  <c r="Q92" i="16"/>
  <c r="Q93" i="16"/>
  <c r="Q94" i="16"/>
  <c r="Q95" i="16"/>
  <c r="Q96" i="16"/>
  <c r="Q97" i="16"/>
  <c r="Q98" i="16"/>
  <c r="Q99" i="16"/>
  <c r="Q100" i="16"/>
  <c r="Q101" i="16"/>
  <c r="Q102" i="16"/>
  <c r="Q103" i="16"/>
  <c r="Q104" i="16"/>
  <c r="Q105" i="16"/>
  <c r="Q106" i="16"/>
  <c r="Q107" i="16"/>
  <c r="Q108" i="16"/>
  <c r="Q109" i="16"/>
  <c r="Q110" i="16"/>
  <c r="Q111" i="16"/>
  <c r="Q112" i="16"/>
  <c r="Q113" i="16"/>
  <c r="Q114" i="16"/>
  <c r="Q115" i="16"/>
  <c r="Q116" i="16"/>
  <c r="Q117" i="16"/>
  <c r="Q118" i="16"/>
  <c r="Q119" i="16"/>
  <c r="Q120" i="16"/>
  <c r="Q121" i="16"/>
  <c r="Q122" i="16"/>
  <c r="Q123" i="16"/>
  <c r="Q124" i="16"/>
  <c r="Q125" i="16"/>
  <c r="Q126" i="16"/>
  <c r="Q127" i="16"/>
  <c r="Q128" i="16"/>
  <c r="Q129" i="16"/>
  <c r="Q130" i="16"/>
  <c r="Q131" i="16"/>
  <c r="Q132" i="16"/>
  <c r="Q133" i="16"/>
  <c r="Q134" i="16"/>
  <c r="Q135" i="16"/>
  <c r="Q136" i="16"/>
  <c r="Q137" i="16"/>
  <c r="Q138" i="16"/>
  <c r="Q139" i="16"/>
  <c r="Q140" i="16"/>
  <c r="Q141" i="16"/>
  <c r="Q142" i="16"/>
  <c r="Q143" i="16"/>
  <c r="Q144" i="16"/>
  <c r="Q145" i="16"/>
  <c r="Q146" i="16"/>
  <c r="Q147" i="16"/>
  <c r="Q148" i="16"/>
  <c r="Q149" i="16"/>
  <c r="Q150" i="16"/>
  <c r="Q151" i="16"/>
  <c r="Q152" i="16"/>
  <c r="Q153" i="16"/>
  <c r="Q154" i="16"/>
  <c r="Q155" i="16"/>
  <c r="Q156" i="16"/>
  <c r="Q157" i="16"/>
  <c r="Q158" i="16"/>
  <c r="Q159" i="16"/>
  <c r="Q160" i="16"/>
  <c r="Q161" i="16"/>
  <c r="Q162" i="16"/>
  <c r="Q163" i="16"/>
  <c r="Q164" i="16"/>
  <c r="Q165" i="16"/>
  <c r="Q166" i="16"/>
  <c r="Q167" i="16"/>
  <c r="Q168" i="16"/>
  <c r="Q169" i="16"/>
  <c r="Q170" i="16"/>
  <c r="Q171" i="16"/>
  <c r="Q172" i="16"/>
  <c r="Q173" i="16"/>
  <c r="Q174" i="16"/>
  <c r="Q175" i="16"/>
  <c r="Q176" i="16"/>
  <c r="Q177" i="16"/>
  <c r="Q178" i="16"/>
  <c r="Q179" i="16"/>
  <c r="Q180" i="16"/>
  <c r="Q181" i="16"/>
  <c r="Q182" i="16"/>
  <c r="Q183" i="16"/>
  <c r="Q184" i="16"/>
  <c r="Q185" i="16"/>
  <c r="Q186" i="16"/>
  <c r="Q187" i="16"/>
  <c r="Q188" i="16"/>
  <c r="Q189" i="16"/>
  <c r="Q190" i="16"/>
  <c r="Q191" i="16"/>
  <c r="Q192" i="16"/>
  <c r="Q193" i="16"/>
  <c r="Q194" i="16"/>
  <c r="Q195" i="16"/>
  <c r="Q196" i="16"/>
  <c r="Q197" i="16"/>
  <c r="Q198" i="16"/>
  <c r="Q199" i="16"/>
  <c r="Q200" i="16"/>
  <c r="Q201" i="16"/>
  <c r="Q202" i="16"/>
  <c r="Q203" i="16"/>
  <c r="Q204" i="16"/>
  <c r="Q205" i="16"/>
  <c r="Q206" i="16"/>
  <c r="Q207" i="16"/>
  <c r="Q208" i="16"/>
  <c r="Q209" i="16"/>
  <c r="Q210" i="16"/>
  <c r="Q211" i="16"/>
  <c r="Q212" i="16"/>
  <c r="Q213" i="16"/>
  <c r="Q214" i="16"/>
  <c r="Q215" i="16"/>
  <c r="Q216" i="16"/>
  <c r="Q217" i="16"/>
  <c r="Q218" i="16"/>
  <c r="Q219" i="16"/>
  <c r="Q220" i="16"/>
  <c r="Q221" i="16"/>
  <c r="Q222" i="16"/>
  <c r="Q223" i="16"/>
  <c r="Q224" i="16"/>
  <c r="Q225" i="16"/>
  <c r="Q226" i="16"/>
  <c r="Q227" i="16"/>
  <c r="Q228" i="16"/>
  <c r="Q229" i="16"/>
  <c r="Q230" i="16"/>
  <c r="Q231" i="16"/>
  <c r="Q232" i="16"/>
  <c r="Q233" i="16"/>
  <c r="Q234" i="16"/>
  <c r="Q235" i="16"/>
  <c r="Q236" i="16"/>
  <c r="Q237" i="16"/>
  <c r="Q238" i="16"/>
  <c r="Q239" i="16"/>
  <c r="Q240" i="16"/>
  <c r="Q241" i="16"/>
  <c r="Q242" i="16"/>
  <c r="Q243" i="16"/>
  <c r="Q244" i="16"/>
  <c r="Q245" i="16"/>
  <c r="Q246" i="16"/>
  <c r="Q247" i="16"/>
  <c r="Q248" i="16"/>
  <c r="Q249" i="16"/>
  <c r="Q250" i="16"/>
  <c r="Q251" i="16"/>
  <c r="Q252" i="16"/>
  <c r="Q253" i="16"/>
  <c r="Q254" i="16"/>
  <c r="S3" i="16"/>
  <c r="S4" i="16"/>
  <c r="S5" i="16"/>
  <c r="S6" i="16"/>
  <c r="S7" i="16"/>
  <c r="S8" i="16"/>
  <c r="S9" i="16"/>
  <c r="S10" i="16"/>
  <c r="S11" i="16"/>
  <c r="S12" i="16"/>
  <c r="S13" i="16"/>
  <c r="S14" i="16"/>
  <c r="S15" i="16"/>
  <c r="S16" i="16"/>
  <c r="S17" i="16"/>
  <c r="S18" i="16"/>
  <c r="S19" i="16"/>
  <c r="S20" i="16"/>
  <c r="S21" i="16"/>
  <c r="S22" i="16"/>
  <c r="S23" i="16"/>
  <c r="S24" i="16"/>
  <c r="S25" i="16"/>
  <c r="S26" i="16"/>
  <c r="S27" i="16"/>
  <c r="S28" i="16"/>
  <c r="S29" i="16"/>
  <c r="S30" i="16"/>
  <c r="S31" i="16"/>
  <c r="S32" i="16"/>
  <c r="S33" i="16"/>
  <c r="S34" i="16"/>
  <c r="S35" i="16"/>
  <c r="S36" i="16"/>
  <c r="S37" i="16"/>
  <c r="S38" i="16"/>
  <c r="S39" i="16"/>
  <c r="S40" i="16"/>
  <c r="S41" i="16"/>
  <c r="S42" i="16"/>
  <c r="S43" i="16"/>
  <c r="S44" i="16"/>
  <c r="S45" i="16"/>
  <c r="S46" i="16"/>
  <c r="S47" i="16"/>
  <c r="S48" i="16"/>
  <c r="S49" i="16"/>
  <c r="S50" i="16"/>
  <c r="S51" i="16"/>
  <c r="S52" i="16"/>
  <c r="S53" i="16"/>
  <c r="S54" i="16"/>
  <c r="S55" i="16"/>
  <c r="S56" i="16"/>
  <c r="S57" i="16"/>
  <c r="S58" i="16"/>
  <c r="S59" i="16"/>
  <c r="S60" i="16"/>
  <c r="S61" i="16"/>
  <c r="S62" i="16"/>
  <c r="S63" i="16"/>
  <c r="S64" i="16"/>
  <c r="S65" i="16"/>
  <c r="S66" i="16"/>
  <c r="S67" i="16"/>
  <c r="S68" i="16"/>
  <c r="S69" i="16"/>
  <c r="S70" i="16"/>
  <c r="S71" i="16"/>
  <c r="S72" i="16"/>
  <c r="S73" i="16"/>
  <c r="S74" i="16"/>
  <c r="S75" i="16"/>
  <c r="S76" i="16"/>
  <c r="S77" i="16"/>
  <c r="S78" i="16"/>
  <c r="S79" i="16"/>
  <c r="S80" i="16"/>
  <c r="S81" i="16"/>
  <c r="S82" i="16"/>
  <c r="S83" i="16"/>
  <c r="S84" i="16"/>
  <c r="S85" i="16"/>
  <c r="S86" i="16"/>
  <c r="S87" i="16"/>
  <c r="S88" i="16"/>
  <c r="S89" i="16"/>
  <c r="S90" i="16"/>
  <c r="S91" i="16"/>
  <c r="S92" i="16"/>
  <c r="S93" i="16"/>
  <c r="S94" i="16"/>
  <c r="S95" i="16"/>
  <c r="S96" i="16"/>
  <c r="S97" i="16"/>
  <c r="S98" i="16"/>
  <c r="S99" i="16"/>
  <c r="S100" i="16"/>
  <c r="S101" i="16"/>
  <c r="S102" i="16"/>
  <c r="S103" i="16"/>
  <c r="S104" i="16"/>
  <c r="S105" i="16"/>
  <c r="S106" i="16"/>
  <c r="S107" i="16"/>
  <c r="S108" i="16"/>
  <c r="S109" i="16"/>
  <c r="S110" i="16"/>
  <c r="S111" i="16"/>
  <c r="S112" i="16"/>
  <c r="S113" i="16"/>
  <c r="S114" i="16"/>
  <c r="S115" i="16"/>
  <c r="S116" i="16"/>
  <c r="S117" i="16"/>
  <c r="S118" i="16"/>
  <c r="S119" i="16"/>
  <c r="S120" i="16"/>
  <c r="S121" i="16"/>
  <c r="S122" i="16"/>
  <c r="S123" i="16"/>
  <c r="S124" i="16"/>
  <c r="S125" i="16"/>
  <c r="S126" i="16"/>
  <c r="S127" i="16"/>
  <c r="S128" i="16"/>
  <c r="S129" i="16"/>
  <c r="S130" i="16"/>
  <c r="S131" i="16"/>
  <c r="S132" i="16"/>
  <c r="S133" i="16"/>
  <c r="S134" i="16"/>
  <c r="S135" i="16"/>
  <c r="S136" i="16"/>
  <c r="S137" i="16"/>
  <c r="S138" i="16"/>
  <c r="S139" i="16"/>
  <c r="S140" i="16"/>
  <c r="S141" i="16"/>
  <c r="S142" i="16"/>
  <c r="S143" i="16"/>
  <c r="S144" i="16"/>
  <c r="S145" i="16"/>
  <c r="S146" i="16"/>
  <c r="S147" i="16"/>
  <c r="S148" i="16"/>
  <c r="S149" i="16"/>
  <c r="S150" i="16"/>
  <c r="S151" i="16"/>
  <c r="S152" i="16"/>
  <c r="S153" i="16"/>
  <c r="S154" i="16"/>
  <c r="S155" i="16"/>
  <c r="S156" i="16"/>
  <c r="S157" i="16"/>
  <c r="S158" i="16"/>
  <c r="S159" i="16"/>
  <c r="S160" i="16"/>
  <c r="S161" i="16"/>
  <c r="S162" i="16"/>
  <c r="S163" i="16"/>
  <c r="S164" i="16"/>
  <c r="S165" i="16"/>
  <c r="S166" i="16"/>
  <c r="S167" i="16"/>
  <c r="S168" i="16"/>
  <c r="S169" i="16"/>
  <c r="S170" i="16"/>
  <c r="S171" i="16"/>
  <c r="S172" i="16"/>
  <c r="S173" i="16"/>
  <c r="S174" i="16"/>
  <c r="S175" i="16"/>
  <c r="S176" i="16"/>
  <c r="S177" i="16"/>
  <c r="S178" i="16"/>
  <c r="S179" i="16"/>
  <c r="S180" i="16"/>
  <c r="S181" i="16"/>
  <c r="S182" i="16"/>
  <c r="S183" i="16"/>
  <c r="S184" i="16"/>
  <c r="S185" i="16"/>
  <c r="S186" i="16"/>
  <c r="S187" i="16"/>
  <c r="S188" i="16"/>
  <c r="S189" i="16"/>
  <c r="S190" i="16"/>
  <c r="S191" i="16"/>
  <c r="S192" i="16"/>
  <c r="S193" i="16"/>
  <c r="S194" i="16"/>
  <c r="S195" i="16"/>
  <c r="S196" i="16"/>
  <c r="S197" i="16"/>
  <c r="S198" i="16"/>
  <c r="S199" i="16"/>
  <c r="S200" i="16"/>
  <c r="S201" i="16"/>
  <c r="S202" i="16"/>
  <c r="S203" i="16"/>
  <c r="S204" i="16"/>
  <c r="S205" i="16"/>
  <c r="S206" i="16"/>
  <c r="S207" i="16"/>
  <c r="S208" i="16"/>
  <c r="S209" i="16"/>
  <c r="S210" i="16"/>
  <c r="S211" i="16"/>
  <c r="S212" i="16"/>
  <c r="S213" i="16"/>
  <c r="S214" i="16"/>
  <c r="S215" i="16"/>
  <c r="S216" i="16"/>
  <c r="S217" i="16"/>
  <c r="S218" i="16"/>
  <c r="S219" i="16"/>
  <c r="S220" i="16"/>
  <c r="S221" i="16"/>
  <c r="S222" i="16"/>
  <c r="S223" i="16"/>
  <c r="S224" i="16"/>
  <c r="S225" i="16"/>
  <c r="S226" i="16"/>
  <c r="S227" i="16"/>
  <c r="S228" i="16"/>
  <c r="S229" i="16"/>
  <c r="S230" i="16"/>
  <c r="S231" i="16"/>
  <c r="S232" i="16"/>
  <c r="S233" i="16"/>
  <c r="S234" i="16"/>
  <c r="S235" i="16"/>
  <c r="S236" i="16"/>
  <c r="S237" i="16"/>
  <c r="S238" i="16"/>
  <c r="S239" i="16"/>
  <c r="S240" i="16"/>
  <c r="S241" i="16"/>
  <c r="S242" i="16"/>
  <c r="S243" i="16"/>
  <c r="S244" i="16"/>
  <c r="S245" i="16"/>
  <c r="S246" i="16"/>
  <c r="S247" i="16"/>
  <c r="S248" i="16"/>
  <c r="S249" i="16"/>
  <c r="S250" i="16"/>
  <c r="S251" i="16"/>
  <c r="S252" i="16"/>
  <c r="S253" i="16"/>
  <c r="S254" i="16"/>
  <c r="T174" i="16"/>
  <c r="T178" i="16"/>
  <c r="T182" i="16"/>
  <c r="T186" i="16"/>
  <c r="T190" i="16"/>
  <c r="T194" i="16"/>
  <c r="T198" i="16"/>
  <c r="T202" i="16"/>
  <c r="T206" i="16"/>
  <c r="T210" i="16"/>
  <c r="T214" i="16"/>
  <c r="T218" i="16"/>
  <c r="T222" i="16"/>
  <c r="T230" i="16"/>
  <c r="T238" i="16"/>
  <c r="T246" i="16"/>
  <c r="T254" i="16"/>
  <c r="U174" i="16"/>
  <c r="U178" i="16"/>
  <c r="U182" i="16"/>
  <c r="U186" i="16"/>
  <c r="U190" i="16"/>
  <c r="U194" i="16"/>
  <c r="U198" i="16"/>
  <c r="U202" i="16"/>
  <c r="U206" i="16"/>
  <c r="U210" i="16"/>
  <c r="U214" i="16"/>
  <c r="U218" i="16"/>
  <c r="U222" i="16"/>
  <c r="U230" i="16"/>
  <c r="U238" i="16"/>
  <c r="U246" i="16"/>
  <c r="U254" i="16"/>
  <c r="W226" i="16"/>
  <c r="W230" i="16"/>
  <c r="W234" i="16"/>
  <c r="W238" i="16"/>
  <c r="W242" i="16"/>
  <c r="W246" i="16"/>
  <c r="W250" i="16"/>
  <c r="W254" i="16"/>
  <c r="Y234" i="16"/>
  <c r="Z230" i="16"/>
  <c r="Z238" i="16"/>
  <c r="Z246" i="16"/>
  <c r="Z254" i="16"/>
  <c r="AB4" i="16"/>
  <c r="R4" i="16" s="1"/>
  <c r="AB6" i="16"/>
  <c r="AB8" i="16"/>
  <c r="R8" i="16" s="1"/>
  <c r="AB10" i="16"/>
  <c r="AB12" i="16"/>
  <c r="R12" i="16" s="1"/>
  <c r="AB14" i="16"/>
  <c r="AB16" i="16"/>
  <c r="R16" i="16" s="1"/>
  <c r="AB18" i="16"/>
  <c r="AB20" i="16"/>
  <c r="R20" i="16" s="1"/>
  <c r="AB22" i="16"/>
  <c r="AB24" i="16"/>
  <c r="R24" i="16" s="1"/>
  <c r="AB26" i="16"/>
  <c r="AB28" i="16"/>
  <c r="R28" i="16" s="1"/>
  <c r="AB30" i="16"/>
  <c r="AB32" i="16"/>
  <c r="R32" i="16" s="1"/>
  <c r="AB34" i="16"/>
  <c r="AB36" i="16"/>
  <c r="R36" i="16" s="1"/>
  <c r="AB38" i="16"/>
  <c r="AB40" i="16"/>
  <c r="R40" i="16" s="1"/>
  <c r="AB42" i="16"/>
  <c r="AB44" i="16"/>
  <c r="R44" i="16" s="1"/>
  <c r="AB46" i="16"/>
  <c r="AB48" i="16"/>
  <c r="R48" i="16" s="1"/>
  <c r="AB50" i="16"/>
  <c r="AB52" i="16"/>
  <c r="R52" i="16" s="1"/>
  <c r="AB54" i="16"/>
  <c r="AB56" i="16"/>
  <c r="R56" i="16" s="1"/>
  <c r="AB58" i="16"/>
  <c r="AB60" i="16"/>
  <c r="R60" i="16" s="1"/>
  <c r="AB62" i="16"/>
  <c r="AB64" i="16"/>
  <c r="R64" i="16" s="1"/>
  <c r="AB66" i="16"/>
  <c r="AB68" i="16"/>
  <c r="R68" i="16" s="1"/>
  <c r="AB70" i="16"/>
  <c r="AB72" i="16"/>
  <c r="R72" i="16" s="1"/>
  <c r="AB74" i="16"/>
  <c r="AB76" i="16"/>
  <c r="R76" i="16" s="1"/>
  <c r="AB78" i="16"/>
  <c r="AB80" i="16"/>
  <c r="R80" i="16" s="1"/>
  <c r="AB82" i="16"/>
  <c r="AB84" i="16"/>
  <c r="R84" i="16" s="1"/>
  <c r="AB86" i="16"/>
  <c r="AB88" i="16"/>
  <c r="R88" i="16" s="1"/>
  <c r="AB90" i="16"/>
  <c r="AB92" i="16"/>
  <c r="R92" i="16" s="1"/>
  <c r="AB94" i="16"/>
  <c r="AB96" i="16"/>
  <c r="R96" i="16" s="1"/>
  <c r="AB98" i="16"/>
  <c r="AB100" i="16"/>
  <c r="R100" i="16" s="1"/>
  <c r="AB102" i="16"/>
  <c r="AB104" i="16"/>
  <c r="R104" i="16" s="1"/>
  <c r="AB106" i="16"/>
  <c r="AB108" i="16"/>
  <c r="R108" i="16" s="1"/>
  <c r="AB110" i="16"/>
  <c r="AB112" i="16"/>
  <c r="R112" i="16" s="1"/>
  <c r="AB114" i="16"/>
  <c r="AB116" i="16"/>
  <c r="R116" i="16" s="1"/>
  <c r="AB118" i="16"/>
  <c r="AB120" i="16"/>
  <c r="R120" i="16" s="1"/>
  <c r="AB122" i="16"/>
  <c r="AB124" i="16"/>
  <c r="R124" i="16" s="1"/>
  <c r="AB126" i="16"/>
  <c r="AB128" i="16"/>
  <c r="R128" i="16" s="1"/>
  <c r="AB130" i="16"/>
  <c r="AB132" i="16"/>
  <c r="R132" i="16" s="1"/>
  <c r="AB134" i="16"/>
  <c r="AB136" i="16"/>
  <c r="R136" i="16" s="1"/>
  <c r="AB138" i="16"/>
  <c r="AB140" i="16"/>
  <c r="R140" i="16" s="1"/>
  <c r="AB142" i="16"/>
  <c r="AB144" i="16"/>
  <c r="R144" i="16" s="1"/>
  <c r="AB146" i="16"/>
  <c r="AB148" i="16"/>
  <c r="R148" i="16" s="1"/>
  <c r="AB150" i="16"/>
  <c r="AB152" i="16"/>
  <c r="R152" i="16" s="1"/>
  <c r="AB154" i="16"/>
  <c r="AB156" i="16"/>
  <c r="R156" i="16" s="1"/>
  <c r="AB158" i="16"/>
  <c r="AB160" i="16"/>
  <c r="R160" i="16" s="1"/>
  <c r="AB162" i="16"/>
  <c r="AB164" i="16"/>
  <c r="R164" i="16" s="1"/>
  <c r="AB166" i="16"/>
  <c r="AB168" i="16"/>
  <c r="R168" i="16" s="1"/>
  <c r="AB170" i="16"/>
  <c r="AB172" i="16"/>
  <c r="R172" i="16" s="1"/>
  <c r="AB174" i="16"/>
  <c r="AB176" i="16"/>
  <c r="R176" i="16" s="1"/>
  <c r="AB178" i="16"/>
  <c r="AB180" i="16"/>
  <c r="R180" i="16" s="1"/>
  <c r="AB182" i="16"/>
  <c r="AB184" i="16"/>
  <c r="R184" i="16" s="1"/>
  <c r="AB186" i="16"/>
  <c r="AB188" i="16"/>
  <c r="R188" i="16" s="1"/>
  <c r="AB190" i="16"/>
  <c r="AB192" i="16"/>
  <c r="R192" i="16" s="1"/>
  <c r="AB194" i="16"/>
  <c r="AB196" i="16"/>
  <c r="R196" i="16" s="1"/>
  <c r="AB198" i="16"/>
  <c r="AB200" i="16"/>
  <c r="R200" i="16" s="1"/>
  <c r="AB202" i="16"/>
  <c r="AB204" i="16"/>
  <c r="R204" i="16" s="1"/>
  <c r="AB206" i="16"/>
  <c r="AB208" i="16"/>
  <c r="R208" i="16" s="1"/>
  <c r="AB210" i="16"/>
  <c r="AB212" i="16"/>
  <c r="R212" i="16" s="1"/>
  <c r="AB214" i="16"/>
  <c r="AB216" i="16"/>
  <c r="R216" i="16" s="1"/>
  <c r="AB218" i="16"/>
  <c r="AB220" i="16"/>
  <c r="R220" i="16" s="1"/>
  <c r="AB222" i="16"/>
  <c r="AB226" i="16"/>
  <c r="AB230" i="16"/>
  <c r="AB234" i="16"/>
  <c r="AB238" i="16"/>
  <c r="AB242" i="16"/>
  <c r="AB246" i="16"/>
  <c r="AB250" i="16"/>
  <c r="AB254" i="16"/>
  <c r="AC3" i="16"/>
  <c r="AC4" i="16"/>
  <c r="AC5" i="16"/>
  <c r="AC6" i="16"/>
  <c r="AC7" i="16"/>
  <c r="AC8" i="16"/>
  <c r="AC9" i="16"/>
  <c r="AC10" i="16"/>
  <c r="AC11" i="16"/>
  <c r="AC12" i="16"/>
  <c r="AC13" i="16"/>
  <c r="AC14" i="16"/>
  <c r="AC15" i="16"/>
  <c r="AC16" i="16"/>
  <c r="AC17" i="16"/>
  <c r="AC18" i="16"/>
  <c r="AC19" i="16"/>
  <c r="AC20" i="16"/>
  <c r="AC21" i="16"/>
  <c r="AC22" i="16"/>
  <c r="AC23" i="16"/>
  <c r="AC24" i="16"/>
  <c r="AC25" i="16"/>
  <c r="AC26" i="16"/>
  <c r="AC27" i="16"/>
  <c r="AC28" i="16"/>
  <c r="AC29" i="16"/>
  <c r="AC30" i="16"/>
  <c r="AC31" i="16"/>
  <c r="AC32" i="16"/>
  <c r="AC33" i="16"/>
  <c r="AC34" i="16"/>
  <c r="AC35" i="16"/>
  <c r="AC36" i="16"/>
  <c r="AC37" i="16"/>
  <c r="AC38" i="16"/>
  <c r="AC39" i="16"/>
  <c r="AC40" i="16"/>
  <c r="AC41" i="16"/>
  <c r="AC42" i="16"/>
  <c r="AC43" i="16"/>
  <c r="AC44" i="16"/>
  <c r="AC45" i="16"/>
  <c r="AC46" i="16"/>
  <c r="AC47" i="16"/>
  <c r="AC48" i="16"/>
  <c r="AC49" i="16"/>
  <c r="AC50" i="16"/>
  <c r="AC51" i="16"/>
  <c r="AC52" i="16"/>
  <c r="AC53" i="16"/>
  <c r="AC54" i="16"/>
  <c r="AC55" i="16"/>
  <c r="AC56" i="16"/>
  <c r="AC57" i="16"/>
  <c r="AC58" i="16"/>
  <c r="AC59" i="16"/>
  <c r="AC60" i="16"/>
  <c r="AC61" i="16"/>
  <c r="AC62" i="16"/>
  <c r="AC63" i="16"/>
  <c r="AC64" i="16"/>
  <c r="AC65" i="16"/>
  <c r="AC66" i="16"/>
  <c r="AC67" i="16"/>
  <c r="AC68" i="16"/>
  <c r="AC69" i="16"/>
  <c r="AC70" i="16"/>
  <c r="AC71" i="16"/>
  <c r="AC72" i="16"/>
  <c r="AC73" i="16"/>
  <c r="AC74" i="16"/>
  <c r="AC75" i="16"/>
  <c r="AC76" i="16"/>
  <c r="AC77" i="16"/>
  <c r="AC78" i="16"/>
  <c r="AC79" i="16"/>
  <c r="AC80" i="16"/>
  <c r="AC81" i="16"/>
  <c r="AC82" i="16"/>
  <c r="AC83" i="16"/>
  <c r="AC84" i="16"/>
  <c r="AC85" i="16"/>
  <c r="AC86" i="16"/>
  <c r="AC87" i="16"/>
  <c r="AC88" i="16"/>
  <c r="AC89" i="16"/>
  <c r="AC90" i="16"/>
  <c r="AC91" i="16"/>
  <c r="AC92" i="16"/>
  <c r="AC93" i="16"/>
  <c r="AC94" i="16"/>
  <c r="AC95" i="16"/>
  <c r="AC96" i="16"/>
  <c r="AC97" i="16"/>
  <c r="AC98" i="16"/>
  <c r="AC99" i="16"/>
  <c r="AC100" i="16"/>
  <c r="AC101" i="16"/>
  <c r="AC102" i="16"/>
  <c r="AC103" i="16"/>
  <c r="AC104" i="16"/>
  <c r="AC105" i="16"/>
  <c r="AC106" i="16"/>
  <c r="AC107" i="16"/>
  <c r="AC108" i="16"/>
  <c r="AC109" i="16"/>
  <c r="AC110" i="16"/>
  <c r="AC111" i="16"/>
  <c r="AC112" i="16"/>
  <c r="AC113" i="16"/>
  <c r="AC114" i="16"/>
  <c r="AC115" i="16"/>
  <c r="AC116" i="16"/>
  <c r="AC117" i="16"/>
  <c r="AC118" i="16"/>
  <c r="AC119" i="16"/>
  <c r="AC120" i="16"/>
  <c r="AC121" i="16"/>
  <c r="AC122" i="16"/>
  <c r="AC123" i="16"/>
  <c r="AC124" i="16"/>
  <c r="AC125" i="16"/>
  <c r="AC126" i="16"/>
  <c r="AC127" i="16"/>
  <c r="AC128" i="16"/>
  <c r="AC129" i="16"/>
  <c r="AC130" i="16"/>
  <c r="AC131" i="16"/>
  <c r="AC132" i="16"/>
  <c r="AC133" i="16"/>
  <c r="AC134" i="16"/>
  <c r="AC135" i="16"/>
  <c r="AC136" i="16"/>
  <c r="AC137" i="16"/>
  <c r="AC138" i="16"/>
  <c r="AC139" i="16"/>
  <c r="AC140" i="16"/>
  <c r="AC141" i="16"/>
  <c r="AC142" i="16"/>
  <c r="AC143" i="16"/>
  <c r="AC144" i="16"/>
  <c r="AC145" i="16"/>
  <c r="AC146" i="16"/>
  <c r="AC147" i="16"/>
  <c r="AC148" i="16"/>
  <c r="AC149" i="16"/>
  <c r="AC150" i="16"/>
  <c r="AC151" i="16"/>
  <c r="AC152" i="16"/>
  <c r="AC153" i="16"/>
  <c r="AC154" i="16"/>
  <c r="AC155" i="16"/>
  <c r="AC156" i="16"/>
  <c r="AC157" i="16"/>
  <c r="AC158" i="16"/>
  <c r="AC159" i="16"/>
  <c r="AC160" i="16"/>
  <c r="AC161" i="16"/>
  <c r="AC162" i="16"/>
  <c r="AC163" i="16"/>
  <c r="AC164" i="16"/>
  <c r="AC165" i="16"/>
  <c r="AC166" i="16"/>
  <c r="AC167" i="16"/>
  <c r="AC168" i="16"/>
  <c r="AC169" i="16"/>
  <c r="AC170" i="16"/>
  <c r="AC171" i="16"/>
  <c r="AC172" i="16"/>
  <c r="AC173" i="16"/>
  <c r="AC174" i="16"/>
  <c r="AC175" i="16"/>
  <c r="AC176" i="16"/>
  <c r="AC177" i="16"/>
  <c r="AC178" i="16"/>
  <c r="AC179" i="16"/>
  <c r="AC180" i="16"/>
  <c r="AC181" i="16"/>
  <c r="AC182" i="16"/>
  <c r="AC183" i="16"/>
  <c r="AC184" i="16"/>
  <c r="AC185" i="16"/>
  <c r="AC186" i="16"/>
  <c r="AC187" i="16"/>
  <c r="AC188" i="16"/>
  <c r="AC189" i="16"/>
  <c r="AC190" i="16"/>
  <c r="AC191" i="16"/>
  <c r="AC192" i="16"/>
  <c r="AC193" i="16"/>
  <c r="AC194" i="16"/>
  <c r="AC195" i="16"/>
  <c r="AC196" i="16"/>
  <c r="AC197" i="16"/>
  <c r="AC198" i="16"/>
  <c r="AC199" i="16"/>
  <c r="AC200" i="16"/>
  <c r="AC201" i="16"/>
  <c r="AC202" i="16"/>
  <c r="AC203" i="16"/>
  <c r="AC204" i="16"/>
  <c r="AC205" i="16"/>
  <c r="AC206" i="16"/>
  <c r="AC207" i="16"/>
  <c r="AC208" i="16"/>
  <c r="AC209" i="16"/>
  <c r="AC210" i="16"/>
  <c r="AC211" i="16"/>
  <c r="AC212" i="16"/>
  <c r="AC213" i="16"/>
  <c r="AC214" i="16"/>
  <c r="AC215" i="16"/>
  <c r="AC216" i="16"/>
  <c r="AC217" i="16"/>
  <c r="AC218" i="16"/>
  <c r="AC219" i="16"/>
  <c r="AC220" i="16"/>
  <c r="AC221" i="16"/>
  <c r="AC222" i="16"/>
  <c r="AC223" i="16"/>
  <c r="AC224" i="16"/>
  <c r="AC225" i="16"/>
  <c r="AC226" i="16"/>
  <c r="AC227" i="16"/>
  <c r="AC228" i="16"/>
  <c r="AC229" i="16"/>
  <c r="AC230" i="16"/>
  <c r="AC231" i="16"/>
  <c r="AC232" i="16"/>
  <c r="AC233" i="16"/>
  <c r="AC234" i="16"/>
  <c r="AC235" i="16"/>
  <c r="AC236" i="16"/>
  <c r="AC237" i="16"/>
  <c r="AC238" i="16"/>
  <c r="AC239" i="16"/>
  <c r="AC240" i="16"/>
  <c r="AC241" i="16"/>
  <c r="AC242" i="16"/>
  <c r="AC243" i="16"/>
  <c r="AC244" i="16"/>
  <c r="AC245" i="16"/>
  <c r="AC246" i="16"/>
  <c r="AC247" i="16"/>
  <c r="AC248" i="16"/>
  <c r="AC249" i="16"/>
  <c r="AC250" i="16"/>
  <c r="AC251" i="16"/>
  <c r="AC252" i="16"/>
  <c r="AC253" i="16"/>
  <c r="AC254" i="16"/>
  <c r="AD174" i="16"/>
  <c r="AD178" i="16"/>
  <c r="AD182" i="16"/>
  <c r="AD186" i="16"/>
  <c r="AD190" i="16"/>
  <c r="AD194" i="16"/>
  <c r="AD198" i="16"/>
  <c r="AD202" i="16"/>
  <c r="AD206" i="16"/>
  <c r="AD210" i="16"/>
  <c r="AD214" i="16"/>
  <c r="AD218" i="16"/>
  <c r="AD222" i="16"/>
  <c r="AD230" i="16"/>
  <c r="AD238" i="16"/>
  <c r="AD246" i="16"/>
  <c r="AD254" i="16"/>
  <c r="AF3" i="16"/>
  <c r="AF4" i="16"/>
  <c r="AF5" i="16"/>
  <c r="AF6" i="16"/>
  <c r="AF7" i="16"/>
  <c r="AF8" i="16"/>
  <c r="AF9" i="16"/>
  <c r="AF10" i="16"/>
  <c r="AF11" i="16"/>
  <c r="AF12" i="16"/>
  <c r="AF13" i="16"/>
  <c r="AF14" i="16"/>
  <c r="AF15" i="16"/>
  <c r="AF16" i="16"/>
  <c r="AF17" i="16"/>
  <c r="AF18" i="16"/>
  <c r="AF19" i="16"/>
  <c r="AF20" i="16"/>
  <c r="AF21" i="16"/>
  <c r="AF22" i="16"/>
  <c r="AF23" i="16"/>
  <c r="AF24" i="16"/>
  <c r="AF25" i="16"/>
  <c r="AF26" i="16"/>
  <c r="AF27" i="16"/>
  <c r="AF28" i="16"/>
  <c r="AF29" i="16"/>
  <c r="AF30" i="16"/>
  <c r="AF31" i="16"/>
  <c r="AF32" i="16"/>
  <c r="AF33" i="16"/>
  <c r="AF34" i="16"/>
  <c r="AF35" i="16"/>
  <c r="AF36" i="16"/>
  <c r="AF37" i="16"/>
  <c r="AF38" i="16"/>
  <c r="AF39" i="16"/>
  <c r="AF40" i="16"/>
  <c r="AF41" i="16"/>
  <c r="AF42" i="16"/>
  <c r="AF43" i="16"/>
  <c r="AF44" i="16"/>
  <c r="AF45" i="16"/>
  <c r="AF46" i="16"/>
  <c r="AF47" i="16"/>
  <c r="AF48" i="16"/>
  <c r="AF49" i="16"/>
  <c r="AF50" i="16"/>
  <c r="AF51" i="16"/>
  <c r="AF52" i="16"/>
  <c r="AF53" i="16"/>
  <c r="AF54" i="16"/>
  <c r="AF55" i="16"/>
  <c r="AF56" i="16"/>
  <c r="AF57" i="16"/>
  <c r="AF58" i="16"/>
  <c r="AF59" i="16"/>
  <c r="AF60" i="16"/>
  <c r="AF61" i="16"/>
  <c r="AF62" i="16"/>
  <c r="AF63" i="16"/>
  <c r="AF64" i="16"/>
  <c r="AF65" i="16"/>
  <c r="AF66" i="16"/>
  <c r="AF67" i="16"/>
  <c r="AF68" i="16"/>
  <c r="AF69" i="16"/>
  <c r="AF70" i="16"/>
  <c r="AF71" i="16"/>
  <c r="AF72" i="16"/>
  <c r="AF73" i="16"/>
  <c r="AF74" i="16"/>
  <c r="AF75" i="16"/>
  <c r="AF76" i="16"/>
  <c r="AF77" i="16"/>
  <c r="AF78" i="16"/>
  <c r="AF79" i="16"/>
  <c r="AF80" i="16"/>
  <c r="AF81" i="16"/>
  <c r="AF82" i="16"/>
  <c r="AF83" i="16"/>
  <c r="AF84" i="16"/>
  <c r="AF85" i="16"/>
  <c r="AF86" i="16"/>
  <c r="AF87" i="16"/>
  <c r="AF88" i="16"/>
  <c r="AF89" i="16"/>
  <c r="AF90" i="16"/>
  <c r="AF91" i="16"/>
  <c r="AF92" i="16"/>
  <c r="AF93" i="16"/>
  <c r="AF94" i="16"/>
  <c r="AF95" i="16"/>
  <c r="AF96" i="16"/>
  <c r="AF97" i="16"/>
  <c r="AF98" i="16"/>
  <c r="AF99" i="16"/>
  <c r="AF100" i="16"/>
  <c r="AF101" i="16"/>
  <c r="AF102" i="16"/>
  <c r="AF103" i="16"/>
  <c r="AF104" i="16"/>
  <c r="AF105" i="16"/>
  <c r="AF106" i="16"/>
  <c r="AF107" i="16"/>
  <c r="AF108" i="16"/>
  <c r="AF109" i="16"/>
  <c r="AF110" i="16"/>
  <c r="AF111" i="16"/>
  <c r="AF112" i="16"/>
  <c r="AF113" i="16"/>
  <c r="AF114" i="16"/>
  <c r="AF115" i="16"/>
  <c r="AF116" i="16"/>
  <c r="AF117" i="16"/>
  <c r="AF118" i="16"/>
  <c r="AF119" i="16"/>
  <c r="AF120" i="16"/>
  <c r="AF121" i="16"/>
  <c r="AF122" i="16"/>
  <c r="AF123" i="16"/>
  <c r="AF124" i="16"/>
  <c r="AF125" i="16"/>
  <c r="AF126" i="16"/>
  <c r="AF127" i="16"/>
  <c r="AF128" i="16"/>
  <c r="AF129" i="16"/>
  <c r="AF130" i="16"/>
  <c r="AF131" i="16"/>
  <c r="AF132" i="16"/>
  <c r="AF133" i="16"/>
  <c r="AF134" i="16"/>
  <c r="AF135" i="16"/>
  <c r="AF136" i="16"/>
  <c r="AF137" i="16"/>
  <c r="AF138" i="16"/>
  <c r="AF139" i="16"/>
  <c r="AF140" i="16"/>
  <c r="AF141" i="16"/>
  <c r="AF142" i="16"/>
  <c r="AF143" i="16"/>
  <c r="AF144" i="16"/>
  <c r="AF145" i="16"/>
  <c r="AF146" i="16"/>
  <c r="AF147" i="16"/>
  <c r="AF148" i="16"/>
  <c r="AF149" i="16"/>
  <c r="AF150" i="16"/>
  <c r="AF151" i="16"/>
  <c r="AF152" i="16"/>
  <c r="AF153" i="16"/>
  <c r="AF154" i="16"/>
  <c r="AF155" i="16"/>
  <c r="AF156" i="16"/>
  <c r="AF157" i="16"/>
  <c r="AF158" i="16"/>
  <c r="AF159" i="16"/>
  <c r="AF160" i="16"/>
  <c r="AF161" i="16"/>
  <c r="AF162" i="16"/>
  <c r="AF163" i="16"/>
  <c r="AF164" i="16"/>
  <c r="AF165" i="16"/>
  <c r="AF166" i="16"/>
  <c r="AF167" i="16"/>
  <c r="AF168" i="16"/>
  <c r="AF169" i="16"/>
  <c r="AF170" i="16"/>
  <c r="AF171" i="16"/>
  <c r="AF172" i="16"/>
  <c r="AF173" i="16"/>
  <c r="AF174" i="16"/>
  <c r="AF175" i="16"/>
  <c r="AF176" i="16"/>
  <c r="AF177" i="16"/>
  <c r="AF178" i="16"/>
  <c r="AF179" i="16"/>
  <c r="AF180" i="16"/>
  <c r="AF181" i="16"/>
  <c r="AF182" i="16"/>
  <c r="AF183" i="16"/>
  <c r="AF184" i="16"/>
  <c r="AF185" i="16"/>
  <c r="AF186" i="16"/>
  <c r="AF187" i="16"/>
  <c r="AF188" i="16"/>
  <c r="AF189" i="16"/>
  <c r="AF190" i="16"/>
  <c r="AF191" i="16"/>
  <c r="AF192" i="16"/>
  <c r="AF193" i="16"/>
  <c r="AF194" i="16"/>
  <c r="AF195" i="16"/>
  <c r="AF196" i="16"/>
  <c r="AF197" i="16"/>
  <c r="AF198" i="16"/>
  <c r="AF199" i="16"/>
  <c r="AF200" i="16"/>
  <c r="AF201" i="16"/>
  <c r="AF202" i="16"/>
  <c r="AF203" i="16"/>
  <c r="AF204" i="16"/>
  <c r="AF205" i="16"/>
  <c r="AF206" i="16"/>
  <c r="AF207" i="16"/>
  <c r="AF208" i="16"/>
  <c r="AF209" i="16"/>
  <c r="AF210" i="16"/>
  <c r="AF211" i="16"/>
  <c r="AF212" i="16"/>
  <c r="AF213" i="16"/>
  <c r="AF214" i="16"/>
  <c r="AF215" i="16"/>
  <c r="AF216" i="16"/>
  <c r="AF217" i="16"/>
  <c r="AF218" i="16"/>
  <c r="AF219" i="16"/>
  <c r="AF220" i="16"/>
  <c r="AF221" i="16"/>
  <c r="AF222" i="16"/>
  <c r="AF223" i="16"/>
  <c r="AF224" i="16"/>
  <c r="AF225" i="16"/>
  <c r="AF226" i="16"/>
  <c r="AF227" i="16"/>
  <c r="AF228" i="16"/>
  <c r="AF229" i="16"/>
  <c r="AF230" i="16"/>
  <c r="AF231" i="16"/>
  <c r="AF232" i="16"/>
  <c r="AF233" i="16"/>
  <c r="AF234" i="16"/>
  <c r="AF235" i="16"/>
  <c r="AF236" i="16"/>
  <c r="AF237" i="16"/>
  <c r="AF238" i="16"/>
  <c r="AF239" i="16"/>
  <c r="AF240" i="16"/>
  <c r="AF241" i="16"/>
  <c r="AF242" i="16"/>
  <c r="AF243" i="16"/>
  <c r="AF244" i="16"/>
  <c r="AF245" i="16"/>
  <c r="AF246" i="16"/>
  <c r="AF247" i="16"/>
  <c r="AF248" i="16"/>
  <c r="AF249" i="16"/>
  <c r="AF250" i="16"/>
  <c r="AF251" i="16"/>
  <c r="AF252" i="16"/>
  <c r="AF253" i="16"/>
  <c r="AF254" i="16"/>
  <c r="AG3" i="16"/>
  <c r="AG4" i="16"/>
  <c r="AG5" i="16"/>
  <c r="AG6" i="16"/>
  <c r="AG7" i="16"/>
  <c r="AG8" i="16"/>
  <c r="AG9" i="16"/>
  <c r="AG10" i="16"/>
  <c r="AG11" i="16"/>
  <c r="AG12" i="16"/>
  <c r="AG13" i="16"/>
  <c r="AG14" i="16"/>
  <c r="AG15" i="16"/>
  <c r="AG16" i="16"/>
  <c r="AG17" i="16"/>
  <c r="AG18" i="16"/>
  <c r="AG19" i="16"/>
  <c r="AG20" i="16"/>
  <c r="AG21" i="16"/>
  <c r="AG22" i="16"/>
  <c r="AG23" i="16"/>
  <c r="AG24" i="16"/>
  <c r="AG25" i="16"/>
  <c r="AG26" i="16"/>
  <c r="AG27" i="16"/>
  <c r="AG28" i="16"/>
  <c r="AG29" i="16"/>
  <c r="AG30" i="16"/>
  <c r="AG31" i="16"/>
  <c r="AG32" i="16"/>
  <c r="AG33" i="16"/>
  <c r="AG34" i="16"/>
  <c r="AG35" i="16"/>
  <c r="AG36" i="16"/>
  <c r="AG37" i="16"/>
  <c r="AG38" i="16"/>
  <c r="AG39" i="16"/>
  <c r="AG40" i="16"/>
  <c r="AG41" i="16"/>
  <c r="AG42" i="16"/>
  <c r="AG43" i="16"/>
  <c r="AG44" i="16"/>
  <c r="AG45" i="16"/>
  <c r="AG46" i="16"/>
  <c r="AG47" i="16"/>
  <c r="AG48" i="16"/>
  <c r="AG49" i="16"/>
  <c r="AG50" i="16"/>
  <c r="AG51" i="16"/>
  <c r="AG52" i="16"/>
  <c r="AG53" i="16"/>
  <c r="AG54" i="16"/>
  <c r="AG55" i="16"/>
  <c r="AG56" i="16"/>
  <c r="AG57" i="16"/>
  <c r="AG58" i="16"/>
  <c r="AG59" i="16"/>
  <c r="AG60" i="16"/>
  <c r="AG61" i="16"/>
  <c r="AG62" i="16"/>
  <c r="AG63" i="16"/>
  <c r="AG64" i="16"/>
  <c r="AG65" i="16"/>
  <c r="AG66" i="16"/>
  <c r="AG67" i="16"/>
  <c r="AG68" i="16"/>
  <c r="AG69" i="16"/>
  <c r="AG70" i="16"/>
  <c r="AG71" i="16"/>
  <c r="AG72" i="16"/>
  <c r="AG73" i="16"/>
  <c r="AG74" i="16"/>
  <c r="AG75" i="16"/>
  <c r="AG76" i="16"/>
  <c r="AG77" i="16"/>
  <c r="AG78" i="16"/>
  <c r="AG79" i="16"/>
  <c r="AG80" i="16"/>
  <c r="AG81" i="16"/>
  <c r="AG82" i="16"/>
  <c r="AG83" i="16"/>
  <c r="AG84" i="16"/>
  <c r="AG85" i="16"/>
  <c r="AG86" i="16"/>
  <c r="AG87" i="16"/>
  <c r="AG88" i="16"/>
  <c r="AG89" i="16"/>
  <c r="AG90" i="16"/>
  <c r="AG91" i="16"/>
  <c r="AG92" i="16"/>
  <c r="AG93" i="16"/>
  <c r="AG94" i="16"/>
  <c r="AG95" i="16"/>
  <c r="AG96" i="16"/>
  <c r="AG97" i="16"/>
  <c r="AG98" i="16"/>
  <c r="AG99" i="16"/>
  <c r="AG100" i="16"/>
  <c r="AG101" i="16"/>
  <c r="AG102" i="16"/>
  <c r="AG103" i="16"/>
  <c r="AG104" i="16"/>
  <c r="AG105" i="16"/>
  <c r="AG106" i="16"/>
  <c r="AG107" i="16"/>
  <c r="AG108" i="16"/>
  <c r="AG109" i="16"/>
  <c r="AG110" i="16"/>
  <c r="AG111" i="16"/>
  <c r="AG112" i="16"/>
  <c r="AG113" i="16"/>
  <c r="AG114" i="16"/>
  <c r="AG115" i="16"/>
  <c r="AG116" i="16"/>
  <c r="AG117" i="16"/>
  <c r="AG118" i="16"/>
  <c r="AG119" i="16"/>
  <c r="AG120" i="16"/>
  <c r="AG121" i="16"/>
  <c r="AG122" i="16"/>
  <c r="AG123" i="16"/>
  <c r="AG124" i="16"/>
  <c r="AG125" i="16"/>
  <c r="AG126" i="16"/>
  <c r="AG127" i="16"/>
  <c r="AG128" i="16"/>
  <c r="AG129" i="16"/>
  <c r="AG130" i="16"/>
  <c r="AG131" i="16"/>
  <c r="AG132" i="16"/>
  <c r="AG133" i="16"/>
  <c r="AG134" i="16"/>
  <c r="AG135" i="16"/>
  <c r="AG136" i="16"/>
  <c r="AG137" i="16"/>
  <c r="AG138" i="16"/>
  <c r="AG139" i="16"/>
  <c r="AG140" i="16"/>
  <c r="AG141" i="16"/>
  <c r="AG142" i="16"/>
  <c r="AG143" i="16"/>
  <c r="AG144" i="16"/>
  <c r="AG145" i="16"/>
  <c r="AG146" i="16"/>
  <c r="AG147" i="16"/>
  <c r="AG148" i="16"/>
  <c r="AG149" i="16"/>
  <c r="AG150" i="16"/>
  <c r="AG151" i="16"/>
  <c r="AG152" i="16"/>
  <c r="AG153" i="16"/>
  <c r="AG154" i="16"/>
  <c r="AG155" i="16"/>
  <c r="AG156" i="16"/>
  <c r="AG157" i="16"/>
  <c r="AG158" i="16"/>
  <c r="AG159" i="16"/>
  <c r="AG160" i="16"/>
  <c r="AG161" i="16"/>
  <c r="AG162" i="16"/>
  <c r="AG163" i="16"/>
  <c r="AG164" i="16"/>
  <c r="AG165" i="16"/>
  <c r="AG166" i="16"/>
  <c r="AG167" i="16"/>
  <c r="AG168" i="16"/>
  <c r="AG169" i="16"/>
  <c r="AG170" i="16"/>
  <c r="AG171" i="16"/>
  <c r="AG172" i="16"/>
  <c r="AG173" i="16"/>
  <c r="AG174" i="16"/>
  <c r="AG175" i="16"/>
  <c r="AG176" i="16"/>
  <c r="AG177" i="16"/>
  <c r="AG178" i="16"/>
  <c r="AG179" i="16"/>
  <c r="AG180" i="16"/>
  <c r="AG181" i="16"/>
  <c r="AG182" i="16"/>
  <c r="AG183" i="16"/>
  <c r="AG184" i="16"/>
  <c r="AG185" i="16"/>
  <c r="AG186" i="16"/>
  <c r="AG187" i="16"/>
  <c r="AG188" i="16"/>
  <c r="AG189" i="16"/>
  <c r="AG190" i="16"/>
  <c r="AG191" i="16"/>
  <c r="AG192" i="16"/>
  <c r="AG193" i="16"/>
  <c r="AG194" i="16"/>
  <c r="AG195" i="16"/>
  <c r="AG196" i="16"/>
  <c r="AG197" i="16"/>
  <c r="AG198" i="16"/>
  <c r="AG199" i="16"/>
  <c r="AG200" i="16"/>
  <c r="AG201" i="16"/>
  <c r="AG202" i="16"/>
  <c r="AG203" i="16"/>
  <c r="AG204" i="16"/>
  <c r="AG205" i="16"/>
  <c r="AG206" i="16"/>
  <c r="AG207" i="16"/>
  <c r="AG208" i="16"/>
  <c r="AG209" i="16"/>
  <c r="AG210" i="16"/>
  <c r="AG211" i="16"/>
  <c r="AG212" i="16"/>
  <c r="AG213" i="16"/>
  <c r="AG214" i="16"/>
  <c r="AG215" i="16"/>
  <c r="AG216" i="16"/>
  <c r="AG217" i="16"/>
  <c r="AG218" i="16"/>
  <c r="AG219" i="16"/>
  <c r="AG220" i="16"/>
  <c r="AG221" i="16"/>
  <c r="AG222" i="16"/>
  <c r="AG223" i="16"/>
  <c r="AG224" i="16"/>
  <c r="AG225" i="16"/>
  <c r="AG226" i="16"/>
  <c r="AG227" i="16"/>
  <c r="AG228" i="16"/>
  <c r="AG229" i="16"/>
  <c r="AG230" i="16"/>
  <c r="AG231" i="16"/>
  <c r="AG232" i="16"/>
  <c r="AG233" i="16"/>
  <c r="AG234" i="16"/>
  <c r="AG235" i="16"/>
  <c r="AG236" i="16"/>
  <c r="AG237" i="16"/>
  <c r="AG238" i="16"/>
  <c r="AG239" i="16"/>
  <c r="AG240" i="16"/>
  <c r="AG241" i="16"/>
  <c r="AG242" i="16"/>
  <c r="AG243" i="16"/>
  <c r="AG244" i="16"/>
  <c r="AG245" i="16"/>
  <c r="AG246" i="16"/>
  <c r="AG247" i="16"/>
  <c r="AG248" i="16"/>
  <c r="AG249" i="16"/>
  <c r="AG250" i="16"/>
  <c r="AG251" i="16"/>
  <c r="AG252" i="16"/>
  <c r="AG253" i="16"/>
  <c r="AG254" i="16"/>
  <c r="AH230" i="16"/>
  <c r="AH238" i="16"/>
  <c r="AH242" i="16"/>
  <c r="AH246" i="16"/>
  <c r="AH250" i="16"/>
  <c r="AH254" i="16"/>
  <c r="AI83" i="16"/>
  <c r="AI230" i="16"/>
  <c r="AI238" i="16"/>
  <c r="AI246" i="16"/>
  <c r="AI254" i="16"/>
  <c r="AJ226" i="16"/>
  <c r="AJ230" i="16"/>
  <c r="AJ234" i="16"/>
  <c r="AJ238" i="16"/>
  <c r="AJ242" i="16"/>
  <c r="AJ246" i="16"/>
  <c r="AJ250" i="16"/>
  <c r="AJ254" i="16"/>
  <c r="AM7" i="16"/>
  <c r="AM39" i="16"/>
  <c r="AM71" i="16"/>
  <c r="AM103" i="16"/>
  <c r="AM135" i="16"/>
  <c r="AM167" i="16"/>
  <c r="AM199" i="16"/>
  <c r="AM226" i="16"/>
  <c r="AM230" i="16"/>
  <c r="AM233" i="16"/>
  <c r="AM234" i="16"/>
  <c r="AM235" i="16"/>
  <c r="AM238" i="16"/>
  <c r="AM241" i="16"/>
  <c r="AM242" i="16"/>
  <c r="AM243" i="16"/>
  <c r="AM246" i="16"/>
  <c r="AM249" i="16"/>
  <c r="AM250" i="16"/>
  <c r="AM251" i="16"/>
  <c r="AM254" i="16"/>
  <c r="AN3" i="16"/>
  <c r="AN4" i="16"/>
  <c r="AN5" i="16"/>
  <c r="AN6" i="16"/>
  <c r="AN7" i="16"/>
  <c r="AN8" i="16"/>
  <c r="AN9" i="16"/>
  <c r="AN10" i="16"/>
  <c r="AN11" i="16"/>
  <c r="AN12" i="16"/>
  <c r="AN13" i="16"/>
  <c r="AN14" i="16"/>
  <c r="AN15" i="16"/>
  <c r="AN16" i="16"/>
  <c r="AN17" i="16"/>
  <c r="AN18" i="16"/>
  <c r="AN19" i="16"/>
  <c r="AN20" i="16"/>
  <c r="AN21" i="16"/>
  <c r="AN22" i="16"/>
  <c r="AN23" i="16"/>
  <c r="AN24" i="16"/>
  <c r="AN25" i="16"/>
  <c r="AN26" i="16"/>
  <c r="AN27" i="16"/>
  <c r="AN28" i="16"/>
  <c r="AN29" i="16"/>
  <c r="AN30" i="16"/>
  <c r="AN31" i="16"/>
  <c r="AN32" i="16"/>
  <c r="AN33" i="16"/>
  <c r="AN34" i="16"/>
  <c r="AN35" i="16"/>
  <c r="AN36" i="16"/>
  <c r="AN37" i="16"/>
  <c r="AN38" i="16"/>
  <c r="AN39" i="16"/>
  <c r="AN40" i="16"/>
  <c r="AN41" i="16"/>
  <c r="AN42" i="16"/>
  <c r="AN43" i="16"/>
  <c r="AN44" i="16"/>
  <c r="AN45" i="16"/>
  <c r="AN46" i="16"/>
  <c r="AN47" i="16"/>
  <c r="AN48" i="16"/>
  <c r="AN49" i="16"/>
  <c r="AN50" i="16"/>
  <c r="AN51" i="16"/>
  <c r="AN52" i="16"/>
  <c r="AN53" i="16"/>
  <c r="AN54" i="16"/>
  <c r="AN55" i="16"/>
  <c r="AN56" i="16"/>
  <c r="AN57" i="16"/>
  <c r="AN58" i="16"/>
  <c r="AN59" i="16"/>
  <c r="AN60" i="16"/>
  <c r="AN61" i="16"/>
  <c r="AN62" i="16"/>
  <c r="AN63" i="16"/>
  <c r="AN64" i="16"/>
  <c r="AN65" i="16"/>
  <c r="AN66" i="16"/>
  <c r="AN67" i="16"/>
  <c r="AN68" i="16"/>
  <c r="AN69" i="16"/>
  <c r="AN70" i="16"/>
  <c r="AN71" i="16"/>
  <c r="AN72" i="16"/>
  <c r="AN73" i="16"/>
  <c r="AN74" i="16"/>
  <c r="AN75" i="16"/>
  <c r="AN76" i="16"/>
  <c r="AN77" i="16"/>
  <c r="AN78" i="16"/>
  <c r="AN79" i="16"/>
  <c r="AN80" i="16"/>
  <c r="AN81" i="16"/>
  <c r="AN82" i="16"/>
  <c r="AN83" i="16"/>
  <c r="AN84" i="16"/>
  <c r="AN85" i="16"/>
  <c r="AN86" i="16"/>
  <c r="AN87" i="16"/>
  <c r="AN88" i="16"/>
  <c r="AN89" i="16"/>
  <c r="AN90" i="16"/>
  <c r="AN91" i="16"/>
  <c r="AN92" i="16"/>
  <c r="AN93" i="16"/>
  <c r="AN94" i="16"/>
  <c r="AN95" i="16"/>
  <c r="AN96" i="16"/>
  <c r="AN97" i="16"/>
  <c r="AN98" i="16"/>
  <c r="AN99" i="16"/>
  <c r="AN100" i="16"/>
  <c r="AN101" i="16"/>
  <c r="AN102" i="16"/>
  <c r="AN103" i="16"/>
  <c r="AN104" i="16"/>
  <c r="AN105" i="16"/>
  <c r="AN106" i="16"/>
  <c r="AN107" i="16"/>
  <c r="AN108" i="16"/>
  <c r="AN109" i="16"/>
  <c r="AN110" i="16"/>
  <c r="AN111" i="16"/>
  <c r="AN112" i="16"/>
  <c r="AN113" i="16"/>
  <c r="AN114" i="16"/>
  <c r="AN115" i="16"/>
  <c r="AN116" i="16"/>
  <c r="AN117" i="16"/>
  <c r="AN118" i="16"/>
  <c r="AN119" i="16"/>
  <c r="AN120" i="16"/>
  <c r="AN121" i="16"/>
  <c r="AN122" i="16"/>
  <c r="AN123" i="16"/>
  <c r="AN124" i="16"/>
  <c r="AN125" i="16"/>
  <c r="AN126" i="16"/>
  <c r="AN127" i="16"/>
  <c r="AN128" i="16"/>
  <c r="AN129" i="16"/>
  <c r="AN130" i="16"/>
  <c r="AN131" i="16"/>
  <c r="AN132" i="16"/>
  <c r="AN133" i="16"/>
  <c r="AN134" i="16"/>
  <c r="AN135" i="16"/>
  <c r="AN136" i="16"/>
  <c r="AN137" i="16"/>
  <c r="AN138" i="16"/>
  <c r="AN139" i="16"/>
  <c r="AN140" i="16"/>
  <c r="AN141" i="16"/>
  <c r="AN142" i="16"/>
  <c r="AN143" i="16"/>
  <c r="AN144" i="16"/>
  <c r="AN145" i="16"/>
  <c r="AN146" i="16"/>
  <c r="AN147" i="16"/>
  <c r="AN148" i="16"/>
  <c r="AN149" i="16"/>
  <c r="AN150" i="16"/>
  <c r="AN151" i="16"/>
  <c r="AN152" i="16"/>
  <c r="AN153" i="16"/>
  <c r="AN154" i="16"/>
  <c r="AN155" i="16"/>
  <c r="AN156" i="16"/>
  <c r="AN157" i="16"/>
  <c r="AN158" i="16"/>
  <c r="AN159" i="16"/>
  <c r="AN160" i="16"/>
  <c r="AN161" i="16"/>
  <c r="AN162" i="16"/>
  <c r="AN163" i="16"/>
  <c r="AN164" i="16"/>
  <c r="AN165" i="16"/>
  <c r="AN166" i="16"/>
  <c r="AN167" i="16"/>
  <c r="AN168" i="16"/>
  <c r="AN169" i="16"/>
  <c r="AN170" i="16"/>
  <c r="AN171" i="16"/>
  <c r="AN172" i="16"/>
  <c r="AN173" i="16"/>
  <c r="AN174" i="16"/>
  <c r="AN175" i="16"/>
  <c r="AN176" i="16"/>
  <c r="AN177" i="16"/>
  <c r="AN178" i="16"/>
  <c r="AN179" i="16"/>
  <c r="AN180" i="16"/>
  <c r="AN181" i="16"/>
  <c r="AN182" i="16"/>
  <c r="AN183" i="16"/>
  <c r="AN184" i="16"/>
  <c r="AN185" i="16"/>
  <c r="AN186" i="16"/>
  <c r="AN187" i="16"/>
  <c r="AN188" i="16"/>
  <c r="AN189" i="16"/>
  <c r="AN190" i="16"/>
  <c r="AN191" i="16"/>
  <c r="AN192" i="16"/>
  <c r="AN193" i="16"/>
  <c r="AN194" i="16"/>
  <c r="AN195" i="16"/>
  <c r="AN196" i="16"/>
  <c r="AN197" i="16"/>
  <c r="AN198" i="16"/>
  <c r="AN199" i="16"/>
  <c r="AN200" i="16"/>
  <c r="AN201" i="16"/>
  <c r="AN202" i="16"/>
  <c r="AN203" i="16"/>
  <c r="AN204" i="16"/>
  <c r="AN205" i="16"/>
  <c r="AN206" i="16"/>
  <c r="AN207" i="16"/>
  <c r="AN208" i="16"/>
  <c r="AN209" i="16"/>
  <c r="AN210" i="16"/>
  <c r="AN211" i="16"/>
  <c r="AN212" i="16"/>
  <c r="AN213" i="16"/>
  <c r="AN214" i="16"/>
  <c r="AN215" i="16"/>
  <c r="AN216" i="16"/>
  <c r="AN217" i="16"/>
  <c r="AN218" i="16"/>
  <c r="AN219" i="16"/>
  <c r="AN220" i="16"/>
  <c r="AN221" i="16"/>
  <c r="AN222" i="16"/>
  <c r="AN223" i="16"/>
  <c r="AN224" i="16"/>
  <c r="AN225" i="16"/>
  <c r="AN226" i="16"/>
  <c r="AN227" i="16"/>
  <c r="AN228" i="16"/>
  <c r="AN229" i="16"/>
  <c r="AN230" i="16"/>
  <c r="AN231" i="16"/>
  <c r="AN232" i="16"/>
  <c r="AN233" i="16"/>
  <c r="AN234" i="16"/>
  <c r="AN235" i="16"/>
  <c r="AN236" i="16"/>
  <c r="AN237" i="16"/>
  <c r="AN238" i="16"/>
  <c r="AN239" i="16"/>
  <c r="AN240" i="16"/>
  <c r="AN241" i="16"/>
  <c r="AN242" i="16"/>
  <c r="AN243" i="16"/>
  <c r="AN244" i="16"/>
  <c r="AN245" i="16"/>
  <c r="AN246" i="16"/>
  <c r="AN247" i="16"/>
  <c r="AN248" i="16"/>
  <c r="AN249" i="16"/>
  <c r="AN250" i="16"/>
  <c r="AN251" i="16"/>
  <c r="AN252" i="16"/>
  <c r="AN253" i="16"/>
  <c r="AN254" i="16"/>
  <c r="E2" i="17"/>
  <c r="E3" i="17"/>
  <c r="E4" i="17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56" i="17"/>
  <c r="E57" i="17"/>
  <c r="E58" i="17"/>
  <c r="E59" i="17"/>
  <c r="E60" i="17"/>
  <c r="E61" i="17"/>
  <c r="E62" i="17"/>
  <c r="E63" i="17"/>
  <c r="E64" i="17"/>
  <c r="E65" i="17"/>
  <c r="E66" i="17"/>
  <c r="E67" i="17"/>
  <c r="E68" i="17"/>
  <c r="E69" i="17"/>
  <c r="E70" i="17"/>
  <c r="E71" i="17"/>
  <c r="E72" i="17"/>
  <c r="E73" i="17"/>
  <c r="E74" i="17"/>
  <c r="E75" i="17"/>
  <c r="E76" i="17"/>
  <c r="E77" i="17"/>
  <c r="E78" i="17"/>
  <c r="E79" i="17"/>
  <c r="E80" i="17"/>
  <c r="E81" i="17"/>
  <c r="E82" i="17"/>
  <c r="E83" i="17"/>
  <c r="E84" i="17"/>
  <c r="E85" i="17"/>
  <c r="E86" i="17"/>
  <c r="E87" i="17"/>
  <c r="E88" i="17"/>
  <c r="E89" i="17"/>
  <c r="E90" i="17"/>
  <c r="E91" i="17"/>
  <c r="E92" i="17"/>
  <c r="E93" i="17"/>
  <c r="E94" i="17"/>
  <c r="E95" i="17"/>
  <c r="E96" i="17"/>
  <c r="E97" i="17"/>
  <c r="E98" i="17"/>
  <c r="E99" i="17"/>
  <c r="E100" i="17"/>
  <c r="E101" i="17"/>
  <c r="E102" i="17"/>
  <c r="E103" i="17"/>
  <c r="E104" i="17"/>
  <c r="E105" i="17"/>
  <c r="E106" i="17"/>
  <c r="E107" i="17"/>
  <c r="E108" i="17"/>
  <c r="E109" i="17"/>
  <c r="E110" i="17"/>
  <c r="E111" i="17"/>
  <c r="E112" i="17"/>
  <c r="E113" i="17"/>
  <c r="E114" i="17"/>
  <c r="E115" i="17"/>
  <c r="E116" i="17"/>
  <c r="E117" i="17"/>
  <c r="E118" i="17"/>
  <c r="E119" i="17"/>
  <c r="E120" i="17"/>
  <c r="E121" i="17"/>
  <c r="E122" i="17"/>
  <c r="E123" i="17"/>
  <c r="E124" i="17"/>
  <c r="E125" i="17"/>
  <c r="E126" i="17"/>
  <c r="E127" i="17"/>
  <c r="E128" i="17"/>
  <c r="E129" i="17"/>
  <c r="E130" i="17"/>
  <c r="E131" i="17"/>
  <c r="E132" i="17"/>
  <c r="E133" i="17"/>
  <c r="E134" i="17"/>
  <c r="E135" i="17"/>
  <c r="E136" i="17"/>
  <c r="E137" i="17"/>
  <c r="E138" i="17"/>
  <c r="E139" i="17"/>
  <c r="E140" i="17"/>
  <c r="E141" i="17"/>
  <c r="E142" i="17"/>
  <c r="E143" i="17"/>
  <c r="E144" i="17"/>
  <c r="E145" i="17"/>
  <c r="E146" i="17"/>
  <c r="E147" i="17"/>
  <c r="E148" i="17"/>
  <c r="E149" i="17"/>
  <c r="E150" i="17"/>
  <c r="E151" i="17"/>
  <c r="E152" i="17"/>
  <c r="E153" i="17"/>
  <c r="E154" i="17"/>
  <c r="E155" i="17"/>
  <c r="E156" i="17"/>
  <c r="E157" i="17"/>
  <c r="E158" i="17"/>
  <c r="E159" i="17"/>
  <c r="E160" i="17"/>
  <c r="E161" i="17"/>
  <c r="E162" i="17"/>
  <c r="E163" i="17"/>
  <c r="E164" i="17"/>
  <c r="E165" i="17"/>
  <c r="E166" i="17"/>
  <c r="E167" i="17"/>
  <c r="E168" i="17"/>
  <c r="E169" i="17"/>
  <c r="E170" i="17"/>
  <c r="E171" i="17"/>
  <c r="E172" i="17"/>
  <c r="E173" i="17"/>
  <c r="E174" i="17"/>
  <c r="E175" i="17"/>
  <c r="E176" i="17"/>
  <c r="E177" i="17"/>
  <c r="E178" i="17"/>
  <c r="E179" i="17"/>
  <c r="E180" i="17"/>
  <c r="E181" i="17"/>
  <c r="E182" i="17"/>
  <c r="E183" i="17"/>
  <c r="E184" i="17"/>
  <c r="E185" i="17"/>
  <c r="E186" i="17"/>
  <c r="E187" i="17"/>
  <c r="E188" i="17"/>
  <c r="E189" i="17"/>
  <c r="E190" i="17"/>
  <c r="E191" i="17"/>
  <c r="E192" i="17"/>
  <c r="E193" i="17"/>
  <c r="E194" i="17"/>
  <c r="E195" i="17"/>
  <c r="E196" i="17"/>
  <c r="E197" i="17"/>
  <c r="E198" i="17"/>
  <c r="E199" i="17"/>
  <c r="E200" i="17"/>
  <c r="E201" i="17"/>
  <c r="E202" i="17"/>
  <c r="E203" i="17"/>
  <c r="E204" i="17"/>
  <c r="E205" i="17"/>
  <c r="E206" i="17"/>
  <c r="E207" i="17"/>
  <c r="E208" i="17"/>
  <c r="E209" i="17"/>
  <c r="E210" i="17"/>
  <c r="E211" i="17"/>
  <c r="E212" i="17"/>
  <c r="E213" i="17"/>
  <c r="E214" i="17"/>
  <c r="E215" i="17"/>
  <c r="E216" i="17"/>
  <c r="E217" i="17"/>
  <c r="E218" i="17"/>
  <c r="E219" i="17"/>
  <c r="E220" i="17"/>
  <c r="E221" i="17"/>
  <c r="E222" i="17"/>
  <c r="E223" i="17"/>
  <c r="E224" i="17"/>
  <c r="E225" i="17"/>
  <c r="E226" i="17"/>
  <c r="E227" i="17"/>
  <c r="E228" i="17"/>
  <c r="E229" i="17"/>
  <c r="E230" i="17"/>
  <c r="E231" i="17"/>
  <c r="E232" i="17"/>
  <c r="E233" i="17"/>
  <c r="E234" i="17"/>
  <c r="E235" i="17"/>
  <c r="E236" i="17"/>
  <c r="E237" i="17"/>
  <c r="E238" i="17"/>
  <c r="E239" i="17"/>
  <c r="E240" i="17"/>
  <c r="E241" i="17"/>
  <c r="E242" i="17"/>
  <c r="E243" i="17"/>
  <c r="E244" i="17"/>
  <c r="E245" i="17"/>
  <c r="E246" i="17"/>
  <c r="E247" i="17"/>
  <c r="E248" i="17"/>
  <c r="E249" i="17"/>
  <c r="E250" i="17"/>
  <c r="E251" i="17"/>
  <c r="E252" i="17"/>
  <c r="E253" i="17"/>
  <c r="E254" i="17"/>
  <c r="AM87" i="16" l="1"/>
  <c r="AJ83" i="16"/>
  <c r="AI250" i="16"/>
  <c r="AI242" i="16"/>
  <c r="AI234" i="16"/>
  <c r="AI226" i="16"/>
  <c r="AD220" i="16"/>
  <c r="AD216" i="16"/>
  <c r="AD204" i="16"/>
  <c r="AD200" i="16"/>
  <c r="AD188" i="16"/>
  <c r="AD184" i="16"/>
  <c r="AB252" i="16"/>
  <c r="R252" i="16" s="1"/>
  <c r="Z219" i="16"/>
  <c r="W63" i="16"/>
  <c r="AM253" i="16"/>
  <c r="AM247" i="16"/>
  <c r="AM245" i="16"/>
  <c r="AM239" i="16"/>
  <c r="AM237" i="16"/>
  <c r="AM231" i="16"/>
  <c r="AM63" i="16"/>
  <c r="AM31" i="16"/>
  <c r="AJ99" i="16"/>
  <c r="Y250" i="16"/>
  <c r="W179" i="16"/>
  <c r="T242" i="16"/>
  <c r="T220" i="16"/>
  <c r="T216" i="16"/>
  <c r="T204" i="16"/>
  <c r="T200" i="16"/>
  <c r="T188" i="16"/>
  <c r="T184" i="16"/>
  <c r="AD219" i="16"/>
  <c r="AH219" i="16"/>
  <c r="AI219" i="16"/>
  <c r="AJ219" i="16"/>
  <c r="M209" i="16"/>
  <c r="AM209" i="16"/>
  <c r="M205" i="16"/>
  <c r="AM205" i="16"/>
  <c r="M201" i="16"/>
  <c r="AM201" i="16"/>
  <c r="M195" i="16"/>
  <c r="W195" i="16"/>
  <c r="M187" i="16"/>
  <c r="Z187" i="16" s="1"/>
  <c r="M181" i="16"/>
  <c r="U181" i="16" s="1"/>
  <c r="AM181" i="16"/>
  <c r="M177" i="16"/>
  <c r="O177" i="16" s="1"/>
  <c r="AM177" i="16"/>
  <c r="AI171" i="16"/>
  <c r="AJ171" i="16"/>
  <c r="M163" i="16"/>
  <c r="U163" i="16" s="1"/>
  <c r="W163" i="16"/>
  <c r="M157" i="16"/>
  <c r="U157" i="16" s="1"/>
  <c r="AM157" i="16"/>
  <c r="M153" i="16"/>
  <c r="O153" i="16" s="1"/>
  <c r="AM153" i="16"/>
  <c r="M149" i="16"/>
  <c r="O149" i="16" s="1"/>
  <c r="AM149" i="16"/>
  <c r="M141" i="16"/>
  <c r="O141" i="16" s="1"/>
  <c r="AM141" i="16"/>
  <c r="M137" i="16"/>
  <c r="O137" i="16" s="1"/>
  <c r="AM137" i="16"/>
  <c r="W133" i="16"/>
  <c r="M133" i="16"/>
  <c r="AM133" i="16"/>
  <c r="M131" i="16"/>
  <c r="W131" i="16"/>
  <c r="M125" i="16"/>
  <c r="AM125" i="16"/>
  <c r="M121" i="16"/>
  <c r="Z121" i="16"/>
  <c r="AM121" i="16"/>
  <c r="W117" i="16"/>
  <c r="AM117" i="16"/>
  <c r="O87" i="16"/>
  <c r="AI87" i="16"/>
  <c r="AJ87" i="16"/>
  <c r="W85" i="16"/>
  <c r="AM85" i="16"/>
  <c r="O71" i="16"/>
  <c r="AI71" i="16"/>
  <c r="AJ71" i="16"/>
  <c r="W69" i="16"/>
  <c r="M69" i="16"/>
  <c r="AM69" i="16"/>
  <c r="O67" i="16"/>
  <c r="AI67" i="16"/>
  <c r="AJ67" i="16"/>
  <c r="O59" i="16"/>
  <c r="AI59" i="16"/>
  <c r="AJ59" i="16"/>
  <c r="M55" i="16"/>
  <c r="W55" i="16"/>
  <c r="M47" i="16"/>
  <c r="W47" i="16"/>
  <c r="AH251" i="16"/>
  <c r="AI251" i="16"/>
  <c r="AJ251" i="16"/>
  <c r="AH241" i="16"/>
  <c r="AI241" i="16"/>
  <c r="AJ241" i="16"/>
  <c r="AH233" i="16"/>
  <c r="AI233" i="16"/>
  <c r="AJ233" i="16"/>
  <c r="M229" i="16"/>
  <c r="Z229" i="16" s="1"/>
  <c r="AM229" i="16"/>
  <c r="M225" i="16"/>
  <c r="T225" i="16" s="1"/>
  <c r="AM225" i="16"/>
  <c r="H205" i="16"/>
  <c r="O205" i="16"/>
  <c r="H141" i="16"/>
  <c r="AI5" i="16"/>
  <c r="AJ5" i="16"/>
  <c r="M221" i="16"/>
  <c r="U221" i="16" s="1"/>
  <c r="AM221" i="16"/>
  <c r="M217" i="16"/>
  <c r="U217" i="16" s="1"/>
  <c r="AM217" i="16"/>
  <c r="M213" i="16"/>
  <c r="T213" i="16" s="1"/>
  <c r="AM213" i="16"/>
  <c r="M211" i="16"/>
  <c r="T211" i="16" s="1"/>
  <c r="W211" i="16"/>
  <c r="M203" i="16"/>
  <c r="Z203" i="16" s="1"/>
  <c r="M197" i="16"/>
  <c r="AM197" i="16"/>
  <c r="M193" i="16"/>
  <c r="AM193" i="16"/>
  <c r="M189" i="16"/>
  <c r="AM189" i="16"/>
  <c r="M185" i="16"/>
  <c r="AM185" i="16"/>
  <c r="M173" i="16"/>
  <c r="AM173" i="16"/>
  <c r="M169" i="16"/>
  <c r="Z169" i="16" s="1"/>
  <c r="AM169" i="16"/>
  <c r="AI155" i="16"/>
  <c r="AJ155" i="16"/>
  <c r="M147" i="16"/>
  <c r="W147" i="16"/>
  <c r="O139" i="16"/>
  <c r="AH139" i="16"/>
  <c r="O123" i="16"/>
  <c r="AH123" i="16"/>
  <c r="AI123" i="16"/>
  <c r="AJ123" i="16"/>
  <c r="O115" i="16"/>
  <c r="AI115" i="16"/>
  <c r="AJ115" i="16"/>
  <c r="M111" i="16"/>
  <c r="T111" i="16" s="1"/>
  <c r="W111" i="16"/>
  <c r="O107" i="16"/>
  <c r="AH107" i="16"/>
  <c r="AI107" i="16"/>
  <c r="AJ107" i="16"/>
  <c r="O99" i="16"/>
  <c r="AH99" i="16"/>
  <c r="M95" i="16"/>
  <c r="T95" i="16" s="1"/>
  <c r="W95" i="16"/>
  <c r="M79" i="16"/>
  <c r="T79" i="16" s="1"/>
  <c r="W79" i="16"/>
  <c r="W53" i="16"/>
  <c r="AM53" i="16"/>
  <c r="O51" i="16"/>
  <c r="AI51" i="16"/>
  <c r="AJ51" i="16"/>
  <c r="O43" i="16"/>
  <c r="AI43" i="16"/>
  <c r="AJ43" i="16"/>
  <c r="M39" i="16"/>
  <c r="U39" i="16" s="1"/>
  <c r="W39" i="16"/>
  <c r="W37" i="16"/>
  <c r="AM37" i="16"/>
  <c r="O35" i="16"/>
  <c r="AI35" i="16"/>
  <c r="AJ35" i="16"/>
  <c r="O27" i="16"/>
  <c r="AI27" i="16"/>
  <c r="AJ27" i="16"/>
  <c r="M23" i="16"/>
  <c r="T23" i="16" s="1"/>
  <c r="W23" i="16"/>
  <c r="W21" i="16"/>
  <c r="AM21" i="16"/>
  <c r="O19" i="16"/>
  <c r="AI19" i="16"/>
  <c r="AJ19" i="16"/>
  <c r="M15" i="16"/>
  <c r="W15" i="16"/>
  <c r="O11" i="16"/>
  <c r="AI11" i="16"/>
  <c r="AJ11" i="16"/>
  <c r="M7" i="16"/>
  <c r="U7" i="16" s="1"/>
  <c r="W7" i="16"/>
  <c r="W5" i="16"/>
  <c r="AM5" i="16"/>
  <c r="AH249" i="16"/>
  <c r="AI249" i="16"/>
  <c r="AJ249" i="16"/>
  <c r="AH243" i="16"/>
  <c r="AI243" i="16"/>
  <c r="AJ243" i="16"/>
  <c r="AI235" i="16"/>
  <c r="AJ235" i="16"/>
  <c r="M227" i="16"/>
  <c r="O227" i="16" s="1"/>
  <c r="AM227" i="16"/>
  <c r="AM248" i="16"/>
  <c r="AM219" i="16"/>
  <c r="AM211" i="16"/>
  <c r="AM203" i="16"/>
  <c r="AM195" i="16"/>
  <c r="AM187" i="16"/>
  <c r="AM179" i="16"/>
  <c r="AM171" i="16"/>
  <c r="AM163" i="16"/>
  <c r="AM155" i="16"/>
  <c r="AM147" i="16"/>
  <c r="AM139" i="16"/>
  <c r="AM131" i="16"/>
  <c r="AM123" i="16"/>
  <c r="AM115" i="16"/>
  <c r="AM107" i="16"/>
  <c r="AM99" i="16"/>
  <c r="AM91" i="16"/>
  <c r="AM83" i="16"/>
  <c r="AM75" i="16"/>
  <c r="AM67" i="16"/>
  <c r="AM59" i="16"/>
  <c r="AM51" i="16"/>
  <c r="AM43" i="16"/>
  <c r="AM35" i="16"/>
  <c r="AM27" i="16"/>
  <c r="AM19" i="16"/>
  <c r="AM11" i="16"/>
  <c r="AM3" i="16"/>
  <c r="AJ253" i="16"/>
  <c r="AJ247" i="16"/>
  <c r="AJ245" i="16"/>
  <c r="AJ239" i="16"/>
  <c r="AJ237" i="16"/>
  <c r="AJ231" i="16"/>
  <c r="AJ179" i="16"/>
  <c r="AJ139" i="16"/>
  <c r="AJ91" i="16"/>
  <c r="AJ75" i="16"/>
  <c r="AJ63" i="16"/>
  <c r="AJ31" i="16"/>
  <c r="AJ3" i="16"/>
  <c r="AI253" i="16"/>
  <c r="AI247" i="16"/>
  <c r="AI245" i="16"/>
  <c r="AI239" i="16"/>
  <c r="AI237" i="16"/>
  <c r="AI231" i="16"/>
  <c r="AI179" i="16"/>
  <c r="AI139" i="16"/>
  <c r="AI91" i="16"/>
  <c r="AI75" i="16"/>
  <c r="AI63" i="16"/>
  <c r="AI31" i="16"/>
  <c r="AI3" i="16"/>
  <c r="AH235" i="16"/>
  <c r="AH155" i="16"/>
  <c r="AD179" i="16"/>
  <c r="Z137" i="16"/>
  <c r="W123" i="16"/>
  <c r="W31" i="16"/>
  <c r="O250" i="16"/>
  <c r="U250" i="16"/>
  <c r="Z250" i="16"/>
  <c r="AD250" i="16"/>
  <c r="U242" i="16"/>
  <c r="Y242" i="16"/>
  <c r="Z242" i="16"/>
  <c r="AD242" i="16"/>
  <c r="O234" i="16"/>
  <c r="U234" i="16"/>
  <c r="Z234" i="16"/>
  <c r="AD234" i="16"/>
  <c r="AH234" i="16"/>
  <c r="U226" i="16"/>
  <c r="Y226" i="16"/>
  <c r="Z226" i="16"/>
  <c r="AD226" i="16"/>
  <c r="AH226" i="16"/>
  <c r="U212" i="16"/>
  <c r="AD212" i="16"/>
  <c r="U208" i="16"/>
  <c r="AD208" i="16"/>
  <c r="U196" i="16"/>
  <c r="AD196" i="16"/>
  <c r="U192" i="16"/>
  <c r="AD192" i="16"/>
  <c r="U180" i="16"/>
  <c r="AD180" i="16"/>
  <c r="U176" i="16"/>
  <c r="AD176" i="16"/>
  <c r="M244" i="16"/>
  <c r="AB244" i="16"/>
  <c r="R244" i="16" s="1"/>
  <c r="M240" i="16"/>
  <c r="AB240" i="16"/>
  <c r="R240" i="16" s="1"/>
  <c r="M236" i="16"/>
  <c r="AB236" i="16"/>
  <c r="R236" i="16" s="1"/>
  <c r="M232" i="16"/>
  <c r="AB232" i="16"/>
  <c r="R232" i="16" s="1"/>
  <c r="M228" i="16"/>
  <c r="AB228" i="16"/>
  <c r="R228" i="16" s="1"/>
  <c r="M224" i="16"/>
  <c r="AB224" i="16"/>
  <c r="R224" i="16" s="1"/>
  <c r="O221" i="16"/>
  <c r="U219" i="16"/>
  <c r="T219" i="16"/>
  <c r="Y219" i="16"/>
  <c r="T217" i="16"/>
  <c r="M215" i="16"/>
  <c r="W215" i="16"/>
  <c r="Z215" i="16"/>
  <c r="U213" i="16"/>
  <c r="U211" i="16"/>
  <c r="Y211" i="16"/>
  <c r="U209" i="16"/>
  <c r="T209" i="16"/>
  <c r="M207" i="16"/>
  <c r="W207" i="16"/>
  <c r="Z207" i="16"/>
  <c r="U205" i="16"/>
  <c r="T205" i="16"/>
  <c r="U203" i="16"/>
  <c r="Y203" i="16"/>
  <c r="U201" i="16"/>
  <c r="T201" i="16"/>
  <c r="M199" i="16"/>
  <c r="W199" i="16"/>
  <c r="Z199" i="16"/>
  <c r="U197" i="16"/>
  <c r="T197" i="16"/>
  <c r="U195" i="16"/>
  <c r="T195" i="16"/>
  <c r="Y195" i="16"/>
  <c r="M191" i="16"/>
  <c r="W191" i="16"/>
  <c r="Z191" i="16"/>
  <c r="U189" i="16"/>
  <c r="O189" i="16"/>
  <c r="T189" i="16"/>
  <c r="U187" i="16"/>
  <c r="T187" i="16"/>
  <c r="Y187" i="16"/>
  <c r="M183" i="16"/>
  <c r="O183" i="16" s="1"/>
  <c r="W183" i="16"/>
  <c r="Z183" i="16"/>
  <c r="T181" i="16"/>
  <c r="U179" i="16"/>
  <c r="T179" i="16"/>
  <c r="Y179" i="16"/>
  <c r="M175" i="16"/>
  <c r="O175" i="16" s="1"/>
  <c r="W175" i="16"/>
  <c r="Z175" i="16"/>
  <c r="U173" i="16"/>
  <c r="T173" i="16"/>
  <c r="M167" i="16"/>
  <c r="W167" i="16"/>
  <c r="W165" i="16"/>
  <c r="M165" i="16"/>
  <c r="O165" i="16" s="1"/>
  <c r="M161" i="16"/>
  <c r="Z161" i="16"/>
  <c r="M159" i="16"/>
  <c r="W159" i="16"/>
  <c r="O157" i="16"/>
  <c r="M151" i="16"/>
  <c r="W151" i="16"/>
  <c r="M145" i="16"/>
  <c r="Z145" i="16" s="1"/>
  <c r="M143" i="16"/>
  <c r="W143" i="16"/>
  <c r="T141" i="16"/>
  <c r="M135" i="16"/>
  <c r="W135" i="16"/>
  <c r="M129" i="16"/>
  <c r="Z129" i="16"/>
  <c r="M127" i="16"/>
  <c r="W127" i="16"/>
  <c r="U125" i="16"/>
  <c r="O125" i="16"/>
  <c r="M119" i="16"/>
  <c r="W119" i="16"/>
  <c r="M103" i="16"/>
  <c r="W103" i="16"/>
  <c r="W101" i="16"/>
  <c r="M101" i="16"/>
  <c r="O101" i="16" s="1"/>
  <c r="Z195" i="16"/>
  <c r="Z179" i="16"/>
  <c r="Z153" i="16"/>
  <c r="W219" i="16"/>
  <c r="W203" i="16"/>
  <c r="W187" i="16"/>
  <c r="W171" i="16"/>
  <c r="W155" i="16"/>
  <c r="W139" i="16"/>
  <c r="T125" i="16"/>
  <c r="O173" i="16"/>
  <c r="O254" i="16"/>
  <c r="Y254" i="16"/>
  <c r="O246" i="16"/>
  <c r="Y246" i="16"/>
  <c r="O238" i="16"/>
  <c r="Y238" i="16"/>
  <c r="O230" i="16"/>
  <c r="Y230" i="16"/>
  <c r="W87" i="16"/>
  <c r="W71" i="16"/>
  <c r="M37" i="16"/>
  <c r="T37" i="16" s="1"/>
  <c r="R222" i="16"/>
  <c r="R218" i="16"/>
  <c r="R214" i="16"/>
  <c r="R210" i="16"/>
  <c r="R206" i="16"/>
  <c r="R202" i="16"/>
  <c r="R198" i="16"/>
  <c r="R194" i="16"/>
  <c r="R190" i="16"/>
  <c r="R186" i="16"/>
  <c r="R182" i="16"/>
  <c r="R178" i="16"/>
  <c r="R174" i="16"/>
  <c r="R170" i="16"/>
  <c r="R166" i="16"/>
  <c r="R162" i="16"/>
  <c r="R158" i="16"/>
  <c r="R154" i="16"/>
  <c r="R150" i="16"/>
  <c r="R146" i="16"/>
  <c r="R142" i="16"/>
  <c r="R138" i="16"/>
  <c r="R134" i="16"/>
  <c r="R130" i="16"/>
  <c r="R126" i="16"/>
  <c r="R122" i="16"/>
  <c r="R118" i="16"/>
  <c r="R114" i="16"/>
  <c r="R110" i="16"/>
  <c r="R106" i="16"/>
  <c r="R102" i="16"/>
  <c r="R98" i="16"/>
  <c r="R94" i="16"/>
  <c r="R90" i="16"/>
  <c r="R86" i="16"/>
  <c r="R82" i="16"/>
  <c r="R78" i="16"/>
  <c r="R74" i="16"/>
  <c r="R70" i="16"/>
  <c r="R66" i="16"/>
  <c r="R62" i="16"/>
  <c r="R58" i="16"/>
  <c r="R54" i="16"/>
  <c r="R50" i="16"/>
  <c r="R46" i="16"/>
  <c r="R42" i="16"/>
  <c r="R38" i="16"/>
  <c r="R34" i="16"/>
  <c r="R30" i="16"/>
  <c r="R26" i="16"/>
  <c r="R22" i="16"/>
  <c r="R18" i="16"/>
  <c r="R14" i="16"/>
  <c r="R10" i="16"/>
  <c r="R6" i="16"/>
  <c r="U133" i="16"/>
  <c r="O133" i="16"/>
  <c r="T133" i="16"/>
  <c r="Y133" i="16"/>
  <c r="U69" i="16"/>
  <c r="O69" i="16"/>
  <c r="T69" i="16"/>
  <c r="Y69" i="16"/>
  <c r="AH69" i="16"/>
  <c r="T5" i="16"/>
  <c r="O5" i="16"/>
  <c r="U5" i="16"/>
  <c r="Y5" i="16"/>
  <c r="AH5" i="16"/>
  <c r="M252" i="16"/>
  <c r="W252" i="16"/>
  <c r="Z252" i="16"/>
  <c r="M248" i="16"/>
  <c r="W248" i="16"/>
  <c r="Z248" i="16"/>
  <c r="O244" i="16"/>
  <c r="T244" i="16"/>
  <c r="U244" i="16"/>
  <c r="Y244" i="16"/>
  <c r="AD244" i="16"/>
  <c r="U149" i="16"/>
  <c r="T149" i="16"/>
  <c r="U165" i="16"/>
  <c r="T165" i="16"/>
  <c r="U101" i="16"/>
  <c r="T101" i="16"/>
  <c r="O37" i="16"/>
  <c r="Y37" i="16"/>
  <c r="O240" i="16"/>
  <c r="T240" i="16"/>
  <c r="O236" i="16"/>
  <c r="T236" i="16"/>
  <c r="O232" i="16"/>
  <c r="T232" i="16"/>
  <c r="O228" i="16"/>
  <c r="T228" i="16"/>
  <c r="O224" i="16"/>
  <c r="T224" i="16"/>
  <c r="O193" i="16"/>
  <c r="U193" i="16"/>
  <c r="O185" i="16"/>
  <c r="U185" i="16"/>
  <c r="U177" i="16"/>
  <c r="O169" i="16"/>
  <c r="T169" i="16"/>
  <c r="O161" i="16"/>
  <c r="T161" i="16"/>
  <c r="T153" i="16"/>
  <c r="O145" i="16"/>
  <c r="T145" i="16"/>
  <c r="T137" i="16"/>
  <c r="O129" i="16"/>
  <c r="T129" i="16"/>
  <c r="O121" i="16"/>
  <c r="T121" i="16"/>
  <c r="M113" i="16"/>
  <c r="W113" i="16"/>
  <c r="M109" i="16"/>
  <c r="Z109" i="16" s="1"/>
  <c r="W109" i="16"/>
  <c r="M105" i="16"/>
  <c r="W105" i="16"/>
  <c r="M97" i="16"/>
  <c r="W97" i="16"/>
  <c r="M93" i="16"/>
  <c r="Z93" i="16" s="1"/>
  <c r="W93" i="16"/>
  <c r="M89" i="16"/>
  <c r="W89" i="16"/>
  <c r="M81" i="16"/>
  <c r="W81" i="16"/>
  <c r="M77" i="16"/>
  <c r="W77" i="16"/>
  <c r="M73" i="16"/>
  <c r="W73" i="16"/>
  <c r="M65" i="16"/>
  <c r="W65" i="16"/>
  <c r="M61" i="16"/>
  <c r="W61" i="16"/>
  <c r="M57" i="16"/>
  <c r="W57" i="16"/>
  <c r="M49" i="16"/>
  <c r="W49" i="16"/>
  <c r="M45" i="16"/>
  <c r="Z45" i="16" s="1"/>
  <c r="W45" i="16"/>
  <c r="M41" i="16"/>
  <c r="W41" i="16"/>
  <c r="M33" i="16"/>
  <c r="W33" i="16"/>
  <c r="M29" i="16"/>
  <c r="Z29" i="16" s="1"/>
  <c r="W29" i="16"/>
  <c r="M25" i="16"/>
  <c r="W25" i="16"/>
  <c r="M17" i="16"/>
  <c r="W17" i="16"/>
  <c r="M13" i="16"/>
  <c r="W13" i="16"/>
  <c r="M9" i="16"/>
  <c r="W9" i="16"/>
  <c r="AD240" i="16"/>
  <c r="AD236" i="16"/>
  <c r="AD232" i="16"/>
  <c r="AD228" i="16"/>
  <c r="AD224" i="16"/>
  <c r="AD169" i="16"/>
  <c r="AD161" i="16"/>
  <c r="AD153" i="16"/>
  <c r="AD145" i="16"/>
  <c r="AD137" i="16"/>
  <c r="AD129" i="16"/>
  <c r="AD121" i="16"/>
  <c r="R254" i="16"/>
  <c r="R250" i="16"/>
  <c r="R246" i="16"/>
  <c r="R242" i="16"/>
  <c r="R238" i="16"/>
  <c r="R234" i="16"/>
  <c r="R230" i="16"/>
  <c r="R226" i="16"/>
  <c r="AB221" i="16"/>
  <c r="R221" i="16" s="1"/>
  <c r="AB219" i="16"/>
  <c r="R219" i="16" s="1"/>
  <c r="AB217" i="16"/>
  <c r="R217" i="16" s="1"/>
  <c r="AB215" i="16"/>
  <c r="R215" i="16" s="1"/>
  <c r="AB213" i="16"/>
  <c r="R213" i="16" s="1"/>
  <c r="AB211" i="16"/>
  <c r="R211" i="16" s="1"/>
  <c r="AB209" i="16"/>
  <c r="R209" i="16" s="1"/>
  <c r="AB207" i="16"/>
  <c r="R207" i="16" s="1"/>
  <c r="AB205" i="16"/>
  <c r="R205" i="16" s="1"/>
  <c r="AB203" i="16"/>
  <c r="R203" i="16" s="1"/>
  <c r="AB201" i="16"/>
  <c r="R201" i="16" s="1"/>
  <c r="AB199" i="16"/>
  <c r="R199" i="16" s="1"/>
  <c r="AB197" i="16"/>
  <c r="R197" i="16" s="1"/>
  <c r="AB195" i="16"/>
  <c r="R195" i="16" s="1"/>
  <c r="AB193" i="16"/>
  <c r="R193" i="16" s="1"/>
  <c r="AB191" i="16"/>
  <c r="R191" i="16" s="1"/>
  <c r="AB189" i="16"/>
  <c r="R189" i="16" s="1"/>
  <c r="AB187" i="16"/>
  <c r="R187" i="16" s="1"/>
  <c r="AB185" i="16"/>
  <c r="R185" i="16" s="1"/>
  <c r="AB183" i="16"/>
  <c r="R183" i="16" s="1"/>
  <c r="AB181" i="16"/>
  <c r="R181" i="16" s="1"/>
  <c r="AB179" i="16"/>
  <c r="R179" i="16" s="1"/>
  <c r="AB177" i="16"/>
  <c r="R177" i="16" s="1"/>
  <c r="AB175" i="16"/>
  <c r="R175" i="16" s="1"/>
  <c r="AB173" i="16"/>
  <c r="R173" i="16" s="1"/>
  <c r="AB171" i="16"/>
  <c r="R171" i="16" s="1"/>
  <c r="AB169" i="16"/>
  <c r="R169" i="16" s="1"/>
  <c r="AB167" i="16"/>
  <c r="R167" i="16" s="1"/>
  <c r="AB165" i="16"/>
  <c r="R165" i="16" s="1"/>
  <c r="AB163" i="16"/>
  <c r="R163" i="16" s="1"/>
  <c r="AB161" i="16"/>
  <c r="R161" i="16" s="1"/>
  <c r="AB159" i="16"/>
  <c r="R159" i="16" s="1"/>
  <c r="AB157" i="16"/>
  <c r="R157" i="16" s="1"/>
  <c r="AB155" i="16"/>
  <c r="R155" i="16" s="1"/>
  <c r="AB153" i="16"/>
  <c r="R153" i="16" s="1"/>
  <c r="AB151" i="16"/>
  <c r="R151" i="16" s="1"/>
  <c r="AB149" i="16"/>
  <c r="R149" i="16" s="1"/>
  <c r="AB147" i="16"/>
  <c r="R147" i="16" s="1"/>
  <c r="AB145" i="16"/>
  <c r="R145" i="16" s="1"/>
  <c r="AB143" i="16"/>
  <c r="R143" i="16" s="1"/>
  <c r="AB141" i="16"/>
  <c r="R141" i="16" s="1"/>
  <c r="AB139" i="16"/>
  <c r="R139" i="16" s="1"/>
  <c r="AB137" i="16"/>
  <c r="R137" i="16" s="1"/>
  <c r="AB135" i="16"/>
  <c r="R135" i="16" s="1"/>
  <c r="AB133" i="16"/>
  <c r="R133" i="16" s="1"/>
  <c r="AB131" i="16"/>
  <c r="R131" i="16" s="1"/>
  <c r="AB129" i="16"/>
  <c r="R129" i="16" s="1"/>
  <c r="AB127" i="16"/>
  <c r="R127" i="16" s="1"/>
  <c r="AB125" i="16"/>
  <c r="R125" i="16" s="1"/>
  <c r="AB123" i="16"/>
  <c r="R123" i="16" s="1"/>
  <c r="AB121" i="16"/>
  <c r="R121" i="16" s="1"/>
  <c r="AB119" i="16"/>
  <c r="R119" i="16" s="1"/>
  <c r="AB117" i="16"/>
  <c r="R117" i="16" s="1"/>
  <c r="AB115" i="16"/>
  <c r="R115" i="16" s="1"/>
  <c r="AB113" i="16"/>
  <c r="R113" i="16" s="1"/>
  <c r="AB111" i="16"/>
  <c r="R111" i="16" s="1"/>
  <c r="AB109" i="16"/>
  <c r="R109" i="16" s="1"/>
  <c r="AB107" i="16"/>
  <c r="R107" i="16" s="1"/>
  <c r="AB105" i="16"/>
  <c r="R105" i="16" s="1"/>
  <c r="AB103" i="16"/>
  <c r="R103" i="16" s="1"/>
  <c r="AB101" i="16"/>
  <c r="R101" i="16" s="1"/>
  <c r="AB99" i="16"/>
  <c r="R99" i="16" s="1"/>
  <c r="AB97" i="16"/>
  <c r="R97" i="16" s="1"/>
  <c r="AB95" i="16"/>
  <c r="R95" i="16" s="1"/>
  <c r="AB93" i="16"/>
  <c r="R93" i="16" s="1"/>
  <c r="AB91" i="16"/>
  <c r="R91" i="16" s="1"/>
  <c r="AB89" i="16"/>
  <c r="R89" i="16" s="1"/>
  <c r="AB87" i="16"/>
  <c r="R87" i="16" s="1"/>
  <c r="AB85" i="16"/>
  <c r="R85" i="16" s="1"/>
  <c r="AB83" i="16"/>
  <c r="R83" i="16" s="1"/>
  <c r="AB81" i="16"/>
  <c r="R81" i="16" s="1"/>
  <c r="AB79" i="16"/>
  <c r="R79" i="16" s="1"/>
  <c r="AB77" i="16"/>
  <c r="R77" i="16" s="1"/>
  <c r="AB75" i="16"/>
  <c r="R75" i="16" s="1"/>
  <c r="AB73" i="16"/>
  <c r="R73" i="16" s="1"/>
  <c r="AB71" i="16"/>
  <c r="R71" i="16" s="1"/>
  <c r="AB69" i="16"/>
  <c r="R69" i="16" s="1"/>
  <c r="AB67" i="16"/>
  <c r="R67" i="16" s="1"/>
  <c r="AB65" i="16"/>
  <c r="R65" i="16" s="1"/>
  <c r="AB63" i="16"/>
  <c r="R63" i="16" s="1"/>
  <c r="AB61" i="16"/>
  <c r="R61" i="16" s="1"/>
  <c r="AB59" i="16"/>
  <c r="R59" i="16" s="1"/>
  <c r="AB57" i="16"/>
  <c r="R57" i="16" s="1"/>
  <c r="AB55" i="16"/>
  <c r="R55" i="16" s="1"/>
  <c r="AB53" i="16"/>
  <c r="R53" i="16" s="1"/>
  <c r="AB51" i="16"/>
  <c r="R51" i="16" s="1"/>
  <c r="AB49" i="16"/>
  <c r="R49" i="16" s="1"/>
  <c r="AB47" i="16"/>
  <c r="R47" i="16" s="1"/>
  <c r="AB45" i="16"/>
  <c r="R45" i="16" s="1"/>
  <c r="AB43" i="16"/>
  <c r="R43" i="16" s="1"/>
  <c r="AB41" i="16"/>
  <c r="R41" i="16" s="1"/>
  <c r="AB39" i="16"/>
  <c r="R39" i="16" s="1"/>
  <c r="AB37" i="16"/>
  <c r="R37" i="16" s="1"/>
  <c r="AB35" i="16"/>
  <c r="R35" i="16" s="1"/>
  <c r="AB33" i="16"/>
  <c r="R33" i="16" s="1"/>
  <c r="AB31" i="16"/>
  <c r="R31" i="16" s="1"/>
  <c r="AB29" i="16"/>
  <c r="R29" i="16" s="1"/>
  <c r="AB27" i="16"/>
  <c r="R27" i="16" s="1"/>
  <c r="AB25" i="16"/>
  <c r="R25" i="16" s="1"/>
  <c r="AB23" i="16"/>
  <c r="R23" i="16" s="1"/>
  <c r="AB21" i="16"/>
  <c r="R21" i="16" s="1"/>
  <c r="AB19" i="16"/>
  <c r="R19" i="16" s="1"/>
  <c r="AB17" i="16"/>
  <c r="R17" i="16" s="1"/>
  <c r="AB15" i="16"/>
  <c r="R15" i="16" s="1"/>
  <c r="AB13" i="16"/>
  <c r="R13" i="16" s="1"/>
  <c r="AB11" i="16"/>
  <c r="R11" i="16" s="1"/>
  <c r="AB9" i="16"/>
  <c r="R9" i="16" s="1"/>
  <c r="AB7" i="16"/>
  <c r="R7" i="16" s="1"/>
  <c r="AB5" i="16"/>
  <c r="R5" i="16" s="1"/>
  <c r="AB3" i="16"/>
  <c r="R3" i="16" s="1"/>
  <c r="Z244" i="16"/>
  <c r="Z240" i="16"/>
  <c r="Z236" i="16"/>
  <c r="Z232" i="16"/>
  <c r="Z228" i="16"/>
  <c r="Z224" i="16"/>
  <c r="Z217" i="16"/>
  <c r="Z209" i="16"/>
  <c r="Z205" i="16"/>
  <c r="Z201" i="16"/>
  <c r="Z197" i="16"/>
  <c r="Z193" i="16"/>
  <c r="Z189" i="16"/>
  <c r="Z185" i="16"/>
  <c r="Z177" i="16"/>
  <c r="Z173" i="16"/>
  <c r="Z165" i="16"/>
  <c r="Z149" i="16"/>
  <c r="Z133" i="16"/>
  <c r="Z125" i="16"/>
  <c r="Z101" i="16"/>
  <c r="Z77" i="16"/>
  <c r="Z69" i="16"/>
  <c r="Z61" i="16"/>
  <c r="Z37" i="16"/>
  <c r="Z13" i="16"/>
  <c r="Z5" i="16"/>
  <c r="Y240" i="16"/>
  <c r="Y236" i="16"/>
  <c r="Y232" i="16"/>
  <c r="Y228" i="16"/>
  <c r="Y224" i="16"/>
  <c r="Y221" i="16"/>
  <c r="Y213" i="16"/>
  <c r="Y209" i="16"/>
  <c r="Y205" i="16"/>
  <c r="Y201" i="16"/>
  <c r="Y197" i="16"/>
  <c r="Y193" i="16"/>
  <c r="Y189" i="16"/>
  <c r="Y185" i="16"/>
  <c r="Y181" i="16"/>
  <c r="Y173" i="16"/>
  <c r="Y141" i="16"/>
  <c r="Y125" i="16"/>
  <c r="W244" i="16"/>
  <c r="W240" i="16"/>
  <c r="W236" i="16"/>
  <c r="W232" i="16"/>
  <c r="W228" i="16"/>
  <c r="W224" i="16"/>
  <c r="W221" i="16"/>
  <c r="W217" i="16"/>
  <c r="W213" i="16"/>
  <c r="W209" i="16"/>
  <c r="W205" i="16"/>
  <c r="W201" i="16"/>
  <c r="W197" i="16"/>
  <c r="W193" i="16"/>
  <c r="W189" i="16"/>
  <c r="W185" i="16"/>
  <c r="W181" i="16"/>
  <c r="W177" i="16"/>
  <c r="W173" i="16"/>
  <c r="W169" i="16"/>
  <c r="W161" i="16"/>
  <c r="W157" i="16"/>
  <c r="W153" i="16"/>
  <c r="W149" i="16"/>
  <c r="W145" i="16"/>
  <c r="W141" i="16"/>
  <c r="W137" i="16"/>
  <c r="W129" i="16"/>
  <c r="W125" i="16"/>
  <c r="W121" i="16"/>
  <c r="W115" i="16"/>
  <c r="W107" i="16"/>
  <c r="W99" i="16"/>
  <c r="W91" i="16"/>
  <c r="W83" i="16"/>
  <c r="W75" i="16"/>
  <c r="W67" i="16"/>
  <c r="W59" i="16"/>
  <c r="W51" i="16"/>
  <c r="W43" i="16"/>
  <c r="W35" i="16"/>
  <c r="W27" i="16"/>
  <c r="W19" i="16"/>
  <c r="W11" i="16"/>
  <c r="W3" i="16"/>
  <c r="U240" i="16"/>
  <c r="U236" i="16"/>
  <c r="U232" i="16"/>
  <c r="U228" i="16"/>
  <c r="U224" i="16"/>
  <c r="U169" i="16"/>
  <c r="U137" i="16"/>
  <c r="U121" i="16"/>
  <c r="O213" i="16"/>
  <c r="O197" i="16"/>
  <c r="O181" i="16"/>
  <c r="M117" i="16"/>
  <c r="M85" i="16"/>
  <c r="M53" i="16"/>
  <c r="M21" i="16"/>
  <c r="L223" i="16"/>
  <c r="H219" i="16"/>
  <c r="O219" i="16"/>
  <c r="H215" i="16"/>
  <c r="O215" i="16"/>
  <c r="H211" i="16"/>
  <c r="H207" i="16"/>
  <c r="O207" i="16"/>
  <c r="H203" i="16"/>
  <c r="H199" i="16"/>
  <c r="O199" i="16"/>
  <c r="H195" i="16"/>
  <c r="O195" i="16"/>
  <c r="H191" i="16"/>
  <c r="O191" i="16"/>
  <c r="H187" i="16"/>
  <c r="O187" i="16"/>
  <c r="O217" i="16"/>
  <c r="O209" i="16"/>
  <c r="O201" i="16"/>
  <c r="O179" i="16"/>
  <c r="O171" i="16"/>
  <c r="O167" i="16"/>
  <c r="O163" i="16"/>
  <c r="O159" i="16"/>
  <c r="O155" i="16"/>
  <c r="O151" i="16"/>
  <c r="O253" i="16"/>
  <c r="T253" i="16"/>
  <c r="U253" i="16"/>
  <c r="Y253" i="16"/>
  <c r="AD253" i="16"/>
  <c r="O249" i="16"/>
  <c r="T249" i="16"/>
  <c r="U249" i="16"/>
  <c r="Y249" i="16"/>
  <c r="AD249" i="16"/>
  <c r="O245" i="16"/>
  <c r="T245" i="16"/>
  <c r="U245" i="16"/>
  <c r="Y245" i="16"/>
  <c r="AD245" i="16"/>
  <c r="O235" i="16"/>
  <c r="T235" i="16"/>
  <c r="U235" i="16"/>
  <c r="Y235" i="16"/>
  <c r="AD235" i="16"/>
  <c r="T91" i="16"/>
  <c r="U91" i="16"/>
  <c r="Y91" i="16"/>
  <c r="Z91" i="16"/>
  <c r="AD91" i="16"/>
  <c r="AH91" i="16"/>
  <c r="T83" i="16"/>
  <c r="U83" i="16"/>
  <c r="Y83" i="16"/>
  <c r="Z83" i="16"/>
  <c r="AD83" i="16"/>
  <c r="AH83" i="16"/>
  <c r="T71" i="16"/>
  <c r="U71" i="16"/>
  <c r="Y71" i="16"/>
  <c r="Z71" i="16"/>
  <c r="AD71" i="16"/>
  <c r="AH71" i="16"/>
  <c r="T59" i="16"/>
  <c r="U59" i="16"/>
  <c r="Y59" i="16"/>
  <c r="Z59" i="16"/>
  <c r="AD59" i="16"/>
  <c r="AH59" i="16"/>
  <c r="T51" i="16"/>
  <c r="U51" i="16"/>
  <c r="Y51" i="16"/>
  <c r="Z51" i="16"/>
  <c r="AD51" i="16"/>
  <c r="AH51" i="16"/>
  <c r="T39" i="16"/>
  <c r="Y39" i="16"/>
  <c r="AD39" i="16"/>
  <c r="T27" i="16"/>
  <c r="U27" i="16"/>
  <c r="Y27" i="16"/>
  <c r="Z27" i="16"/>
  <c r="AD27" i="16"/>
  <c r="AH27" i="16"/>
  <c r="T19" i="16"/>
  <c r="U19" i="16"/>
  <c r="Y19" i="16"/>
  <c r="Z19" i="16"/>
  <c r="AD19" i="16"/>
  <c r="AH19" i="16"/>
  <c r="T7" i="16"/>
  <c r="Y7" i="16"/>
  <c r="AD7" i="16"/>
  <c r="W251" i="16"/>
  <c r="Z251" i="16"/>
  <c r="AB251" i="16"/>
  <c r="R251" i="16" s="1"/>
  <c r="W245" i="16"/>
  <c r="Z245" i="16"/>
  <c r="AB245" i="16"/>
  <c r="R245" i="16" s="1"/>
  <c r="W241" i="16"/>
  <c r="Z241" i="16"/>
  <c r="AB241" i="16"/>
  <c r="R241" i="16" s="1"/>
  <c r="W235" i="16"/>
  <c r="Z235" i="16"/>
  <c r="AB235" i="16"/>
  <c r="R235" i="16" s="1"/>
  <c r="W229" i="16"/>
  <c r="AB229" i="16"/>
  <c r="R229" i="16" s="1"/>
  <c r="W222" i="16"/>
  <c r="Z222" i="16"/>
  <c r="W218" i="16"/>
  <c r="Z218" i="16"/>
  <c r="W212" i="16"/>
  <c r="Z212" i="16"/>
  <c r="W206" i="16"/>
  <c r="Z206" i="16"/>
  <c r="W200" i="16"/>
  <c r="Z200" i="16"/>
  <c r="W196" i="16"/>
  <c r="Z196" i="16"/>
  <c r="W190" i="16"/>
  <c r="Z190" i="16"/>
  <c r="W184" i="16"/>
  <c r="Z184" i="16"/>
  <c r="W178" i="16"/>
  <c r="Z178" i="16"/>
  <c r="W174" i="16"/>
  <c r="Z174" i="16"/>
  <c r="M168" i="16"/>
  <c r="W168" i="16"/>
  <c r="M162" i="16"/>
  <c r="W162" i="16"/>
  <c r="M156" i="16"/>
  <c r="W156" i="16"/>
  <c r="Z156" i="16"/>
  <c r="M152" i="16"/>
  <c r="W152" i="16"/>
  <c r="M146" i="16"/>
  <c r="W146" i="16"/>
  <c r="M142" i="16"/>
  <c r="W142" i="16"/>
  <c r="Z142" i="16"/>
  <c r="M136" i="16"/>
  <c r="W136" i="16"/>
  <c r="M132" i="16"/>
  <c r="W132" i="16"/>
  <c r="Z132" i="16"/>
  <c r="M126" i="16"/>
  <c r="W126" i="16"/>
  <c r="Z126" i="16"/>
  <c r="M122" i="16"/>
  <c r="W122" i="16"/>
  <c r="M116" i="16"/>
  <c r="W116" i="16"/>
  <c r="Z116" i="16"/>
  <c r="M112" i="16"/>
  <c r="W112" i="16"/>
  <c r="M106" i="16"/>
  <c r="W106" i="16"/>
  <c r="M100" i="16"/>
  <c r="W100" i="16"/>
  <c r="Z100" i="16"/>
  <c r="M94" i="16"/>
  <c r="W94" i="16"/>
  <c r="Z94" i="16"/>
  <c r="AM94" i="16"/>
  <c r="M90" i="16"/>
  <c r="W90" i="16"/>
  <c r="AM90" i="16"/>
  <c r="M84" i="16"/>
  <c r="W84" i="16"/>
  <c r="Z84" i="16"/>
  <c r="AM84" i="16"/>
  <c r="M78" i="16"/>
  <c r="W78" i="16"/>
  <c r="Z78" i="16"/>
  <c r="AM78" i="16"/>
  <c r="M72" i="16"/>
  <c r="W72" i="16"/>
  <c r="AM72" i="16"/>
  <c r="M68" i="16"/>
  <c r="W68" i="16"/>
  <c r="Z68" i="16"/>
  <c r="AM68" i="16"/>
  <c r="M62" i="16"/>
  <c r="W62" i="16"/>
  <c r="Z62" i="16"/>
  <c r="AM62" i="16"/>
  <c r="M56" i="16"/>
  <c r="W56" i="16"/>
  <c r="AM56" i="16"/>
  <c r="M50" i="16"/>
  <c r="W50" i="16"/>
  <c r="AM50" i="16"/>
  <c r="M44" i="16"/>
  <c r="W44" i="16"/>
  <c r="Z44" i="16"/>
  <c r="AM44" i="16"/>
  <c r="M40" i="16"/>
  <c r="W40" i="16"/>
  <c r="AM40" i="16"/>
  <c r="M38" i="16"/>
  <c r="W38" i="16"/>
  <c r="Z38" i="16"/>
  <c r="AM38" i="16"/>
  <c r="M34" i="16"/>
  <c r="W34" i="16"/>
  <c r="AM34" i="16"/>
  <c r="M30" i="16"/>
  <c r="W30" i="16"/>
  <c r="Z30" i="16"/>
  <c r="AM30" i="16"/>
  <c r="M26" i="16"/>
  <c r="W26" i="16"/>
  <c r="AM26" i="16"/>
  <c r="M22" i="16"/>
  <c r="W22" i="16"/>
  <c r="Z22" i="16"/>
  <c r="AM22" i="16"/>
  <c r="M18" i="16"/>
  <c r="W18" i="16"/>
  <c r="AM18" i="16"/>
  <c r="M14" i="16"/>
  <c r="W14" i="16"/>
  <c r="Z14" i="16"/>
  <c r="AM14" i="16"/>
  <c r="M10" i="16"/>
  <c r="W10" i="16"/>
  <c r="AM10" i="16"/>
  <c r="M4" i="16"/>
  <c r="W4" i="16"/>
  <c r="Z4" i="16"/>
  <c r="AM4" i="16"/>
  <c r="O251" i="16"/>
  <c r="T251" i="16"/>
  <c r="U251" i="16"/>
  <c r="Y251" i="16"/>
  <c r="AD251" i="16"/>
  <c r="O247" i="16"/>
  <c r="T247" i="16"/>
  <c r="U247" i="16"/>
  <c r="Y247" i="16"/>
  <c r="AD247" i="16"/>
  <c r="O243" i="16"/>
  <c r="T243" i="16"/>
  <c r="U243" i="16"/>
  <c r="Y243" i="16"/>
  <c r="AD243" i="16"/>
  <c r="O241" i="16"/>
  <c r="T241" i="16"/>
  <c r="U241" i="16"/>
  <c r="Y241" i="16"/>
  <c r="AD241" i="16"/>
  <c r="O239" i="16"/>
  <c r="T239" i="16"/>
  <c r="U239" i="16"/>
  <c r="Y239" i="16"/>
  <c r="AD239" i="16"/>
  <c r="O237" i="16"/>
  <c r="T237" i="16"/>
  <c r="U237" i="16"/>
  <c r="Y237" i="16"/>
  <c r="AD237" i="16"/>
  <c r="O233" i="16"/>
  <c r="T233" i="16"/>
  <c r="U233" i="16"/>
  <c r="Y233" i="16"/>
  <c r="AD233" i="16"/>
  <c r="O231" i="16"/>
  <c r="T231" i="16"/>
  <c r="U231" i="16"/>
  <c r="Y231" i="16"/>
  <c r="AD231" i="16"/>
  <c r="O229" i="16"/>
  <c r="U229" i="16"/>
  <c r="AD229" i="16"/>
  <c r="T227" i="16"/>
  <c r="Y227" i="16"/>
  <c r="O225" i="16"/>
  <c r="U225" i="16"/>
  <c r="AD225" i="16"/>
  <c r="O222" i="16"/>
  <c r="Y222" i="16"/>
  <c r="AH222" i="16"/>
  <c r="AI222" i="16"/>
  <c r="AJ222" i="16"/>
  <c r="O220" i="16"/>
  <c r="Y220" i="16"/>
  <c r="AH220" i="16"/>
  <c r="AI220" i="16"/>
  <c r="AJ220" i="16"/>
  <c r="O218" i="16"/>
  <c r="Y218" i="16"/>
  <c r="AH218" i="16"/>
  <c r="AI218" i="16"/>
  <c r="AJ218" i="16"/>
  <c r="O216" i="16"/>
  <c r="Y216" i="16"/>
  <c r="AH216" i="16"/>
  <c r="AI216" i="16"/>
  <c r="AJ216" i="16"/>
  <c r="O214" i="16"/>
  <c r="Y214" i="16"/>
  <c r="AH214" i="16"/>
  <c r="AI214" i="16"/>
  <c r="AJ214" i="16"/>
  <c r="O212" i="16"/>
  <c r="Y212" i="16"/>
  <c r="AH212" i="16"/>
  <c r="AI212" i="16"/>
  <c r="AJ212" i="16"/>
  <c r="O210" i="16"/>
  <c r="Y210" i="16"/>
  <c r="AH210" i="16"/>
  <c r="AI210" i="16"/>
  <c r="AJ210" i="16"/>
  <c r="O208" i="16"/>
  <c r="Y208" i="16"/>
  <c r="AH208" i="16"/>
  <c r="AI208" i="16"/>
  <c r="AJ208" i="16"/>
  <c r="O206" i="16"/>
  <c r="Y206" i="16"/>
  <c r="AH206" i="16"/>
  <c r="AI206" i="16"/>
  <c r="AJ206" i="16"/>
  <c r="O204" i="16"/>
  <c r="Y204" i="16"/>
  <c r="AH204" i="16"/>
  <c r="AI204" i="16"/>
  <c r="AJ204" i="16"/>
  <c r="O202" i="16"/>
  <c r="Y202" i="16"/>
  <c r="AH202" i="16"/>
  <c r="AI202" i="16"/>
  <c r="AJ202" i="16"/>
  <c r="O200" i="16"/>
  <c r="Y200" i="16"/>
  <c r="AH200" i="16"/>
  <c r="AI200" i="16"/>
  <c r="AJ200" i="16"/>
  <c r="O198" i="16"/>
  <c r="Y198" i="16"/>
  <c r="AH198" i="16"/>
  <c r="AI198" i="16"/>
  <c r="AJ198" i="16"/>
  <c r="O196" i="16"/>
  <c r="Y196" i="16"/>
  <c r="AH196" i="16"/>
  <c r="AI196" i="16"/>
  <c r="AJ196" i="16"/>
  <c r="O194" i="16"/>
  <c r="Y194" i="16"/>
  <c r="AH194" i="16"/>
  <c r="AI194" i="16"/>
  <c r="AJ194" i="16"/>
  <c r="O192" i="16"/>
  <c r="Y192" i="16"/>
  <c r="AH192" i="16"/>
  <c r="AI192" i="16"/>
  <c r="AJ192" i="16"/>
  <c r="O190" i="16"/>
  <c r="Y190" i="16"/>
  <c r="AH190" i="16"/>
  <c r="AI190" i="16"/>
  <c r="AJ190" i="16"/>
  <c r="O188" i="16"/>
  <c r="Y188" i="16"/>
  <c r="AH188" i="16"/>
  <c r="AI188" i="16"/>
  <c r="AJ188" i="16"/>
  <c r="O186" i="16"/>
  <c r="Y186" i="16"/>
  <c r="AH186" i="16"/>
  <c r="AI186" i="16"/>
  <c r="AJ186" i="16"/>
  <c r="O184" i="16"/>
  <c r="Y184" i="16"/>
  <c r="AH184" i="16"/>
  <c r="AI184" i="16"/>
  <c r="AJ184" i="16"/>
  <c r="O182" i="16"/>
  <c r="Y182" i="16"/>
  <c r="AH182" i="16"/>
  <c r="AI182" i="16"/>
  <c r="AJ182" i="16"/>
  <c r="O180" i="16"/>
  <c r="Y180" i="16"/>
  <c r="AH180" i="16"/>
  <c r="AI180" i="16"/>
  <c r="AJ180" i="16"/>
  <c r="O178" i="16"/>
  <c r="Y178" i="16"/>
  <c r="AH178" i="16"/>
  <c r="AI178" i="16"/>
  <c r="AJ178" i="16"/>
  <c r="O176" i="16"/>
  <c r="Y176" i="16"/>
  <c r="AH176" i="16"/>
  <c r="AI176" i="16"/>
  <c r="AJ176" i="16"/>
  <c r="O174" i="16"/>
  <c r="Y174" i="16"/>
  <c r="AH174" i="16"/>
  <c r="AI174" i="16"/>
  <c r="AJ174" i="16"/>
  <c r="T171" i="16"/>
  <c r="U171" i="16"/>
  <c r="Y171" i="16"/>
  <c r="Z171" i="16"/>
  <c r="AD171" i="16"/>
  <c r="T167" i="16"/>
  <c r="U167" i="16"/>
  <c r="Y167" i="16"/>
  <c r="Z167" i="16"/>
  <c r="AD167" i="16"/>
  <c r="T163" i="16"/>
  <c r="Y163" i="16"/>
  <c r="AD163" i="16"/>
  <c r="T159" i="16"/>
  <c r="U159" i="16"/>
  <c r="Y159" i="16"/>
  <c r="Z159" i="16"/>
  <c r="AD159" i="16"/>
  <c r="T155" i="16"/>
  <c r="U155" i="16"/>
  <c r="Y155" i="16"/>
  <c r="Z155" i="16"/>
  <c r="AD155" i="16"/>
  <c r="T151" i="16"/>
  <c r="U151" i="16"/>
  <c r="Y151" i="16"/>
  <c r="Z151" i="16"/>
  <c r="AD151" i="16"/>
  <c r="T147" i="16"/>
  <c r="U147" i="16"/>
  <c r="Y147" i="16"/>
  <c r="Z147" i="16"/>
  <c r="AD147" i="16"/>
  <c r="T143" i="16"/>
  <c r="U143" i="16"/>
  <c r="Y143" i="16"/>
  <c r="Z143" i="16"/>
  <c r="AD143" i="16"/>
  <c r="T139" i="16"/>
  <c r="U139" i="16"/>
  <c r="Y139" i="16"/>
  <c r="Z139" i="16"/>
  <c r="AD139" i="16"/>
  <c r="T135" i="16"/>
  <c r="U135" i="16"/>
  <c r="Y135" i="16"/>
  <c r="Z135" i="16"/>
  <c r="AD135" i="16"/>
  <c r="T131" i="16"/>
  <c r="U131" i="16"/>
  <c r="Y131" i="16"/>
  <c r="Z131" i="16"/>
  <c r="AD131" i="16"/>
  <c r="T127" i="16"/>
  <c r="U127" i="16"/>
  <c r="Y127" i="16"/>
  <c r="Z127" i="16"/>
  <c r="AD127" i="16"/>
  <c r="T123" i="16"/>
  <c r="U123" i="16"/>
  <c r="Y123" i="16"/>
  <c r="Z123" i="16"/>
  <c r="AD123" i="16"/>
  <c r="T119" i="16"/>
  <c r="U119" i="16"/>
  <c r="Y119" i="16"/>
  <c r="Z119" i="16"/>
  <c r="AD119" i="16"/>
  <c r="T115" i="16"/>
  <c r="U115" i="16"/>
  <c r="Y115" i="16"/>
  <c r="Z115" i="16"/>
  <c r="AD115" i="16"/>
  <c r="U111" i="16"/>
  <c r="Z111" i="16"/>
  <c r="T107" i="16"/>
  <c r="U107" i="16"/>
  <c r="Y107" i="16"/>
  <c r="Z107" i="16"/>
  <c r="AD107" i="16"/>
  <c r="T103" i="16"/>
  <c r="U103" i="16"/>
  <c r="Y103" i="16"/>
  <c r="Z103" i="16"/>
  <c r="AD103" i="16"/>
  <c r="T99" i="16"/>
  <c r="U99" i="16"/>
  <c r="Y99" i="16"/>
  <c r="Z99" i="16"/>
  <c r="AD99" i="16"/>
  <c r="U95" i="16"/>
  <c r="Z95" i="16"/>
  <c r="AH95" i="16"/>
  <c r="T87" i="16"/>
  <c r="U87" i="16"/>
  <c r="Y87" i="16"/>
  <c r="Z87" i="16"/>
  <c r="AD87" i="16"/>
  <c r="AH87" i="16"/>
  <c r="U79" i="16"/>
  <c r="Z79" i="16"/>
  <c r="AH79" i="16"/>
  <c r="T75" i="16"/>
  <c r="U75" i="16"/>
  <c r="Y75" i="16"/>
  <c r="Z75" i="16"/>
  <c r="AD75" i="16"/>
  <c r="AH75" i="16"/>
  <c r="T67" i="16"/>
  <c r="U67" i="16"/>
  <c r="Y67" i="16"/>
  <c r="Z67" i="16"/>
  <c r="AD67" i="16"/>
  <c r="AH67" i="16"/>
  <c r="T63" i="16"/>
  <c r="U63" i="16"/>
  <c r="Y63" i="16"/>
  <c r="Z63" i="16"/>
  <c r="AD63" i="16"/>
  <c r="AH63" i="16"/>
  <c r="T55" i="16"/>
  <c r="U55" i="16"/>
  <c r="Y55" i="16"/>
  <c r="Z55" i="16"/>
  <c r="AD55" i="16"/>
  <c r="AH55" i="16"/>
  <c r="T47" i="16"/>
  <c r="U47" i="16"/>
  <c r="Y47" i="16"/>
  <c r="Z47" i="16"/>
  <c r="AD47" i="16"/>
  <c r="AH47" i="16"/>
  <c r="T43" i="16"/>
  <c r="U43" i="16"/>
  <c r="Y43" i="16"/>
  <c r="Z43" i="16"/>
  <c r="AD43" i="16"/>
  <c r="AH43" i="16"/>
  <c r="T35" i="16"/>
  <c r="U35" i="16"/>
  <c r="Y35" i="16"/>
  <c r="Z35" i="16"/>
  <c r="AD35" i="16"/>
  <c r="AH35" i="16"/>
  <c r="T31" i="16"/>
  <c r="U31" i="16"/>
  <c r="Y31" i="16"/>
  <c r="Z31" i="16"/>
  <c r="AD31" i="16"/>
  <c r="AH31" i="16"/>
  <c r="U23" i="16"/>
  <c r="Z23" i="16"/>
  <c r="AH23" i="16"/>
  <c r="T15" i="16"/>
  <c r="U15" i="16"/>
  <c r="Y15" i="16"/>
  <c r="Z15" i="16"/>
  <c r="AD15" i="16"/>
  <c r="AH15" i="16"/>
  <c r="T11" i="16"/>
  <c r="U11" i="16"/>
  <c r="Y11" i="16"/>
  <c r="Z11" i="16"/>
  <c r="AD11" i="16"/>
  <c r="AH11" i="16"/>
  <c r="T3" i="16"/>
  <c r="U3" i="16"/>
  <c r="Y3" i="16"/>
  <c r="Z3" i="16"/>
  <c r="AD3" i="16"/>
  <c r="AH3" i="16"/>
  <c r="W253" i="16"/>
  <c r="Z253" i="16"/>
  <c r="AB253" i="16"/>
  <c r="R253" i="16" s="1"/>
  <c r="W249" i="16"/>
  <c r="Z249" i="16"/>
  <c r="AB249" i="16"/>
  <c r="R249" i="16" s="1"/>
  <c r="W247" i="16"/>
  <c r="Z247" i="16"/>
  <c r="AB247" i="16"/>
  <c r="R247" i="16" s="1"/>
  <c r="W243" i="16"/>
  <c r="Z243" i="16"/>
  <c r="AB243" i="16"/>
  <c r="R243" i="16" s="1"/>
  <c r="W239" i="16"/>
  <c r="Z239" i="16"/>
  <c r="AB239" i="16"/>
  <c r="R239" i="16" s="1"/>
  <c r="W237" i="16"/>
  <c r="Z237" i="16"/>
  <c r="AB237" i="16"/>
  <c r="R237" i="16" s="1"/>
  <c r="W233" i="16"/>
  <c r="Z233" i="16"/>
  <c r="AB233" i="16"/>
  <c r="R233" i="16" s="1"/>
  <c r="W231" i="16"/>
  <c r="Z231" i="16"/>
  <c r="AB231" i="16"/>
  <c r="R231" i="16" s="1"/>
  <c r="W227" i="16"/>
  <c r="Z227" i="16"/>
  <c r="AB227" i="16"/>
  <c r="R227" i="16" s="1"/>
  <c r="W225" i="16"/>
  <c r="AB225" i="16"/>
  <c r="R225" i="16" s="1"/>
  <c r="W220" i="16"/>
  <c r="Z220" i="16"/>
  <c r="W216" i="16"/>
  <c r="Z216" i="16"/>
  <c r="W214" i="16"/>
  <c r="Z214" i="16"/>
  <c r="W210" i="16"/>
  <c r="Z210" i="16"/>
  <c r="W208" i="16"/>
  <c r="Z208" i="16"/>
  <c r="W204" i="16"/>
  <c r="Z204" i="16"/>
  <c r="W202" i="16"/>
  <c r="Z202" i="16"/>
  <c r="W198" i="16"/>
  <c r="Z198" i="16"/>
  <c r="W194" i="16"/>
  <c r="Z194" i="16"/>
  <c r="W192" i="16"/>
  <c r="Z192" i="16"/>
  <c r="W188" i="16"/>
  <c r="Z188" i="16"/>
  <c r="W186" i="16"/>
  <c r="Z186" i="16"/>
  <c r="W182" i="16"/>
  <c r="Z182" i="16"/>
  <c r="W180" i="16"/>
  <c r="Z180" i="16"/>
  <c r="W176" i="16"/>
  <c r="Z176" i="16"/>
  <c r="M172" i="16"/>
  <c r="Z172" i="16" s="1"/>
  <c r="W172" i="16"/>
  <c r="M170" i="16"/>
  <c r="W170" i="16"/>
  <c r="M166" i="16"/>
  <c r="W166" i="16"/>
  <c r="Z166" i="16"/>
  <c r="M164" i="16"/>
  <c r="Z164" i="16" s="1"/>
  <c r="W164" i="16"/>
  <c r="M160" i="16"/>
  <c r="W160" i="16"/>
  <c r="M158" i="16"/>
  <c r="W158" i="16"/>
  <c r="Z158" i="16"/>
  <c r="M154" i="16"/>
  <c r="W154" i="16"/>
  <c r="M150" i="16"/>
  <c r="W150" i="16"/>
  <c r="Z150" i="16"/>
  <c r="M148" i="16"/>
  <c r="W148" i="16"/>
  <c r="Z148" i="16"/>
  <c r="M144" i="16"/>
  <c r="W144" i="16"/>
  <c r="M140" i="16"/>
  <c r="W140" i="16"/>
  <c r="M138" i="16"/>
  <c r="W138" i="16"/>
  <c r="M134" i="16"/>
  <c r="W134" i="16"/>
  <c r="Z134" i="16"/>
  <c r="M130" i="16"/>
  <c r="W130" i="16"/>
  <c r="M128" i="16"/>
  <c r="W128" i="16"/>
  <c r="M124" i="16"/>
  <c r="W124" i="16"/>
  <c r="Z124" i="16"/>
  <c r="M120" i="16"/>
  <c r="W120" i="16"/>
  <c r="M118" i="16"/>
  <c r="W118" i="16"/>
  <c r="Z118" i="16"/>
  <c r="M114" i="16"/>
  <c r="W114" i="16"/>
  <c r="M110" i="16"/>
  <c r="W110" i="16"/>
  <c r="Z110" i="16"/>
  <c r="M108" i="16"/>
  <c r="Z108" i="16" s="1"/>
  <c r="W108" i="16"/>
  <c r="M104" i="16"/>
  <c r="W104" i="16"/>
  <c r="M102" i="16"/>
  <c r="W102" i="16"/>
  <c r="Z102" i="16"/>
  <c r="M98" i="16"/>
  <c r="W98" i="16"/>
  <c r="M96" i="16"/>
  <c r="W96" i="16"/>
  <c r="M92" i="16"/>
  <c r="Z92" i="16" s="1"/>
  <c r="W92" i="16"/>
  <c r="AM92" i="16"/>
  <c r="M88" i="16"/>
  <c r="W88" i="16"/>
  <c r="AM88" i="16"/>
  <c r="M86" i="16"/>
  <c r="W86" i="16"/>
  <c r="Z86" i="16"/>
  <c r="AM86" i="16"/>
  <c r="M82" i="16"/>
  <c r="W82" i="16"/>
  <c r="AM82" i="16"/>
  <c r="M80" i="16"/>
  <c r="W80" i="16"/>
  <c r="AM80" i="16"/>
  <c r="M76" i="16"/>
  <c r="W76" i="16"/>
  <c r="Z76" i="16"/>
  <c r="AM76" i="16"/>
  <c r="M74" i="16"/>
  <c r="W74" i="16"/>
  <c r="AM74" i="16"/>
  <c r="M70" i="16"/>
  <c r="W70" i="16"/>
  <c r="Z70" i="16"/>
  <c r="AM70" i="16"/>
  <c r="M66" i="16"/>
  <c r="W66" i="16"/>
  <c r="AM66" i="16"/>
  <c r="M64" i="16"/>
  <c r="W64" i="16"/>
  <c r="AM64" i="16"/>
  <c r="M60" i="16"/>
  <c r="W60" i="16"/>
  <c r="Z60" i="16"/>
  <c r="AM60" i="16"/>
  <c r="M58" i="16"/>
  <c r="W58" i="16"/>
  <c r="AM58" i="16"/>
  <c r="M54" i="16"/>
  <c r="Z54" i="16" s="1"/>
  <c r="W54" i="16"/>
  <c r="AM54" i="16"/>
  <c r="M52" i="16"/>
  <c r="Z52" i="16" s="1"/>
  <c r="W52" i="16"/>
  <c r="AM52" i="16"/>
  <c r="M48" i="16"/>
  <c r="W48" i="16"/>
  <c r="AM48" i="16"/>
  <c r="M46" i="16"/>
  <c r="Z46" i="16" s="1"/>
  <c r="W46" i="16"/>
  <c r="AM46" i="16"/>
  <c r="M42" i="16"/>
  <c r="W42" i="16"/>
  <c r="AM42" i="16"/>
  <c r="M36" i="16"/>
  <c r="W36" i="16"/>
  <c r="AM36" i="16"/>
  <c r="M32" i="16"/>
  <c r="W32" i="16"/>
  <c r="AM32" i="16"/>
  <c r="M28" i="16"/>
  <c r="Z28" i="16" s="1"/>
  <c r="W28" i="16"/>
  <c r="AM28" i="16"/>
  <c r="M24" i="16"/>
  <c r="W24" i="16"/>
  <c r="AM24" i="16"/>
  <c r="M20" i="16"/>
  <c r="Z20" i="16" s="1"/>
  <c r="W20" i="16"/>
  <c r="AM20" i="16"/>
  <c r="M16" i="16"/>
  <c r="W16" i="16"/>
  <c r="AM16" i="16"/>
  <c r="M12" i="16"/>
  <c r="W12" i="16"/>
  <c r="Z12" i="16"/>
  <c r="AM12" i="16"/>
  <c r="M8" i="16"/>
  <c r="W8" i="16"/>
  <c r="AM8" i="16"/>
  <c r="M6" i="16"/>
  <c r="W6" i="16"/>
  <c r="Z6" i="16"/>
  <c r="AM6" i="16"/>
  <c r="AM222" i="16"/>
  <c r="AM220" i="16"/>
  <c r="AM218" i="16"/>
  <c r="AM216" i="16"/>
  <c r="AM214" i="16"/>
  <c r="AM212" i="16"/>
  <c r="AM210" i="16"/>
  <c r="AM208" i="16"/>
  <c r="AM206" i="16"/>
  <c r="AM204" i="16"/>
  <c r="AM202" i="16"/>
  <c r="AM200" i="16"/>
  <c r="AM198" i="16"/>
  <c r="AM196" i="16"/>
  <c r="AM194" i="16"/>
  <c r="AM192" i="16"/>
  <c r="AM190" i="16"/>
  <c r="AM188" i="16"/>
  <c r="AM186" i="16"/>
  <c r="AM184" i="16"/>
  <c r="AM182" i="16"/>
  <c r="AM180" i="16"/>
  <c r="AM178" i="16"/>
  <c r="AM176" i="16"/>
  <c r="AM174" i="16"/>
  <c r="AM172" i="16"/>
  <c r="AM170" i="16"/>
  <c r="AM168" i="16"/>
  <c r="AM166" i="16"/>
  <c r="AM164" i="16"/>
  <c r="AM162" i="16"/>
  <c r="AM160" i="16"/>
  <c r="AM158" i="16"/>
  <c r="AM156" i="16"/>
  <c r="AM154" i="16"/>
  <c r="AM152" i="16"/>
  <c r="AM150" i="16"/>
  <c r="AM148" i="16"/>
  <c r="AM146" i="16"/>
  <c r="AM144" i="16"/>
  <c r="AM142" i="16"/>
  <c r="AM140" i="16"/>
  <c r="AM138" i="16"/>
  <c r="AM136" i="16"/>
  <c r="AM134" i="16"/>
  <c r="AM132" i="16"/>
  <c r="AM130" i="16"/>
  <c r="AM128" i="16"/>
  <c r="AM126" i="16"/>
  <c r="AM124" i="16"/>
  <c r="AM122" i="16"/>
  <c r="AM120" i="16"/>
  <c r="AM118" i="16"/>
  <c r="AM116" i="16"/>
  <c r="AM114" i="16"/>
  <c r="AM112" i="16"/>
  <c r="AM110" i="16"/>
  <c r="AM108" i="16"/>
  <c r="AM106" i="16"/>
  <c r="AM104" i="16"/>
  <c r="AM102" i="16"/>
  <c r="AM100" i="16"/>
  <c r="AM98" i="16"/>
  <c r="AM96" i="16"/>
  <c r="K2" i="16"/>
  <c r="L2" i="16" s="1"/>
  <c r="H2" i="16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2" i="3"/>
  <c r="F63" i="3"/>
  <c r="F64" i="3"/>
  <c r="F65" i="3"/>
  <c r="F66" i="3"/>
  <c r="F69" i="3"/>
  <c r="F70" i="3"/>
  <c r="F71" i="3"/>
  <c r="F72" i="3"/>
  <c r="F73" i="3"/>
  <c r="F74" i="3"/>
  <c r="F75" i="3"/>
  <c r="F76" i="3"/>
  <c r="F77" i="3"/>
  <c r="F78" i="3"/>
  <c r="F68" i="3"/>
  <c r="F67" i="3"/>
  <c r="F61" i="3"/>
  <c r="F2" i="3"/>
  <c r="AH37" i="16" l="1"/>
  <c r="U37" i="16"/>
  <c r="Z225" i="16"/>
  <c r="AD23" i="16"/>
  <c r="Y23" i="16"/>
  <c r="AD79" i="16"/>
  <c r="Y79" i="16"/>
  <c r="AD95" i="16"/>
  <c r="Y95" i="16"/>
  <c r="AD111" i="16"/>
  <c r="Y111" i="16"/>
  <c r="Z163" i="16"/>
  <c r="Y225" i="16"/>
  <c r="AD227" i="16"/>
  <c r="U227" i="16"/>
  <c r="Y229" i="16"/>
  <c r="T229" i="16"/>
  <c r="AH7" i="16"/>
  <c r="Z7" i="16"/>
  <c r="AH39" i="16"/>
  <c r="Z39" i="16"/>
  <c r="O203" i="16"/>
  <c r="O211" i="16"/>
  <c r="U153" i="16"/>
  <c r="Y157" i="16"/>
  <c r="Y177" i="16"/>
  <c r="Y217" i="16"/>
  <c r="Z141" i="16"/>
  <c r="Z157" i="16"/>
  <c r="Z181" i="16"/>
  <c r="Z213" i="16"/>
  <c r="Z221" i="16"/>
  <c r="Y101" i="16"/>
  <c r="Y165" i="16"/>
  <c r="Y149" i="16"/>
  <c r="Z211" i="16"/>
  <c r="U141" i="16"/>
  <c r="T203" i="16"/>
  <c r="T221" i="16"/>
  <c r="O15" i="16"/>
  <c r="AI15" i="16"/>
  <c r="AJ15" i="16"/>
  <c r="O147" i="16"/>
  <c r="AH147" i="16"/>
  <c r="AJ147" i="16"/>
  <c r="AI147" i="16"/>
  <c r="O47" i="16"/>
  <c r="AI47" i="16"/>
  <c r="AJ47" i="16"/>
  <c r="O55" i="16"/>
  <c r="AI55" i="16"/>
  <c r="AJ55" i="16"/>
  <c r="AD69" i="16"/>
  <c r="AI69" i="16"/>
  <c r="AJ69" i="16"/>
  <c r="Y121" i="16"/>
  <c r="AH121" i="16"/>
  <c r="AI121" i="16"/>
  <c r="AJ121" i="16"/>
  <c r="AH125" i="16"/>
  <c r="AD125" i="16"/>
  <c r="AI125" i="16"/>
  <c r="AJ125" i="16"/>
  <c r="O131" i="16"/>
  <c r="AI131" i="16"/>
  <c r="AJ131" i="16"/>
  <c r="AH131" i="16"/>
  <c r="AD133" i="16"/>
  <c r="AH133" i="16"/>
  <c r="AI133" i="16"/>
  <c r="AJ133" i="16"/>
  <c r="AH227" i="16"/>
  <c r="AI227" i="16"/>
  <c r="AJ227" i="16"/>
  <c r="O7" i="16"/>
  <c r="AI7" i="16"/>
  <c r="AJ7" i="16"/>
  <c r="O23" i="16"/>
  <c r="AI23" i="16"/>
  <c r="AJ23" i="16"/>
  <c r="O39" i="16"/>
  <c r="AJ39" i="16"/>
  <c r="AI39" i="16"/>
  <c r="O79" i="16"/>
  <c r="AI79" i="16"/>
  <c r="AJ79" i="16"/>
  <c r="O95" i="16"/>
  <c r="AI95" i="16"/>
  <c r="AJ95" i="16"/>
  <c r="O111" i="16"/>
  <c r="AH111" i="16"/>
  <c r="AI111" i="16"/>
  <c r="AJ111" i="16"/>
  <c r="Y169" i="16"/>
  <c r="AH169" i="16"/>
  <c r="AI169" i="16"/>
  <c r="AJ169" i="16"/>
  <c r="AD173" i="16"/>
  <c r="AH173" i="16"/>
  <c r="AJ173" i="16"/>
  <c r="AI173" i="16"/>
  <c r="T185" i="16"/>
  <c r="AD185" i="16"/>
  <c r="AH185" i="16"/>
  <c r="AJ185" i="16"/>
  <c r="AI185" i="16"/>
  <c r="AD189" i="16"/>
  <c r="AH189" i="16"/>
  <c r="AI189" i="16"/>
  <c r="AJ189" i="16"/>
  <c r="T193" i="16"/>
  <c r="AD193" i="16"/>
  <c r="AI193" i="16"/>
  <c r="AJ193" i="16"/>
  <c r="AH193" i="16"/>
  <c r="AH197" i="16"/>
  <c r="AI197" i="16"/>
  <c r="AJ197" i="16"/>
  <c r="AD197" i="16"/>
  <c r="AD203" i="16"/>
  <c r="AI203" i="16"/>
  <c r="AJ203" i="16"/>
  <c r="AH203" i="16"/>
  <c r="AH211" i="16"/>
  <c r="AI211" i="16"/>
  <c r="AJ211" i="16"/>
  <c r="AD211" i="16"/>
  <c r="AD213" i="16"/>
  <c r="AI213" i="16"/>
  <c r="AJ213" i="16"/>
  <c r="AH213" i="16"/>
  <c r="AD217" i="16"/>
  <c r="AH217" i="16"/>
  <c r="AI217" i="16"/>
  <c r="AJ217" i="16"/>
  <c r="AD221" i="16"/>
  <c r="AH221" i="16"/>
  <c r="AI221" i="16"/>
  <c r="AJ221" i="16"/>
  <c r="AI225" i="16"/>
  <c r="AJ225" i="16"/>
  <c r="AH225" i="16"/>
  <c r="AH229" i="16"/>
  <c r="AI229" i="16"/>
  <c r="AJ229" i="16"/>
  <c r="Y137" i="16"/>
  <c r="AH137" i="16"/>
  <c r="AI137" i="16"/>
  <c r="AJ137" i="16"/>
  <c r="AD141" i="16"/>
  <c r="AI141" i="16"/>
  <c r="AJ141" i="16"/>
  <c r="AH141" i="16"/>
  <c r="AD149" i="16"/>
  <c r="AH149" i="16"/>
  <c r="AI149" i="16"/>
  <c r="AJ149" i="16"/>
  <c r="Y153" i="16"/>
  <c r="AH153" i="16"/>
  <c r="AI153" i="16"/>
  <c r="AJ153" i="16"/>
  <c r="AH157" i="16"/>
  <c r="AD157" i="16"/>
  <c r="T157" i="16"/>
  <c r="AI157" i="16"/>
  <c r="AJ157" i="16"/>
  <c r="AH163" i="16"/>
  <c r="AI163" i="16"/>
  <c r="AJ163" i="16"/>
  <c r="T177" i="16"/>
  <c r="AH177" i="16"/>
  <c r="AI177" i="16"/>
  <c r="AJ177" i="16"/>
  <c r="AD177" i="16"/>
  <c r="AD181" i="16"/>
  <c r="AI181" i="16"/>
  <c r="AJ181" i="16"/>
  <c r="AH181" i="16"/>
  <c r="AD187" i="16"/>
  <c r="AH187" i="16"/>
  <c r="AI187" i="16"/>
  <c r="AJ187" i="16"/>
  <c r="AH195" i="16"/>
  <c r="AD195" i="16"/>
  <c r="AI195" i="16"/>
  <c r="AJ195" i="16"/>
  <c r="AD201" i="16"/>
  <c r="AH201" i="16"/>
  <c r="AI201" i="16"/>
  <c r="AJ201" i="16"/>
  <c r="AD205" i="16"/>
  <c r="AH205" i="16"/>
  <c r="AJ205" i="16"/>
  <c r="AI205" i="16"/>
  <c r="AH209" i="16"/>
  <c r="AI209" i="16"/>
  <c r="AJ209" i="16"/>
  <c r="AD209" i="16"/>
  <c r="AD101" i="16"/>
  <c r="AH101" i="16"/>
  <c r="AI101" i="16"/>
  <c r="AJ101" i="16"/>
  <c r="AD165" i="16"/>
  <c r="AH165" i="16"/>
  <c r="AI165" i="16"/>
  <c r="AJ165" i="16"/>
  <c r="U175" i="16"/>
  <c r="T175" i="16"/>
  <c r="Y175" i="16"/>
  <c r="AD175" i="16"/>
  <c r="AH175" i="16"/>
  <c r="AI175" i="16"/>
  <c r="AJ175" i="16"/>
  <c r="U183" i="16"/>
  <c r="T183" i="16"/>
  <c r="Y183" i="16"/>
  <c r="AD183" i="16"/>
  <c r="AH183" i="16"/>
  <c r="AI183" i="16"/>
  <c r="AJ183" i="16"/>
  <c r="AD37" i="16"/>
  <c r="AI37" i="16"/>
  <c r="AJ37" i="16"/>
  <c r="O103" i="16"/>
  <c r="AH103" i="16"/>
  <c r="AI103" i="16"/>
  <c r="AJ103" i="16"/>
  <c r="O119" i="16"/>
  <c r="AH119" i="16"/>
  <c r="AI119" i="16"/>
  <c r="AJ119" i="16"/>
  <c r="O127" i="16"/>
  <c r="AH127" i="16"/>
  <c r="AI127" i="16"/>
  <c r="AJ127" i="16"/>
  <c r="U129" i="16"/>
  <c r="AH129" i="16"/>
  <c r="AI129" i="16"/>
  <c r="AJ129" i="16"/>
  <c r="Y129" i="16"/>
  <c r="O135" i="16"/>
  <c r="AH135" i="16"/>
  <c r="AI135" i="16"/>
  <c r="AJ135" i="16"/>
  <c r="O143" i="16"/>
  <c r="AH143" i="16"/>
  <c r="AI143" i="16"/>
  <c r="AJ143" i="16"/>
  <c r="Y145" i="16"/>
  <c r="AH145" i="16"/>
  <c r="AI145" i="16"/>
  <c r="AJ145" i="16"/>
  <c r="U145" i="16"/>
  <c r="AH151" i="16"/>
  <c r="AI151" i="16"/>
  <c r="AJ151" i="16"/>
  <c r="AH159" i="16"/>
  <c r="AI159" i="16"/>
  <c r="AJ159" i="16"/>
  <c r="U161" i="16"/>
  <c r="AH161" i="16"/>
  <c r="AI161" i="16"/>
  <c r="AJ161" i="16"/>
  <c r="Y161" i="16"/>
  <c r="AH167" i="16"/>
  <c r="AI167" i="16"/>
  <c r="AJ167" i="16"/>
  <c r="U191" i="16"/>
  <c r="T191" i="16"/>
  <c r="Y191" i="16"/>
  <c r="AD191" i="16"/>
  <c r="AH191" i="16"/>
  <c r="AI191" i="16"/>
  <c r="AJ191" i="16"/>
  <c r="U199" i="16"/>
  <c r="T199" i="16"/>
  <c r="Y199" i="16"/>
  <c r="AD199" i="16"/>
  <c r="AH199" i="16"/>
  <c r="AI199" i="16"/>
  <c r="AJ199" i="16"/>
  <c r="U207" i="16"/>
  <c r="T207" i="16"/>
  <c r="Y207" i="16"/>
  <c r="AD207" i="16"/>
  <c r="AH207" i="16"/>
  <c r="AI207" i="16"/>
  <c r="AJ207" i="16"/>
  <c r="U215" i="16"/>
  <c r="T215" i="16"/>
  <c r="Y215" i="16"/>
  <c r="AD215" i="16"/>
  <c r="AH215" i="16"/>
  <c r="AI215" i="16"/>
  <c r="AJ215" i="16"/>
  <c r="AH224" i="16"/>
  <c r="AI224" i="16"/>
  <c r="AJ224" i="16"/>
  <c r="AH228" i="16"/>
  <c r="AI228" i="16"/>
  <c r="AJ228" i="16"/>
  <c r="AH232" i="16"/>
  <c r="AI232" i="16"/>
  <c r="AJ232" i="16"/>
  <c r="AH236" i="16"/>
  <c r="AI236" i="16"/>
  <c r="AJ236" i="16"/>
  <c r="AH240" i="16"/>
  <c r="AI240" i="16"/>
  <c r="AJ240" i="16"/>
  <c r="AH244" i="16"/>
  <c r="AI244" i="16"/>
  <c r="AJ244" i="16"/>
  <c r="M223" i="16"/>
  <c r="Z223" i="16" s="1"/>
  <c r="AB223" i="16"/>
  <c r="R223" i="16" s="1"/>
  <c r="W223" i="16"/>
  <c r="AM223" i="16"/>
  <c r="T53" i="16"/>
  <c r="U53" i="16"/>
  <c r="O53" i="16"/>
  <c r="Y53" i="16"/>
  <c r="AH53" i="16"/>
  <c r="AD53" i="16"/>
  <c r="AI53" i="16"/>
  <c r="AJ53" i="16"/>
  <c r="U117" i="16"/>
  <c r="O117" i="16"/>
  <c r="T117" i="16"/>
  <c r="Y117" i="16"/>
  <c r="AD117" i="16"/>
  <c r="AI117" i="16"/>
  <c r="AH117" i="16"/>
  <c r="AJ117" i="16"/>
  <c r="O9" i="16"/>
  <c r="T9" i="16"/>
  <c r="U9" i="16"/>
  <c r="AD9" i="16"/>
  <c r="Y9" i="16"/>
  <c r="Z9" i="16"/>
  <c r="AH9" i="16"/>
  <c r="AI9" i="16"/>
  <c r="AJ9" i="16"/>
  <c r="T13" i="16"/>
  <c r="U13" i="16"/>
  <c r="Y13" i="16"/>
  <c r="AH13" i="16"/>
  <c r="O13" i="16"/>
  <c r="AI13" i="16"/>
  <c r="AD13" i="16"/>
  <c r="AJ13" i="16"/>
  <c r="O17" i="16"/>
  <c r="T17" i="16"/>
  <c r="AD17" i="16"/>
  <c r="U17" i="16"/>
  <c r="AI17" i="16"/>
  <c r="Y17" i="16"/>
  <c r="Z17" i="16"/>
  <c r="AH17" i="16"/>
  <c r="AJ17" i="16"/>
  <c r="O25" i="16"/>
  <c r="T25" i="16"/>
  <c r="U25" i="16"/>
  <c r="AD25" i="16"/>
  <c r="Y25" i="16"/>
  <c r="Z25" i="16"/>
  <c r="AH25" i="16"/>
  <c r="AI25" i="16"/>
  <c r="AJ25" i="16"/>
  <c r="T29" i="16"/>
  <c r="U29" i="16"/>
  <c r="O29" i="16"/>
  <c r="Y29" i="16"/>
  <c r="AH29" i="16"/>
  <c r="AI29" i="16"/>
  <c r="AD29" i="16"/>
  <c r="AJ29" i="16"/>
  <c r="O33" i="16"/>
  <c r="AD33" i="16"/>
  <c r="AI33" i="16"/>
  <c r="T33" i="16"/>
  <c r="U33" i="16"/>
  <c r="Y33" i="16"/>
  <c r="Z33" i="16"/>
  <c r="AH33" i="16"/>
  <c r="AJ33" i="16"/>
  <c r="O41" i="16"/>
  <c r="T41" i="16"/>
  <c r="U41" i="16"/>
  <c r="AD41" i="16"/>
  <c r="Y41" i="16"/>
  <c r="Z41" i="16"/>
  <c r="AH41" i="16"/>
  <c r="AI41" i="16"/>
  <c r="AJ41" i="16"/>
  <c r="T45" i="16"/>
  <c r="U45" i="16"/>
  <c r="Y45" i="16"/>
  <c r="AH45" i="16"/>
  <c r="AI45" i="16"/>
  <c r="O45" i="16"/>
  <c r="AD45" i="16"/>
  <c r="AJ45" i="16"/>
  <c r="O49" i="16"/>
  <c r="T49" i="16"/>
  <c r="AD49" i="16"/>
  <c r="U49" i="16"/>
  <c r="AI49" i="16"/>
  <c r="Y49" i="16"/>
  <c r="Z49" i="16"/>
  <c r="AH49" i="16"/>
  <c r="AJ49" i="16"/>
  <c r="O57" i="16"/>
  <c r="T57" i="16"/>
  <c r="U57" i="16"/>
  <c r="AD57" i="16"/>
  <c r="Y57" i="16"/>
  <c r="Z57" i="16"/>
  <c r="AH57" i="16"/>
  <c r="AI57" i="16"/>
  <c r="AJ57" i="16"/>
  <c r="U61" i="16"/>
  <c r="Y61" i="16"/>
  <c r="AH61" i="16"/>
  <c r="O61" i="16"/>
  <c r="T61" i="16"/>
  <c r="AI61" i="16"/>
  <c r="AD61" i="16"/>
  <c r="AJ61" i="16"/>
  <c r="O65" i="16"/>
  <c r="T65" i="16"/>
  <c r="AD65" i="16"/>
  <c r="AI65" i="16"/>
  <c r="U65" i="16"/>
  <c r="Y65" i="16"/>
  <c r="Z65" i="16"/>
  <c r="AH65" i="16"/>
  <c r="AJ65" i="16"/>
  <c r="O73" i="16"/>
  <c r="T73" i="16"/>
  <c r="U73" i="16"/>
  <c r="AD73" i="16"/>
  <c r="Y73" i="16"/>
  <c r="Z73" i="16"/>
  <c r="AH73" i="16"/>
  <c r="AI73" i="16"/>
  <c r="AJ73" i="16"/>
  <c r="U77" i="16"/>
  <c r="Y77" i="16"/>
  <c r="AH77" i="16"/>
  <c r="AI77" i="16"/>
  <c r="O77" i="16"/>
  <c r="T77" i="16"/>
  <c r="AD77" i="16"/>
  <c r="AJ77" i="16"/>
  <c r="O81" i="16"/>
  <c r="T81" i="16"/>
  <c r="AD81" i="16"/>
  <c r="U81" i="16"/>
  <c r="AI81" i="16"/>
  <c r="Y81" i="16"/>
  <c r="Z81" i="16"/>
  <c r="AH81" i="16"/>
  <c r="AJ81" i="16"/>
  <c r="O89" i="16"/>
  <c r="T89" i="16"/>
  <c r="U89" i="16"/>
  <c r="AD89" i="16"/>
  <c r="Y89" i="16"/>
  <c r="Z89" i="16"/>
  <c r="AH89" i="16"/>
  <c r="AI89" i="16"/>
  <c r="AJ89" i="16"/>
  <c r="U93" i="16"/>
  <c r="Y93" i="16"/>
  <c r="AH93" i="16"/>
  <c r="O93" i="16"/>
  <c r="T93" i="16"/>
  <c r="AI93" i="16"/>
  <c r="AD93" i="16"/>
  <c r="AJ93" i="16"/>
  <c r="O97" i="16"/>
  <c r="T97" i="16"/>
  <c r="AD97" i="16"/>
  <c r="AI97" i="16"/>
  <c r="U97" i="16"/>
  <c r="Y97" i="16"/>
  <c r="Z97" i="16"/>
  <c r="AH97" i="16"/>
  <c r="AJ97" i="16"/>
  <c r="O105" i="16"/>
  <c r="T105" i="16"/>
  <c r="U105" i="16"/>
  <c r="AD105" i="16"/>
  <c r="Y105" i="16"/>
  <c r="Z105" i="16"/>
  <c r="AI105" i="16"/>
  <c r="AH105" i="16"/>
  <c r="AJ105" i="16"/>
  <c r="U109" i="16"/>
  <c r="Y109" i="16"/>
  <c r="AI109" i="16"/>
  <c r="O109" i="16"/>
  <c r="T109" i="16"/>
  <c r="AD109" i="16"/>
  <c r="AH109" i="16"/>
  <c r="AJ109" i="16"/>
  <c r="O113" i="16"/>
  <c r="T113" i="16"/>
  <c r="AD113" i="16"/>
  <c r="U113" i="16"/>
  <c r="AI113" i="16"/>
  <c r="Y113" i="16"/>
  <c r="Z113" i="16"/>
  <c r="AH113" i="16"/>
  <c r="AJ113" i="16"/>
  <c r="O252" i="16"/>
  <c r="T252" i="16"/>
  <c r="U252" i="16"/>
  <c r="Y252" i="16"/>
  <c r="AD252" i="16"/>
  <c r="AH252" i="16"/>
  <c r="AJ252" i="16"/>
  <c r="AI252" i="16"/>
  <c r="T21" i="16"/>
  <c r="O21" i="16"/>
  <c r="U21" i="16"/>
  <c r="Y21" i="16"/>
  <c r="AH21" i="16"/>
  <c r="AD21" i="16"/>
  <c r="AI21" i="16"/>
  <c r="AJ21" i="16"/>
  <c r="U85" i="16"/>
  <c r="O85" i="16"/>
  <c r="T85" i="16"/>
  <c r="Y85" i="16"/>
  <c r="AH85" i="16"/>
  <c r="AD85" i="16"/>
  <c r="AI85" i="16"/>
  <c r="AJ85" i="16"/>
  <c r="Z21" i="16"/>
  <c r="Z53" i="16"/>
  <c r="Z85" i="16"/>
  <c r="Z117" i="16"/>
  <c r="O248" i="16"/>
  <c r="T248" i="16"/>
  <c r="U248" i="16"/>
  <c r="Y248" i="16"/>
  <c r="AD248" i="16"/>
  <c r="AH248" i="16"/>
  <c r="AJ248" i="16"/>
  <c r="AI248" i="16"/>
  <c r="O32" i="16"/>
  <c r="T32" i="16"/>
  <c r="U32" i="16"/>
  <c r="AD32" i="16"/>
  <c r="AH32" i="16"/>
  <c r="AI32" i="16"/>
  <c r="AJ32" i="16"/>
  <c r="Z32" i="16"/>
  <c r="Y32" i="16"/>
  <c r="O36" i="16"/>
  <c r="Y36" i="16"/>
  <c r="AI36" i="16"/>
  <c r="AJ36" i="16"/>
  <c r="T36" i="16"/>
  <c r="U36" i="16"/>
  <c r="AD36" i="16"/>
  <c r="AH36" i="16"/>
  <c r="O48" i="16"/>
  <c r="T48" i="16"/>
  <c r="U48" i="16"/>
  <c r="AD48" i="16"/>
  <c r="AH48" i="16"/>
  <c r="AI48" i="16"/>
  <c r="AJ48" i="16"/>
  <c r="Z48" i="16"/>
  <c r="Y48" i="16"/>
  <c r="O52" i="16"/>
  <c r="Y52" i="16"/>
  <c r="AI52" i="16"/>
  <c r="AJ52" i="16"/>
  <c r="T52" i="16"/>
  <c r="U52" i="16"/>
  <c r="AD52" i="16"/>
  <c r="AH52" i="16"/>
  <c r="O54" i="16"/>
  <c r="Y54" i="16"/>
  <c r="AI54" i="16"/>
  <c r="AJ54" i="16"/>
  <c r="T54" i="16"/>
  <c r="U54" i="16"/>
  <c r="AD54" i="16"/>
  <c r="AH54" i="16"/>
  <c r="O64" i="16"/>
  <c r="T64" i="16"/>
  <c r="U64" i="16"/>
  <c r="AD64" i="16"/>
  <c r="AH64" i="16"/>
  <c r="AI64" i="16"/>
  <c r="AJ64" i="16"/>
  <c r="Y64" i="16"/>
  <c r="Z64" i="16"/>
  <c r="O74" i="16"/>
  <c r="T74" i="16"/>
  <c r="U74" i="16"/>
  <c r="AD74" i="16"/>
  <c r="AH74" i="16"/>
  <c r="AI74" i="16"/>
  <c r="AJ74" i="16"/>
  <c r="Y74" i="16"/>
  <c r="Z74" i="16"/>
  <c r="O76" i="16"/>
  <c r="Y76" i="16"/>
  <c r="AI76" i="16"/>
  <c r="AJ76" i="16"/>
  <c r="T76" i="16"/>
  <c r="U76" i="16"/>
  <c r="AH76" i="16"/>
  <c r="AD76" i="16"/>
  <c r="O82" i="16"/>
  <c r="T82" i="16"/>
  <c r="U82" i="16"/>
  <c r="AD82" i="16"/>
  <c r="AH82" i="16"/>
  <c r="AI82" i="16"/>
  <c r="AJ82" i="16"/>
  <c r="Y82" i="16"/>
  <c r="Z82" i="16"/>
  <c r="O86" i="16"/>
  <c r="Y86" i="16"/>
  <c r="AI86" i="16"/>
  <c r="AJ86" i="16"/>
  <c r="T86" i="16"/>
  <c r="U86" i="16"/>
  <c r="AH86" i="16"/>
  <c r="AD86" i="16"/>
  <c r="O102" i="16"/>
  <c r="Y102" i="16"/>
  <c r="AH102" i="16"/>
  <c r="AI102" i="16"/>
  <c r="AJ102" i="16"/>
  <c r="T102" i="16"/>
  <c r="U102" i="16"/>
  <c r="AD102" i="16"/>
  <c r="O110" i="16"/>
  <c r="Y110" i="16"/>
  <c r="AH110" i="16"/>
  <c r="AI110" i="16"/>
  <c r="AJ110" i="16"/>
  <c r="T110" i="16"/>
  <c r="U110" i="16"/>
  <c r="AD110" i="16"/>
  <c r="O130" i="16"/>
  <c r="T130" i="16"/>
  <c r="U130" i="16"/>
  <c r="AD130" i="16"/>
  <c r="AH130" i="16"/>
  <c r="AI130" i="16"/>
  <c r="AJ130" i="16"/>
  <c r="Y130" i="16"/>
  <c r="Z130" i="16"/>
  <c r="O140" i="16"/>
  <c r="Y140" i="16"/>
  <c r="AH140" i="16"/>
  <c r="AI140" i="16"/>
  <c r="AJ140" i="16"/>
  <c r="T140" i="16"/>
  <c r="U140" i="16"/>
  <c r="AD140" i="16"/>
  <c r="O154" i="16"/>
  <c r="T154" i="16"/>
  <c r="U154" i="16"/>
  <c r="AD154" i="16"/>
  <c r="AH154" i="16"/>
  <c r="AI154" i="16"/>
  <c r="AJ154" i="16"/>
  <c r="Y154" i="16"/>
  <c r="Z154" i="16"/>
  <c r="O10" i="16"/>
  <c r="T10" i="16"/>
  <c r="U10" i="16"/>
  <c r="AD10" i="16"/>
  <c r="AH10" i="16"/>
  <c r="AI10" i="16"/>
  <c r="AJ10" i="16"/>
  <c r="Y10" i="16"/>
  <c r="Z10" i="16"/>
  <c r="O14" i="16"/>
  <c r="Y14" i="16"/>
  <c r="AI14" i="16"/>
  <c r="AJ14" i="16"/>
  <c r="T14" i="16"/>
  <c r="U14" i="16"/>
  <c r="AD14" i="16"/>
  <c r="AH14" i="16"/>
  <c r="O26" i="16"/>
  <c r="T26" i="16"/>
  <c r="U26" i="16"/>
  <c r="AD26" i="16"/>
  <c r="AH26" i="16"/>
  <c r="AI26" i="16"/>
  <c r="AJ26" i="16"/>
  <c r="Y26" i="16"/>
  <c r="Z26" i="16"/>
  <c r="O30" i="16"/>
  <c r="Y30" i="16"/>
  <c r="AI30" i="16"/>
  <c r="AJ30" i="16"/>
  <c r="T30" i="16"/>
  <c r="U30" i="16"/>
  <c r="AD30" i="16"/>
  <c r="AH30" i="16"/>
  <c r="O40" i="16"/>
  <c r="T40" i="16"/>
  <c r="U40" i="16"/>
  <c r="AD40" i="16"/>
  <c r="AH40" i="16"/>
  <c r="AI40" i="16"/>
  <c r="AJ40" i="16"/>
  <c r="Z40" i="16"/>
  <c r="Y40" i="16"/>
  <c r="O44" i="16"/>
  <c r="Y44" i="16"/>
  <c r="AI44" i="16"/>
  <c r="AJ44" i="16"/>
  <c r="T44" i="16"/>
  <c r="U44" i="16"/>
  <c r="AD44" i="16"/>
  <c r="AH44" i="16"/>
  <c r="O56" i="16"/>
  <c r="T56" i="16"/>
  <c r="U56" i="16"/>
  <c r="AD56" i="16"/>
  <c r="AH56" i="16"/>
  <c r="AI56" i="16"/>
  <c r="AJ56" i="16"/>
  <c r="Z56" i="16"/>
  <c r="Y56" i="16"/>
  <c r="O62" i="16"/>
  <c r="Y62" i="16"/>
  <c r="AI62" i="16"/>
  <c r="AJ62" i="16"/>
  <c r="T62" i="16"/>
  <c r="U62" i="16"/>
  <c r="AD62" i="16"/>
  <c r="AH62" i="16"/>
  <c r="O68" i="16"/>
  <c r="Y68" i="16"/>
  <c r="AI68" i="16"/>
  <c r="AJ68" i="16"/>
  <c r="T68" i="16"/>
  <c r="U68" i="16"/>
  <c r="AH68" i="16"/>
  <c r="AD68" i="16"/>
  <c r="O90" i="16"/>
  <c r="T90" i="16"/>
  <c r="U90" i="16"/>
  <c r="AD90" i="16"/>
  <c r="AH90" i="16"/>
  <c r="AI90" i="16"/>
  <c r="AJ90" i="16"/>
  <c r="Y90" i="16"/>
  <c r="Z90" i="16"/>
  <c r="O94" i="16"/>
  <c r="Y94" i="16"/>
  <c r="AI94" i="16"/>
  <c r="AJ94" i="16"/>
  <c r="T94" i="16"/>
  <c r="U94" i="16"/>
  <c r="AD94" i="16"/>
  <c r="AH94" i="16"/>
  <c r="O116" i="16"/>
  <c r="Y116" i="16"/>
  <c r="AH116" i="16"/>
  <c r="AI116" i="16"/>
  <c r="AJ116" i="16"/>
  <c r="T116" i="16"/>
  <c r="U116" i="16"/>
  <c r="AD116" i="16"/>
  <c r="O122" i="16"/>
  <c r="T122" i="16"/>
  <c r="U122" i="16"/>
  <c r="AD122" i="16"/>
  <c r="AH122" i="16"/>
  <c r="AI122" i="16"/>
  <c r="AJ122" i="16"/>
  <c r="Y122" i="16"/>
  <c r="Z122" i="16"/>
  <c r="O132" i="16"/>
  <c r="Y132" i="16"/>
  <c r="AH132" i="16"/>
  <c r="AI132" i="16"/>
  <c r="AJ132" i="16"/>
  <c r="T132" i="16"/>
  <c r="U132" i="16"/>
  <c r="AD132" i="16"/>
  <c r="O136" i="16"/>
  <c r="T136" i="16"/>
  <c r="U136" i="16"/>
  <c r="AD136" i="16"/>
  <c r="AH136" i="16"/>
  <c r="AI136" i="16"/>
  <c r="AJ136" i="16"/>
  <c r="Y136" i="16"/>
  <c r="Z136" i="16"/>
  <c r="O156" i="16"/>
  <c r="Y156" i="16"/>
  <c r="AH156" i="16"/>
  <c r="AI156" i="16"/>
  <c r="AJ156" i="16"/>
  <c r="T156" i="16"/>
  <c r="U156" i="16"/>
  <c r="AD156" i="16"/>
  <c r="O162" i="16"/>
  <c r="T162" i="16"/>
  <c r="U162" i="16"/>
  <c r="AD162" i="16"/>
  <c r="AH162" i="16"/>
  <c r="AI162" i="16"/>
  <c r="AJ162" i="16"/>
  <c r="Z162" i="16"/>
  <c r="Y162" i="16"/>
  <c r="O168" i="16"/>
  <c r="T168" i="16"/>
  <c r="U168" i="16"/>
  <c r="AD168" i="16"/>
  <c r="AH168" i="16"/>
  <c r="AI168" i="16"/>
  <c r="AJ168" i="16"/>
  <c r="Y168" i="16"/>
  <c r="Z168" i="16"/>
  <c r="O6" i="16"/>
  <c r="Y6" i="16"/>
  <c r="AI6" i="16"/>
  <c r="AJ6" i="16"/>
  <c r="T6" i="16"/>
  <c r="U6" i="16"/>
  <c r="AD6" i="16"/>
  <c r="AH6" i="16"/>
  <c r="O16" i="16"/>
  <c r="T16" i="16"/>
  <c r="U16" i="16"/>
  <c r="AD16" i="16"/>
  <c r="AH16" i="16"/>
  <c r="AI16" i="16"/>
  <c r="AJ16" i="16"/>
  <c r="Y16" i="16"/>
  <c r="Z16" i="16"/>
  <c r="O20" i="16"/>
  <c r="Y20" i="16"/>
  <c r="AI20" i="16"/>
  <c r="AJ20" i="16"/>
  <c r="T20" i="16"/>
  <c r="AD20" i="16"/>
  <c r="U20" i="16"/>
  <c r="AH20" i="16"/>
  <c r="Z36" i="16"/>
  <c r="O104" i="16"/>
  <c r="T104" i="16"/>
  <c r="U104" i="16"/>
  <c r="AD104" i="16"/>
  <c r="AH104" i="16"/>
  <c r="AI104" i="16"/>
  <c r="AJ104" i="16"/>
  <c r="Y104" i="16"/>
  <c r="Z104" i="16"/>
  <c r="O114" i="16"/>
  <c r="T114" i="16"/>
  <c r="U114" i="16"/>
  <c r="AD114" i="16"/>
  <c r="AH114" i="16"/>
  <c r="AI114" i="16"/>
  <c r="AJ114" i="16"/>
  <c r="Y114" i="16"/>
  <c r="Z114" i="16"/>
  <c r="O124" i="16"/>
  <c r="Y124" i="16"/>
  <c r="AH124" i="16"/>
  <c r="AI124" i="16"/>
  <c r="AJ124" i="16"/>
  <c r="T124" i="16"/>
  <c r="U124" i="16"/>
  <c r="AD124" i="16"/>
  <c r="O128" i="16"/>
  <c r="T128" i="16"/>
  <c r="U128" i="16"/>
  <c r="AD128" i="16"/>
  <c r="AH128" i="16"/>
  <c r="AI128" i="16"/>
  <c r="AJ128" i="16"/>
  <c r="Y128" i="16"/>
  <c r="Z128" i="16"/>
  <c r="Z140" i="16"/>
  <c r="O144" i="16"/>
  <c r="T144" i="16"/>
  <c r="U144" i="16"/>
  <c r="AD144" i="16"/>
  <c r="AH144" i="16"/>
  <c r="AI144" i="16"/>
  <c r="AJ144" i="16"/>
  <c r="Z144" i="16"/>
  <c r="Y144" i="16"/>
  <c r="O150" i="16"/>
  <c r="Y150" i="16"/>
  <c r="AH150" i="16"/>
  <c r="AI150" i="16"/>
  <c r="AJ150" i="16"/>
  <c r="T150" i="16"/>
  <c r="U150" i="16"/>
  <c r="AD150" i="16"/>
  <c r="O164" i="16"/>
  <c r="Y164" i="16"/>
  <c r="AH164" i="16"/>
  <c r="AI164" i="16"/>
  <c r="AJ164" i="16"/>
  <c r="T164" i="16"/>
  <c r="U164" i="16"/>
  <c r="AD164" i="16"/>
  <c r="O172" i="16"/>
  <c r="Y172" i="16"/>
  <c r="AH172" i="16"/>
  <c r="AI172" i="16"/>
  <c r="AJ172" i="16"/>
  <c r="U172" i="16"/>
  <c r="T172" i="16"/>
  <c r="AD172" i="16"/>
  <c r="O8" i="16"/>
  <c r="T8" i="16"/>
  <c r="U8" i="16"/>
  <c r="AD8" i="16"/>
  <c r="AH8" i="16"/>
  <c r="AI8" i="16"/>
  <c r="AJ8" i="16"/>
  <c r="Z8" i="16"/>
  <c r="Y8" i="16"/>
  <c r="O12" i="16"/>
  <c r="Y12" i="16"/>
  <c r="AI12" i="16"/>
  <c r="AJ12" i="16"/>
  <c r="T12" i="16"/>
  <c r="AD12" i="16"/>
  <c r="U12" i="16"/>
  <c r="AH12" i="16"/>
  <c r="O24" i="16"/>
  <c r="T24" i="16"/>
  <c r="U24" i="16"/>
  <c r="AD24" i="16"/>
  <c r="AH24" i="16"/>
  <c r="AI24" i="16"/>
  <c r="AJ24" i="16"/>
  <c r="Y24" i="16"/>
  <c r="Z24" i="16"/>
  <c r="O28" i="16"/>
  <c r="Y28" i="16"/>
  <c r="AI28" i="16"/>
  <c r="AJ28" i="16"/>
  <c r="T28" i="16"/>
  <c r="AD28" i="16"/>
  <c r="U28" i="16"/>
  <c r="AH28" i="16"/>
  <c r="O42" i="16"/>
  <c r="T42" i="16"/>
  <c r="U42" i="16"/>
  <c r="AD42" i="16"/>
  <c r="AH42" i="16"/>
  <c r="AI42" i="16"/>
  <c r="AJ42" i="16"/>
  <c r="Y42" i="16"/>
  <c r="Z42" i="16"/>
  <c r="O46" i="16"/>
  <c r="Y46" i="16"/>
  <c r="AI46" i="16"/>
  <c r="AJ46" i="16"/>
  <c r="T46" i="16"/>
  <c r="AD46" i="16"/>
  <c r="U46" i="16"/>
  <c r="AH46" i="16"/>
  <c r="O58" i="16"/>
  <c r="T58" i="16"/>
  <c r="U58" i="16"/>
  <c r="AD58" i="16"/>
  <c r="AH58" i="16"/>
  <c r="AI58" i="16"/>
  <c r="AJ58" i="16"/>
  <c r="Y58" i="16"/>
  <c r="Z58" i="16"/>
  <c r="O60" i="16"/>
  <c r="Y60" i="16"/>
  <c r="AI60" i="16"/>
  <c r="AJ60" i="16"/>
  <c r="T60" i="16"/>
  <c r="U60" i="16"/>
  <c r="AD60" i="16"/>
  <c r="AH60" i="16"/>
  <c r="O66" i="16"/>
  <c r="T66" i="16"/>
  <c r="U66" i="16"/>
  <c r="AD66" i="16"/>
  <c r="AH66" i="16"/>
  <c r="AI66" i="16"/>
  <c r="AJ66" i="16"/>
  <c r="Y66" i="16"/>
  <c r="Z66" i="16"/>
  <c r="O70" i="16"/>
  <c r="Y70" i="16"/>
  <c r="AI70" i="16"/>
  <c r="AJ70" i="16"/>
  <c r="T70" i="16"/>
  <c r="U70" i="16"/>
  <c r="AH70" i="16"/>
  <c r="AD70" i="16"/>
  <c r="O80" i="16"/>
  <c r="T80" i="16"/>
  <c r="U80" i="16"/>
  <c r="AD80" i="16"/>
  <c r="AH80" i="16"/>
  <c r="AI80" i="16"/>
  <c r="AJ80" i="16"/>
  <c r="Y80" i="16"/>
  <c r="Z80" i="16"/>
  <c r="O88" i="16"/>
  <c r="T88" i="16"/>
  <c r="U88" i="16"/>
  <c r="AD88" i="16"/>
  <c r="AH88" i="16"/>
  <c r="AI88" i="16"/>
  <c r="AJ88" i="16"/>
  <c r="Y88" i="16"/>
  <c r="Z88" i="16"/>
  <c r="O92" i="16"/>
  <c r="Y92" i="16"/>
  <c r="AI92" i="16"/>
  <c r="AJ92" i="16"/>
  <c r="T92" i="16"/>
  <c r="U92" i="16"/>
  <c r="AH92" i="16"/>
  <c r="AD92" i="16"/>
  <c r="O96" i="16"/>
  <c r="T96" i="16"/>
  <c r="U96" i="16"/>
  <c r="AD96" i="16"/>
  <c r="AH96" i="16"/>
  <c r="AI96" i="16"/>
  <c r="AJ96" i="16"/>
  <c r="Z96" i="16"/>
  <c r="Y96" i="16"/>
  <c r="O98" i="16"/>
  <c r="T98" i="16"/>
  <c r="U98" i="16"/>
  <c r="AD98" i="16"/>
  <c r="AH98" i="16"/>
  <c r="AI98" i="16"/>
  <c r="AJ98" i="16"/>
  <c r="Y98" i="16"/>
  <c r="Z98" i="16"/>
  <c r="O108" i="16"/>
  <c r="Y108" i="16"/>
  <c r="AH108" i="16"/>
  <c r="AI108" i="16"/>
  <c r="AJ108" i="16"/>
  <c r="T108" i="16"/>
  <c r="U108" i="16"/>
  <c r="AD108" i="16"/>
  <c r="O118" i="16"/>
  <c r="Y118" i="16"/>
  <c r="AH118" i="16"/>
  <c r="AI118" i="16"/>
  <c r="AJ118" i="16"/>
  <c r="T118" i="16"/>
  <c r="U118" i="16"/>
  <c r="AD118" i="16"/>
  <c r="O120" i="16"/>
  <c r="T120" i="16"/>
  <c r="U120" i="16"/>
  <c r="AD120" i="16"/>
  <c r="AH120" i="16"/>
  <c r="AI120" i="16"/>
  <c r="AJ120" i="16"/>
  <c r="Y120" i="16"/>
  <c r="Z120" i="16"/>
  <c r="O134" i="16"/>
  <c r="Y134" i="16"/>
  <c r="AH134" i="16"/>
  <c r="AI134" i="16"/>
  <c r="AJ134" i="16"/>
  <c r="T134" i="16"/>
  <c r="U134" i="16"/>
  <c r="AD134" i="16"/>
  <c r="O138" i="16"/>
  <c r="T138" i="16"/>
  <c r="U138" i="16"/>
  <c r="AD138" i="16"/>
  <c r="AH138" i="16"/>
  <c r="AI138" i="16"/>
  <c r="AJ138" i="16"/>
  <c r="Y138" i="16"/>
  <c r="Z138" i="16"/>
  <c r="O148" i="16"/>
  <c r="Y148" i="16"/>
  <c r="AH148" i="16"/>
  <c r="AI148" i="16"/>
  <c r="AJ148" i="16"/>
  <c r="T148" i="16"/>
  <c r="U148" i="16"/>
  <c r="AD148" i="16"/>
  <c r="O158" i="16"/>
  <c r="Y158" i="16"/>
  <c r="AH158" i="16"/>
  <c r="AI158" i="16"/>
  <c r="AJ158" i="16"/>
  <c r="T158" i="16"/>
  <c r="U158" i="16"/>
  <c r="AD158" i="16"/>
  <c r="O160" i="16"/>
  <c r="T160" i="16"/>
  <c r="U160" i="16"/>
  <c r="AD160" i="16"/>
  <c r="AH160" i="16"/>
  <c r="AI160" i="16"/>
  <c r="AJ160" i="16"/>
  <c r="Y160" i="16"/>
  <c r="Z160" i="16"/>
  <c r="O166" i="16"/>
  <c r="Y166" i="16"/>
  <c r="AH166" i="16"/>
  <c r="AI166" i="16"/>
  <c r="AJ166" i="16"/>
  <c r="T166" i="16"/>
  <c r="U166" i="16"/>
  <c r="AD166" i="16"/>
  <c r="O170" i="16"/>
  <c r="T170" i="16"/>
  <c r="U170" i="16"/>
  <c r="AD170" i="16"/>
  <c r="AH170" i="16"/>
  <c r="AI170" i="16"/>
  <c r="AJ170" i="16"/>
  <c r="Z170" i="16"/>
  <c r="Y170" i="16"/>
  <c r="O4" i="16"/>
  <c r="Y4" i="16"/>
  <c r="AI4" i="16"/>
  <c r="AJ4" i="16"/>
  <c r="T4" i="16"/>
  <c r="U4" i="16"/>
  <c r="AD4" i="16"/>
  <c r="AH4" i="16"/>
  <c r="O18" i="16"/>
  <c r="T18" i="16"/>
  <c r="U18" i="16"/>
  <c r="AD18" i="16"/>
  <c r="AH18" i="16"/>
  <c r="AI18" i="16"/>
  <c r="AJ18" i="16"/>
  <c r="Y18" i="16"/>
  <c r="Z18" i="16"/>
  <c r="O22" i="16"/>
  <c r="Y22" i="16"/>
  <c r="AI22" i="16"/>
  <c r="AJ22" i="16"/>
  <c r="T22" i="16"/>
  <c r="U22" i="16"/>
  <c r="AD22" i="16"/>
  <c r="AH22" i="16"/>
  <c r="O34" i="16"/>
  <c r="T34" i="16"/>
  <c r="U34" i="16"/>
  <c r="AD34" i="16"/>
  <c r="AH34" i="16"/>
  <c r="AI34" i="16"/>
  <c r="AJ34" i="16"/>
  <c r="Y34" i="16"/>
  <c r="Z34" i="16"/>
  <c r="O38" i="16"/>
  <c r="Y38" i="16"/>
  <c r="AI38" i="16"/>
  <c r="AJ38" i="16"/>
  <c r="T38" i="16"/>
  <c r="U38" i="16"/>
  <c r="AD38" i="16"/>
  <c r="AH38" i="16"/>
  <c r="O50" i="16"/>
  <c r="T50" i="16"/>
  <c r="U50" i="16"/>
  <c r="AD50" i="16"/>
  <c r="AH50" i="16"/>
  <c r="AI50" i="16"/>
  <c r="AJ50" i="16"/>
  <c r="Y50" i="16"/>
  <c r="Z50" i="16"/>
  <c r="O72" i="16"/>
  <c r="T72" i="16"/>
  <c r="U72" i="16"/>
  <c r="AD72" i="16"/>
  <c r="AH72" i="16"/>
  <c r="AI72" i="16"/>
  <c r="AJ72" i="16"/>
  <c r="Y72" i="16"/>
  <c r="Z72" i="16"/>
  <c r="O78" i="16"/>
  <c r="Y78" i="16"/>
  <c r="AI78" i="16"/>
  <c r="AJ78" i="16"/>
  <c r="T78" i="16"/>
  <c r="U78" i="16"/>
  <c r="AH78" i="16"/>
  <c r="AD78" i="16"/>
  <c r="O84" i="16"/>
  <c r="Y84" i="16"/>
  <c r="AI84" i="16"/>
  <c r="AJ84" i="16"/>
  <c r="T84" i="16"/>
  <c r="U84" i="16"/>
  <c r="AH84" i="16"/>
  <c r="AD84" i="16"/>
  <c r="O100" i="16"/>
  <c r="Y100" i="16"/>
  <c r="AH100" i="16"/>
  <c r="AI100" i="16"/>
  <c r="AJ100" i="16"/>
  <c r="T100" i="16"/>
  <c r="U100" i="16"/>
  <c r="AD100" i="16"/>
  <c r="O106" i="16"/>
  <c r="T106" i="16"/>
  <c r="U106" i="16"/>
  <c r="AD106" i="16"/>
  <c r="AH106" i="16"/>
  <c r="AI106" i="16"/>
  <c r="AJ106" i="16"/>
  <c r="Y106" i="16"/>
  <c r="Z106" i="16"/>
  <c r="O112" i="16"/>
  <c r="T112" i="16"/>
  <c r="U112" i="16"/>
  <c r="AD112" i="16"/>
  <c r="AH112" i="16"/>
  <c r="AI112" i="16"/>
  <c r="AJ112" i="16"/>
  <c r="Y112" i="16"/>
  <c r="Z112" i="16"/>
  <c r="O126" i="16"/>
  <c r="Y126" i="16"/>
  <c r="AH126" i="16"/>
  <c r="AI126" i="16"/>
  <c r="AJ126" i="16"/>
  <c r="T126" i="16"/>
  <c r="U126" i="16"/>
  <c r="AD126" i="16"/>
  <c r="O142" i="16"/>
  <c r="Y142" i="16"/>
  <c r="AH142" i="16"/>
  <c r="AI142" i="16"/>
  <c r="AJ142" i="16"/>
  <c r="T142" i="16"/>
  <c r="U142" i="16"/>
  <c r="AD142" i="16"/>
  <c r="O146" i="16"/>
  <c r="T146" i="16"/>
  <c r="U146" i="16"/>
  <c r="AD146" i="16"/>
  <c r="AH146" i="16"/>
  <c r="AI146" i="16"/>
  <c r="AJ146" i="16"/>
  <c r="Y146" i="16"/>
  <c r="Z146" i="16"/>
  <c r="O152" i="16"/>
  <c r="T152" i="16"/>
  <c r="U152" i="16"/>
  <c r="AD152" i="16"/>
  <c r="AH152" i="16"/>
  <c r="AI152" i="16"/>
  <c r="AJ152" i="16"/>
  <c r="Z152" i="16"/>
  <c r="Y152" i="16"/>
  <c r="AB2" i="16"/>
  <c r="R2" i="16" s="1"/>
  <c r="AM2" i="16"/>
  <c r="W2" i="16"/>
  <c r="M2" i="16"/>
  <c r="Z2" i="16" s="1"/>
  <c r="C16" i="16"/>
  <c r="O223" i="16" l="1"/>
  <c r="U223" i="16"/>
  <c r="AH223" i="16"/>
  <c r="AI223" i="16"/>
  <c r="AJ223" i="16"/>
  <c r="T223" i="16"/>
  <c r="Y223" i="16"/>
  <c r="AD223" i="16"/>
  <c r="AJ2" i="16"/>
  <c r="AH2" i="16"/>
  <c r="AD2" i="16"/>
  <c r="T2" i="16"/>
  <c r="AI2" i="16"/>
  <c r="Y2" i="16"/>
  <c r="U2" i="16"/>
  <c r="O2" i="16"/>
  <c r="H3" i="4"/>
  <c r="AE2" i="16" l="1"/>
  <c r="AE4" i="16"/>
  <c r="AE6" i="16"/>
  <c r="AE8" i="16"/>
  <c r="AE10" i="16"/>
  <c r="AE12" i="16"/>
  <c r="AE14" i="16"/>
  <c r="AE16" i="16"/>
  <c r="AE18" i="16"/>
  <c r="AE20" i="16"/>
  <c r="AE22" i="16"/>
  <c r="AE24" i="16"/>
  <c r="AE26" i="16"/>
  <c r="AE28" i="16"/>
  <c r="AE30" i="16"/>
  <c r="AE32" i="16"/>
  <c r="AE34" i="16"/>
  <c r="AE36" i="16"/>
  <c r="AE38" i="16"/>
  <c r="AE40" i="16"/>
  <c r="AE42" i="16"/>
  <c r="AE44" i="16"/>
  <c r="AE46" i="16"/>
  <c r="AE48" i="16"/>
  <c r="AE50" i="16"/>
  <c r="AE52" i="16"/>
  <c r="AE54" i="16"/>
  <c r="AE56" i="16"/>
  <c r="AE58" i="16"/>
  <c r="AE60" i="16"/>
  <c r="AE62" i="16"/>
  <c r="AE64" i="16"/>
  <c r="AE66" i="16"/>
  <c r="AE68" i="16"/>
  <c r="AE70" i="16"/>
  <c r="AE72" i="16"/>
  <c r="AE74" i="16"/>
  <c r="AE76" i="16"/>
  <c r="AE78" i="16"/>
  <c r="AE80" i="16"/>
  <c r="AE82" i="16"/>
  <c r="AE84" i="16"/>
  <c r="AE86" i="16"/>
  <c r="AE88" i="16"/>
  <c r="AE90" i="16"/>
  <c r="AE92" i="16"/>
  <c r="AE94" i="16"/>
  <c r="AE96" i="16"/>
  <c r="AE98" i="16"/>
  <c r="AE100" i="16"/>
  <c r="AE102" i="16"/>
  <c r="AE104" i="16"/>
  <c r="AE106" i="16"/>
  <c r="AE108" i="16"/>
  <c r="AE110" i="16"/>
  <c r="AE112" i="16"/>
  <c r="AE114" i="16"/>
  <c r="AE116" i="16"/>
  <c r="AE118" i="16"/>
  <c r="AE120" i="16"/>
  <c r="AE122" i="16"/>
  <c r="AE124" i="16"/>
  <c r="AE126" i="16"/>
  <c r="AE128" i="16"/>
  <c r="AE130" i="16"/>
  <c r="AE132" i="16"/>
  <c r="AE134" i="16"/>
  <c r="AE136" i="16"/>
  <c r="AE138" i="16"/>
  <c r="AE140" i="16"/>
  <c r="AE142" i="16"/>
  <c r="AE144" i="16"/>
  <c r="AE146" i="16"/>
  <c r="AE148" i="16"/>
  <c r="AE150" i="16"/>
  <c r="AE152" i="16"/>
  <c r="AE154" i="16"/>
  <c r="AE156" i="16"/>
  <c r="AE158" i="16"/>
  <c r="AE160" i="16"/>
  <c r="AE162" i="16"/>
  <c r="AE164" i="16"/>
  <c r="AE166" i="16"/>
  <c r="AE168" i="16"/>
  <c r="AE170" i="16"/>
  <c r="AE172" i="16"/>
  <c r="AE174" i="16"/>
  <c r="AE176" i="16"/>
  <c r="AE178" i="16"/>
  <c r="AE180" i="16"/>
  <c r="AE182" i="16"/>
  <c r="AE184" i="16"/>
  <c r="AE186" i="16"/>
  <c r="AE188" i="16"/>
  <c r="AE190" i="16"/>
  <c r="AE192" i="16"/>
  <c r="AE194" i="16"/>
  <c r="AE196" i="16"/>
  <c r="AE198" i="16"/>
  <c r="AE200" i="16"/>
  <c r="AE202" i="16"/>
  <c r="AE204" i="16"/>
  <c r="AE206" i="16"/>
  <c r="AE208" i="16"/>
  <c r="AE210" i="16"/>
  <c r="AE212" i="16"/>
  <c r="AE214" i="16"/>
  <c r="AE216" i="16"/>
  <c r="AE218" i="16"/>
  <c r="AE220" i="16"/>
  <c r="AE222" i="16"/>
  <c r="AE224" i="16"/>
  <c r="AE226" i="16"/>
  <c r="AE228" i="16"/>
  <c r="AE230" i="16"/>
  <c r="AE232" i="16"/>
  <c r="AE234" i="16"/>
  <c r="AE236" i="16"/>
  <c r="AE238" i="16"/>
  <c r="AE240" i="16"/>
  <c r="AE242" i="16"/>
  <c r="AE244" i="16"/>
  <c r="AE246" i="16"/>
  <c r="AE248" i="16"/>
  <c r="AE250" i="16"/>
  <c r="AE252" i="16"/>
  <c r="AE254" i="16"/>
  <c r="AE3" i="16"/>
  <c r="AE5" i="16"/>
  <c r="AE7" i="16"/>
  <c r="AE9" i="16"/>
  <c r="AE11" i="16"/>
  <c r="AE13" i="16"/>
  <c r="AE15" i="16"/>
  <c r="AE17" i="16"/>
  <c r="AE19" i="16"/>
  <c r="AE21" i="16"/>
  <c r="AE23" i="16"/>
  <c r="AE25" i="16"/>
  <c r="AE27" i="16"/>
  <c r="AE29" i="16"/>
  <c r="AE31" i="16"/>
  <c r="AE33" i="16"/>
  <c r="AE35" i="16"/>
  <c r="AE37" i="16"/>
  <c r="AE39" i="16"/>
  <c r="AE41" i="16"/>
  <c r="AE43" i="16"/>
  <c r="AE45" i="16"/>
  <c r="AE47" i="16"/>
  <c r="AE49" i="16"/>
  <c r="AE51" i="16"/>
  <c r="AE53" i="16"/>
  <c r="AE55" i="16"/>
  <c r="AE57" i="16"/>
  <c r="AE59" i="16"/>
  <c r="AE61" i="16"/>
  <c r="AE63" i="16"/>
  <c r="AE65" i="16"/>
  <c r="AE67" i="16"/>
  <c r="AE69" i="16"/>
  <c r="AE71" i="16"/>
  <c r="AE73" i="16"/>
  <c r="AE75" i="16"/>
  <c r="AE77" i="16"/>
  <c r="AE79" i="16"/>
  <c r="AE81" i="16"/>
  <c r="AE83" i="16"/>
  <c r="AE85" i="16"/>
  <c r="AE87" i="16"/>
  <c r="AE89" i="16"/>
  <c r="AE91" i="16"/>
  <c r="AE93" i="16"/>
  <c r="AE95" i="16"/>
  <c r="AE97" i="16"/>
  <c r="AE99" i="16"/>
  <c r="AE101" i="16"/>
  <c r="AE103" i="16"/>
  <c r="AE105" i="16"/>
  <c r="AE107" i="16"/>
  <c r="AE109" i="16"/>
  <c r="AE111" i="16"/>
  <c r="AE113" i="16"/>
  <c r="AE115" i="16"/>
  <c r="AE117" i="16"/>
  <c r="AE119" i="16"/>
  <c r="AE121" i="16"/>
  <c r="AE123" i="16"/>
  <c r="AE125" i="16"/>
  <c r="AE127" i="16"/>
  <c r="AE129" i="16"/>
  <c r="AE131" i="16"/>
  <c r="AE133" i="16"/>
  <c r="AE135" i="16"/>
  <c r="AE137" i="16"/>
  <c r="AE139" i="16"/>
  <c r="AE141" i="16"/>
  <c r="AE143" i="16"/>
  <c r="AE145" i="16"/>
  <c r="AE147" i="16"/>
  <c r="AE149" i="16"/>
  <c r="AE151" i="16"/>
  <c r="AE153" i="16"/>
  <c r="AE155" i="16"/>
  <c r="AE157" i="16"/>
  <c r="AE159" i="16"/>
  <c r="AE161" i="16"/>
  <c r="AE163" i="16"/>
  <c r="AE165" i="16"/>
  <c r="AE167" i="16"/>
  <c r="AE169" i="16"/>
  <c r="AE171" i="16"/>
  <c r="AE173" i="16"/>
  <c r="AE175" i="16"/>
  <c r="AE177" i="16"/>
  <c r="AE179" i="16"/>
  <c r="AE181" i="16"/>
  <c r="AE183" i="16"/>
  <c r="AE185" i="16"/>
  <c r="AE187" i="16"/>
  <c r="AE189" i="16"/>
  <c r="AE191" i="16"/>
  <c r="AE193" i="16"/>
  <c r="AE195" i="16"/>
  <c r="AE197" i="16"/>
  <c r="AE199" i="16"/>
  <c r="AE201" i="16"/>
  <c r="AE203" i="16"/>
  <c r="AE205" i="16"/>
  <c r="AE207" i="16"/>
  <c r="AE209" i="16"/>
  <c r="AE211" i="16"/>
  <c r="AE213" i="16"/>
  <c r="AE215" i="16"/>
  <c r="AE217" i="16"/>
  <c r="AE219" i="16"/>
  <c r="AE221" i="16"/>
  <c r="AE223" i="16"/>
  <c r="AE225" i="16"/>
  <c r="AE227" i="16"/>
  <c r="AE229" i="16"/>
  <c r="AE231" i="16"/>
  <c r="AE233" i="16"/>
  <c r="AE235" i="16"/>
  <c r="AE237" i="16"/>
  <c r="AE239" i="16"/>
  <c r="AE241" i="16"/>
  <c r="AE243" i="16"/>
  <c r="AE245" i="16"/>
  <c r="AE247" i="16"/>
  <c r="AE249" i="16"/>
  <c r="AE251" i="16"/>
  <c r="AE253" i="16"/>
  <c r="P2" i="16"/>
  <c r="P3" i="16"/>
  <c r="P5" i="16"/>
  <c r="P7" i="16"/>
  <c r="P9" i="16"/>
  <c r="P11" i="16"/>
  <c r="P13" i="16"/>
  <c r="P15" i="16"/>
  <c r="P17" i="16"/>
  <c r="P19" i="16"/>
  <c r="P21" i="16"/>
  <c r="P23" i="16"/>
  <c r="P25" i="16"/>
  <c r="P27" i="16"/>
  <c r="P29" i="16"/>
  <c r="P31" i="16"/>
  <c r="P33" i="16"/>
  <c r="P35" i="16"/>
  <c r="P37" i="16"/>
  <c r="P39" i="16"/>
  <c r="P41" i="16"/>
  <c r="P43" i="16"/>
  <c r="P45" i="16"/>
  <c r="P47" i="16"/>
  <c r="P49" i="16"/>
  <c r="P51" i="16"/>
  <c r="P53" i="16"/>
  <c r="P55" i="16"/>
  <c r="P57" i="16"/>
  <c r="P59" i="16"/>
  <c r="P61" i="16"/>
  <c r="P63" i="16"/>
  <c r="P65" i="16"/>
  <c r="P67" i="16"/>
  <c r="P69" i="16"/>
  <c r="P71" i="16"/>
  <c r="P73" i="16"/>
  <c r="P75" i="16"/>
  <c r="P77" i="16"/>
  <c r="P79" i="16"/>
  <c r="P81" i="16"/>
  <c r="P83" i="16"/>
  <c r="P85" i="16"/>
  <c r="P87" i="16"/>
  <c r="P89" i="16"/>
  <c r="P91" i="16"/>
  <c r="P93" i="16"/>
  <c r="P95" i="16"/>
  <c r="P97" i="16"/>
  <c r="P99" i="16"/>
  <c r="P101" i="16"/>
  <c r="P103" i="16"/>
  <c r="P105" i="16"/>
  <c r="P107" i="16"/>
  <c r="P109" i="16"/>
  <c r="P111" i="16"/>
  <c r="P113" i="16"/>
  <c r="P115" i="16"/>
  <c r="P117" i="16"/>
  <c r="P119" i="16"/>
  <c r="P121" i="16"/>
  <c r="P123" i="16"/>
  <c r="P125" i="16"/>
  <c r="P127" i="16"/>
  <c r="P129" i="16"/>
  <c r="P131" i="16"/>
  <c r="P133" i="16"/>
  <c r="P135" i="16"/>
  <c r="P137" i="16"/>
  <c r="P139" i="16"/>
  <c r="P141" i="16"/>
  <c r="P143" i="16"/>
  <c r="P145" i="16"/>
  <c r="P147" i="16"/>
  <c r="P149" i="16"/>
  <c r="P151" i="16"/>
  <c r="P153" i="16"/>
  <c r="P155" i="16"/>
  <c r="P157" i="16"/>
  <c r="P159" i="16"/>
  <c r="P161" i="16"/>
  <c r="P163" i="16"/>
  <c r="P165" i="16"/>
  <c r="P167" i="16"/>
  <c r="P169" i="16"/>
  <c r="P171" i="16"/>
  <c r="P173" i="16"/>
  <c r="P175" i="16"/>
  <c r="P177" i="16"/>
  <c r="P179" i="16"/>
  <c r="P181" i="16"/>
  <c r="P183" i="16"/>
  <c r="P185" i="16"/>
  <c r="P187" i="16"/>
  <c r="P189" i="16"/>
  <c r="P191" i="16"/>
  <c r="P193" i="16"/>
  <c r="P195" i="16"/>
  <c r="P197" i="16"/>
  <c r="P199" i="16"/>
  <c r="P201" i="16"/>
  <c r="P203" i="16"/>
  <c r="P205" i="16"/>
  <c r="P207" i="16"/>
  <c r="P209" i="16"/>
  <c r="P211" i="16"/>
  <c r="P6" i="16"/>
  <c r="P10" i="16"/>
  <c r="P14" i="16"/>
  <c r="P18" i="16"/>
  <c r="P22" i="16"/>
  <c r="P26" i="16"/>
  <c r="P30" i="16"/>
  <c r="P34" i="16"/>
  <c r="P38" i="16"/>
  <c r="P42" i="16"/>
  <c r="P46" i="16"/>
  <c r="P50" i="16"/>
  <c r="P54" i="16"/>
  <c r="P58" i="16"/>
  <c r="P62" i="16"/>
  <c r="P66" i="16"/>
  <c r="P70" i="16"/>
  <c r="P74" i="16"/>
  <c r="P78" i="16"/>
  <c r="P82" i="16"/>
  <c r="P86" i="16"/>
  <c r="P90" i="16"/>
  <c r="P94" i="16"/>
  <c r="P98" i="16"/>
  <c r="P102" i="16"/>
  <c r="P106" i="16"/>
  <c r="P110" i="16"/>
  <c r="P114" i="16"/>
  <c r="P118" i="16"/>
  <c r="P122" i="16"/>
  <c r="P126" i="16"/>
  <c r="P130" i="16"/>
  <c r="P134" i="16"/>
  <c r="P138" i="16"/>
  <c r="P142" i="16"/>
  <c r="P146" i="16"/>
  <c r="P150" i="16"/>
  <c r="P154" i="16"/>
  <c r="P158" i="16"/>
  <c r="P162" i="16"/>
  <c r="P166" i="16"/>
  <c r="P170" i="16"/>
  <c r="P174" i="16"/>
  <c r="P178" i="16"/>
  <c r="P182" i="16"/>
  <c r="P186" i="16"/>
  <c r="P190" i="16"/>
  <c r="P194" i="16"/>
  <c r="P198" i="16"/>
  <c r="P202" i="16"/>
  <c r="P206" i="16"/>
  <c r="P210" i="16"/>
  <c r="P213" i="16"/>
  <c r="P215" i="16"/>
  <c r="P217" i="16"/>
  <c r="P219" i="16"/>
  <c r="P221" i="16"/>
  <c r="P223" i="16"/>
  <c r="P225" i="16"/>
  <c r="P227" i="16"/>
  <c r="P229" i="16"/>
  <c r="P231" i="16"/>
  <c r="P233" i="16"/>
  <c r="P235" i="16"/>
  <c r="P237" i="16"/>
  <c r="P239" i="16"/>
  <c r="P241" i="16"/>
  <c r="P243" i="16"/>
  <c r="P245" i="16"/>
  <c r="P247" i="16"/>
  <c r="P249" i="16"/>
  <c r="P251" i="16"/>
  <c r="P253" i="16"/>
  <c r="P4" i="16"/>
  <c r="P8" i="16"/>
  <c r="P12" i="16"/>
  <c r="P16" i="16"/>
  <c r="P20" i="16"/>
  <c r="P24" i="16"/>
  <c r="P28" i="16"/>
  <c r="P32" i="16"/>
  <c r="P36" i="16"/>
  <c r="P40" i="16"/>
  <c r="P44" i="16"/>
  <c r="P48" i="16"/>
  <c r="P52" i="16"/>
  <c r="P56" i="16"/>
  <c r="P60" i="16"/>
  <c r="P64" i="16"/>
  <c r="P68" i="16"/>
  <c r="P72" i="16"/>
  <c r="P76" i="16"/>
  <c r="P80" i="16"/>
  <c r="P84" i="16"/>
  <c r="P88" i="16"/>
  <c r="P92" i="16"/>
  <c r="P96" i="16"/>
  <c r="P100" i="16"/>
  <c r="P104" i="16"/>
  <c r="P108" i="16"/>
  <c r="P112" i="16"/>
  <c r="P116" i="16"/>
  <c r="P120" i="16"/>
  <c r="P124" i="16"/>
  <c r="P128" i="16"/>
  <c r="P132" i="16"/>
  <c r="P136" i="16"/>
  <c r="P140" i="16"/>
  <c r="P144" i="16"/>
  <c r="P148" i="16"/>
  <c r="P152" i="16"/>
  <c r="P156" i="16"/>
  <c r="P160" i="16"/>
  <c r="P164" i="16"/>
  <c r="P168" i="16"/>
  <c r="P172" i="16"/>
  <c r="P176" i="16"/>
  <c r="P180" i="16"/>
  <c r="P184" i="16"/>
  <c r="P188" i="16"/>
  <c r="P192" i="16"/>
  <c r="P196" i="16"/>
  <c r="P200" i="16"/>
  <c r="P204" i="16"/>
  <c r="P208" i="16"/>
  <c r="P212" i="16"/>
  <c r="P214" i="16"/>
  <c r="P216" i="16"/>
  <c r="P218" i="16"/>
  <c r="P220" i="16"/>
  <c r="P222" i="16"/>
  <c r="P224" i="16"/>
  <c r="P226" i="16"/>
  <c r="P228" i="16"/>
  <c r="P230" i="16"/>
  <c r="P232" i="16"/>
  <c r="P234" i="16"/>
  <c r="P236" i="16"/>
  <c r="P238" i="16"/>
  <c r="P240" i="16"/>
  <c r="P242" i="16"/>
  <c r="P244" i="16"/>
  <c r="P246" i="16"/>
  <c r="P248" i="16"/>
  <c r="P250" i="16"/>
  <c r="P252" i="16"/>
  <c r="P254" i="16"/>
  <c r="P11" i="21"/>
  <c r="V250" i="16" l="1"/>
  <c r="AA250" i="16"/>
  <c r="X250" i="16" s="1"/>
  <c r="V246" i="16"/>
  <c r="AA246" i="16"/>
  <c r="X246" i="16" s="1"/>
  <c r="V242" i="16"/>
  <c r="AA242" i="16"/>
  <c r="X242" i="16" s="1"/>
  <c r="V238" i="16"/>
  <c r="AA238" i="16"/>
  <c r="X238" i="16" s="1"/>
  <c r="V234" i="16"/>
  <c r="AA234" i="16"/>
  <c r="X234" i="16" s="1"/>
  <c r="V230" i="16"/>
  <c r="AA230" i="16"/>
  <c r="X230" i="16" s="1"/>
  <c r="V226" i="16"/>
  <c r="AA226" i="16"/>
  <c r="X226" i="16" s="1"/>
  <c r="V222" i="16"/>
  <c r="AA222" i="16"/>
  <c r="X222" i="16" s="1"/>
  <c r="V218" i="16"/>
  <c r="AA218" i="16"/>
  <c r="X218" i="16" s="1"/>
  <c r="V214" i="16"/>
  <c r="AA214" i="16"/>
  <c r="X214" i="16" s="1"/>
  <c r="V208" i="16"/>
  <c r="AA208" i="16"/>
  <c r="X208" i="16" s="1"/>
  <c r="V200" i="16"/>
  <c r="AA200" i="16"/>
  <c r="X200" i="16" s="1"/>
  <c r="V192" i="16"/>
  <c r="AA192" i="16"/>
  <c r="X192" i="16" s="1"/>
  <c r="V184" i="16"/>
  <c r="AA184" i="16"/>
  <c r="X184" i="16" s="1"/>
  <c r="V176" i="16"/>
  <c r="AA176" i="16"/>
  <c r="X176" i="16" s="1"/>
  <c r="V168" i="16"/>
  <c r="AA168" i="16"/>
  <c r="X168" i="16" s="1"/>
  <c r="V160" i="16"/>
  <c r="AA160" i="16"/>
  <c r="X160" i="16" s="1"/>
  <c r="V152" i="16"/>
  <c r="AA152" i="16"/>
  <c r="X152" i="16" s="1"/>
  <c r="V144" i="16"/>
  <c r="AA144" i="16"/>
  <c r="X144" i="16" s="1"/>
  <c r="V136" i="16"/>
  <c r="AA136" i="16"/>
  <c r="X136" i="16" s="1"/>
  <c r="V128" i="16"/>
  <c r="AA128" i="16"/>
  <c r="X128" i="16" s="1"/>
  <c r="V120" i="16"/>
  <c r="AA120" i="16"/>
  <c r="X120" i="16" s="1"/>
  <c r="V112" i="16"/>
  <c r="AA112" i="16"/>
  <c r="X112" i="16" s="1"/>
  <c r="V104" i="16"/>
  <c r="AA104" i="16"/>
  <c r="X104" i="16" s="1"/>
  <c r="V96" i="16"/>
  <c r="AA96" i="16"/>
  <c r="X96" i="16" s="1"/>
  <c r="V88" i="16"/>
  <c r="AA88" i="16"/>
  <c r="X88" i="16" s="1"/>
  <c r="V80" i="16"/>
  <c r="AA80" i="16"/>
  <c r="X80" i="16" s="1"/>
  <c r="V72" i="16"/>
  <c r="AA72" i="16"/>
  <c r="X72" i="16" s="1"/>
  <c r="V64" i="16"/>
  <c r="AA64" i="16"/>
  <c r="X64" i="16" s="1"/>
  <c r="V56" i="16"/>
  <c r="AA56" i="16"/>
  <c r="X56" i="16" s="1"/>
  <c r="V48" i="16"/>
  <c r="AA48" i="16"/>
  <c r="X48" i="16" s="1"/>
  <c r="V40" i="16"/>
  <c r="AA40" i="16"/>
  <c r="X40" i="16" s="1"/>
  <c r="V32" i="16"/>
  <c r="AA32" i="16"/>
  <c r="X32" i="16" s="1"/>
  <c r="V24" i="16"/>
  <c r="AA24" i="16"/>
  <c r="X24" i="16" s="1"/>
  <c r="V16" i="16"/>
  <c r="AA16" i="16"/>
  <c r="X16" i="16" s="1"/>
  <c r="V8" i="16"/>
  <c r="AA8" i="16"/>
  <c r="X8" i="16" s="1"/>
  <c r="V253" i="16"/>
  <c r="AA253" i="16"/>
  <c r="X253" i="16" s="1"/>
  <c r="V249" i="16"/>
  <c r="AA249" i="16"/>
  <c r="X249" i="16" s="1"/>
  <c r="V245" i="16"/>
  <c r="AA245" i="16"/>
  <c r="X245" i="16" s="1"/>
  <c r="V241" i="16"/>
  <c r="AA241" i="16"/>
  <c r="X241" i="16" s="1"/>
  <c r="V237" i="16"/>
  <c r="AA237" i="16"/>
  <c r="X237" i="16" s="1"/>
  <c r="V233" i="16"/>
  <c r="AA233" i="16"/>
  <c r="X233" i="16" s="1"/>
  <c r="V229" i="16"/>
  <c r="AA229" i="16"/>
  <c r="X229" i="16" s="1"/>
  <c r="V225" i="16"/>
  <c r="AA225" i="16"/>
  <c r="X225" i="16" s="1"/>
  <c r="V221" i="16"/>
  <c r="AA221" i="16"/>
  <c r="X221" i="16" s="1"/>
  <c r="V217" i="16"/>
  <c r="AA217" i="16"/>
  <c r="X217" i="16" s="1"/>
  <c r="V213" i="16"/>
  <c r="AA213" i="16"/>
  <c r="X213" i="16" s="1"/>
  <c r="V206" i="16"/>
  <c r="AA206" i="16"/>
  <c r="X206" i="16" s="1"/>
  <c r="V198" i="16"/>
  <c r="AA198" i="16"/>
  <c r="X198" i="16" s="1"/>
  <c r="V190" i="16"/>
  <c r="AA190" i="16"/>
  <c r="X190" i="16" s="1"/>
  <c r="V182" i="16"/>
  <c r="AA182" i="16"/>
  <c r="X182" i="16" s="1"/>
  <c r="V174" i="16"/>
  <c r="AA174" i="16"/>
  <c r="X174" i="16" s="1"/>
  <c r="V166" i="16"/>
  <c r="AA166" i="16"/>
  <c r="X166" i="16" s="1"/>
  <c r="V158" i="16"/>
  <c r="AA158" i="16"/>
  <c r="X158" i="16" s="1"/>
  <c r="V150" i="16"/>
  <c r="AA150" i="16"/>
  <c r="X150" i="16" s="1"/>
  <c r="V142" i="16"/>
  <c r="AA142" i="16"/>
  <c r="X142" i="16" s="1"/>
  <c r="V134" i="16"/>
  <c r="AA134" i="16"/>
  <c r="X134" i="16" s="1"/>
  <c r="V126" i="16"/>
  <c r="AA126" i="16"/>
  <c r="X126" i="16" s="1"/>
  <c r="V118" i="16"/>
  <c r="AA118" i="16"/>
  <c r="X118" i="16" s="1"/>
  <c r="V110" i="16"/>
  <c r="AA110" i="16"/>
  <c r="X110" i="16" s="1"/>
  <c r="V102" i="16"/>
  <c r="AA102" i="16"/>
  <c r="X102" i="16" s="1"/>
  <c r="V94" i="16"/>
  <c r="AA94" i="16"/>
  <c r="X94" i="16" s="1"/>
  <c r="V86" i="16"/>
  <c r="AA86" i="16"/>
  <c r="X86" i="16" s="1"/>
  <c r="V78" i="16"/>
  <c r="AA78" i="16"/>
  <c r="X78" i="16" s="1"/>
  <c r="V70" i="16"/>
  <c r="AA70" i="16"/>
  <c r="X70" i="16" s="1"/>
  <c r="V62" i="16"/>
  <c r="AA62" i="16"/>
  <c r="X62" i="16" s="1"/>
  <c r="V54" i="16"/>
  <c r="AA54" i="16"/>
  <c r="X54" i="16" s="1"/>
  <c r="V46" i="16"/>
  <c r="AA46" i="16"/>
  <c r="X46" i="16" s="1"/>
  <c r="V38" i="16"/>
  <c r="AA38" i="16"/>
  <c r="X38" i="16" s="1"/>
  <c r="V30" i="16"/>
  <c r="AA30" i="16"/>
  <c r="X30" i="16" s="1"/>
  <c r="V22" i="16"/>
  <c r="AA22" i="16"/>
  <c r="X22" i="16" s="1"/>
  <c r="V14" i="16"/>
  <c r="AA14" i="16"/>
  <c r="X14" i="16" s="1"/>
  <c r="V6" i="16"/>
  <c r="AA6" i="16"/>
  <c r="X6" i="16" s="1"/>
  <c r="V209" i="16"/>
  <c r="AA209" i="16"/>
  <c r="X209" i="16" s="1"/>
  <c r="V205" i="16"/>
  <c r="AA205" i="16"/>
  <c r="X205" i="16" s="1"/>
  <c r="V201" i="16"/>
  <c r="AA201" i="16"/>
  <c r="X201" i="16" s="1"/>
  <c r="V197" i="16"/>
  <c r="AA197" i="16"/>
  <c r="X197" i="16" s="1"/>
  <c r="V193" i="16"/>
  <c r="AA193" i="16"/>
  <c r="X193" i="16" s="1"/>
  <c r="V189" i="16"/>
  <c r="AA189" i="16"/>
  <c r="X189" i="16" s="1"/>
  <c r="V185" i="16"/>
  <c r="AA185" i="16"/>
  <c r="X185" i="16" s="1"/>
  <c r="V181" i="16"/>
  <c r="AA181" i="16"/>
  <c r="X181" i="16" s="1"/>
  <c r="V177" i="16"/>
  <c r="AA177" i="16"/>
  <c r="X177" i="16" s="1"/>
  <c r="V173" i="16"/>
  <c r="AA173" i="16"/>
  <c r="X173" i="16" s="1"/>
  <c r="V169" i="16"/>
  <c r="AA169" i="16"/>
  <c r="X169" i="16" s="1"/>
  <c r="V165" i="16"/>
  <c r="AA165" i="16"/>
  <c r="X165" i="16" s="1"/>
  <c r="V161" i="16"/>
  <c r="AA161" i="16"/>
  <c r="X161" i="16" s="1"/>
  <c r="V157" i="16"/>
  <c r="AA157" i="16"/>
  <c r="X157" i="16" s="1"/>
  <c r="V153" i="16"/>
  <c r="AA153" i="16"/>
  <c r="X153" i="16" s="1"/>
  <c r="V149" i="16"/>
  <c r="AA149" i="16"/>
  <c r="X149" i="16" s="1"/>
  <c r="V145" i="16"/>
  <c r="AA145" i="16"/>
  <c r="X145" i="16" s="1"/>
  <c r="V141" i="16"/>
  <c r="AA141" i="16"/>
  <c r="X141" i="16" s="1"/>
  <c r="V137" i="16"/>
  <c r="AA137" i="16"/>
  <c r="X137" i="16" s="1"/>
  <c r="V133" i="16"/>
  <c r="AA133" i="16"/>
  <c r="X133" i="16" s="1"/>
  <c r="V129" i="16"/>
  <c r="AA129" i="16"/>
  <c r="X129" i="16" s="1"/>
  <c r="V125" i="16"/>
  <c r="AA125" i="16"/>
  <c r="X125" i="16" s="1"/>
  <c r="V121" i="16"/>
  <c r="AA121" i="16"/>
  <c r="X121" i="16" s="1"/>
  <c r="V117" i="16"/>
  <c r="AA117" i="16"/>
  <c r="X117" i="16" s="1"/>
  <c r="V113" i="16"/>
  <c r="AA113" i="16"/>
  <c r="X113" i="16" s="1"/>
  <c r="V109" i="16"/>
  <c r="AA109" i="16"/>
  <c r="X109" i="16" s="1"/>
  <c r="V105" i="16"/>
  <c r="AA105" i="16"/>
  <c r="X105" i="16" s="1"/>
  <c r="V101" i="16"/>
  <c r="AA101" i="16"/>
  <c r="X101" i="16" s="1"/>
  <c r="V97" i="16"/>
  <c r="AA97" i="16"/>
  <c r="X97" i="16" s="1"/>
  <c r="V93" i="16"/>
  <c r="AA93" i="16"/>
  <c r="X93" i="16" s="1"/>
  <c r="V89" i="16"/>
  <c r="AA89" i="16"/>
  <c r="X89" i="16" s="1"/>
  <c r="V85" i="16"/>
  <c r="AA85" i="16"/>
  <c r="X85" i="16" s="1"/>
  <c r="V81" i="16"/>
  <c r="AA81" i="16"/>
  <c r="X81" i="16" s="1"/>
  <c r="V77" i="16"/>
  <c r="AA77" i="16"/>
  <c r="X77" i="16" s="1"/>
  <c r="V73" i="16"/>
  <c r="AA73" i="16"/>
  <c r="X73" i="16" s="1"/>
  <c r="V69" i="16"/>
  <c r="AA69" i="16"/>
  <c r="X69" i="16" s="1"/>
  <c r="V65" i="16"/>
  <c r="AA65" i="16"/>
  <c r="X65" i="16" s="1"/>
  <c r="V61" i="16"/>
  <c r="AA61" i="16"/>
  <c r="X61" i="16" s="1"/>
  <c r="V57" i="16"/>
  <c r="AA57" i="16"/>
  <c r="X57" i="16" s="1"/>
  <c r="V53" i="16"/>
  <c r="AA53" i="16"/>
  <c r="X53" i="16" s="1"/>
  <c r="V49" i="16"/>
  <c r="AA49" i="16"/>
  <c r="X49" i="16" s="1"/>
  <c r="V45" i="16"/>
  <c r="AA45" i="16"/>
  <c r="X45" i="16" s="1"/>
  <c r="V41" i="16"/>
  <c r="AA41" i="16"/>
  <c r="X41" i="16" s="1"/>
  <c r="V37" i="16"/>
  <c r="AA37" i="16"/>
  <c r="X37" i="16" s="1"/>
  <c r="V33" i="16"/>
  <c r="AA33" i="16"/>
  <c r="X33" i="16" s="1"/>
  <c r="V29" i="16"/>
  <c r="AA29" i="16"/>
  <c r="X29" i="16" s="1"/>
  <c r="V25" i="16"/>
  <c r="AA25" i="16"/>
  <c r="X25" i="16" s="1"/>
  <c r="V21" i="16"/>
  <c r="AA21" i="16"/>
  <c r="X21" i="16" s="1"/>
  <c r="V17" i="16"/>
  <c r="AA17" i="16"/>
  <c r="X17" i="16" s="1"/>
  <c r="V13" i="16"/>
  <c r="AA13" i="16"/>
  <c r="X13" i="16" s="1"/>
  <c r="V9" i="16"/>
  <c r="AA9" i="16"/>
  <c r="X9" i="16" s="1"/>
  <c r="V5" i="16"/>
  <c r="AA5" i="16"/>
  <c r="X5" i="16" s="1"/>
  <c r="V2" i="16"/>
  <c r="AA2" i="16"/>
  <c r="X2" i="16" s="1"/>
  <c r="AK251" i="16"/>
  <c r="AL251" i="16"/>
  <c r="AK247" i="16"/>
  <c r="AL247" i="16"/>
  <c r="AK243" i="16"/>
  <c r="AL243" i="16"/>
  <c r="AK239" i="16"/>
  <c r="AL239" i="16"/>
  <c r="AK235" i="16"/>
  <c r="AL235" i="16"/>
  <c r="AK231" i="16"/>
  <c r="AL231" i="16"/>
  <c r="AK227" i="16"/>
  <c r="AL227" i="16"/>
  <c r="AK223" i="16"/>
  <c r="AL223" i="16"/>
  <c r="AK219" i="16"/>
  <c r="AL219" i="16"/>
  <c r="AK215" i="16"/>
  <c r="AL215" i="16"/>
  <c r="AK211" i="16"/>
  <c r="AL211" i="16"/>
  <c r="AK207" i="16"/>
  <c r="AL207" i="16"/>
  <c r="AK203" i="16"/>
  <c r="AL203" i="16"/>
  <c r="AK199" i="16"/>
  <c r="AL199" i="16"/>
  <c r="AK195" i="16"/>
  <c r="AL195" i="16"/>
  <c r="AK191" i="16"/>
  <c r="AL191" i="16"/>
  <c r="AK187" i="16"/>
  <c r="AL187" i="16"/>
  <c r="AK183" i="16"/>
  <c r="AL183" i="16"/>
  <c r="AK179" i="16"/>
  <c r="AL179" i="16"/>
  <c r="AK175" i="16"/>
  <c r="AL175" i="16"/>
  <c r="AK171" i="16"/>
  <c r="AL171" i="16"/>
  <c r="AK167" i="16"/>
  <c r="AL167" i="16"/>
  <c r="AK163" i="16"/>
  <c r="AL163" i="16"/>
  <c r="AK159" i="16"/>
  <c r="AL159" i="16"/>
  <c r="AK155" i="16"/>
  <c r="AL155" i="16"/>
  <c r="AK151" i="16"/>
  <c r="AL151" i="16"/>
  <c r="AK147" i="16"/>
  <c r="AL147" i="16"/>
  <c r="AK143" i="16"/>
  <c r="AL143" i="16"/>
  <c r="AK139" i="16"/>
  <c r="AL139" i="16"/>
  <c r="AK135" i="16"/>
  <c r="AL135" i="16"/>
  <c r="AK131" i="16"/>
  <c r="AL131" i="16"/>
  <c r="AK127" i="16"/>
  <c r="AL127" i="16"/>
  <c r="AK123" i="16"/>
  <c r="AL123" i="16"/>
  <c r="AK119" i="16"/>
  <c r="AL119" i="16"/>
  <c r="AK115" i="16"/>
  <c r="AL115" i="16"/>
  <c r="AK111" i="16"/>
  <c r="AL111" i="16"/>
  <c r="AK107" i="16"/>
  <c r="AL107" i="16"/>
  <c r="AK103" i="16"/>
  <c r="AL103" i="16"/>
  <c r="AK99" i="16"/>
  <c r="AL99" i="16"/>
  <c r="AK95" i="16"/>
  <c r="AL95" i="16"/>
  <c r="AK91" i="16"/>
  <c r="AL91" i="16"/>
  <c r="AK87" i="16"/>
  <c r="AL87" i="16"/>
  <c r="AK83" i="16"/>
  <c r="AL83" i="16"/>
  <c r="AK79" i="16"/>
  <c r="AL79" i="16"/>
  <c r="AK75" i="16"/>
  <c r="AL75" i="16"/>
  <c r="AK71" i="16"/>
  <c r="AL71" i="16"/>
  <c r="AK67" i="16"/>
  <c r="AL67" i="16"/>
  <c r="AK63" i="16"/>
  <c r="AL63" i="16"/>
  <c r="AK59" i="16"/>
  <c r="AL59" i="16"/>
  <c r="AK55" i="16"/>
  <c r="AL55" i="16"/>
  <c r="AK51" i="16"/>
  <c r="AL51" i="16"/>
  <c r="AK47" i="16"/>
  <c r="AL47" i="16"/>
  <c r="AK43" i="16"/>
  <c r="AL43" i="16"/>
  <c r="AK39" i="16"/>
  <c r="AL39" i="16"/>
  <c r="AK35" i="16"/>
  <c r="AL35" i="16"/>
  <c r="AK31" i="16"/>
  <c r="AL31" i="16"/>
  <c r="AK27" i="16"/>
  <c r="AL27" i="16"/>
  <c r="AK23" i="16"/>
  <c r="AL23" i="16"/>
  <c r="AK19" i="16"/>
  <c r="AL19" i="16"/>
  <c r="AK15" i="16"/>
  <c r="AL15" i="16"/>
  <c r="AK11" i="16"/>
  <c r="AL11" i="16"/>
  <c r="AK7" i="16"/>
  <c r="AL7" i="16"/>
  <c r="AK3" i="16"/>
  <c r="AL3" i="16"/>
  <c r="AK252" i="16"/>
  <c r="AL252" i="16"/>
  <c r="AK248" i="16"/>
  <c r="AL248" i="16"/>
  <c r="AK244" i="16"/>
  <c r="AL244" i="16"/>
  <c r="AK240" i="16"/>
  <c r="AL240" i="16"/>
  <c r="AK236" i="16"/>
  <c r="AL236" i="16"/>
  <c r="AK232" i="16"/>
  <c r="AL232" i="16"/>
  <c r="AK228" i="16"/>
  <c r="AL228" i="16"/>
  <c r="AK224" i="16"/>
  <c r="AL224" i="16"/>
  <c r="AK220" i="16"/>
  <c r="AL220" i="16"/>
  <c r="AK216" i="16"/>
  <c r="AL216" i="16"/>
  <c r="AK212" i="16"/>
  <c r="AL212" i="16"/>
  <c r="AK208" i="16"/>
  <c r="AL208" i="16"/>
  <c r="AK204" i="16"/>
  <c r="AL204" i="16"/>
  <c r="AK200" i="16"/>
  <c r="AL200" i="16"/>
  <c r="AK196" i="16"/>
  <c r="AL196" i="16"/>
  <c r="AK192" i="16"/>
  <c r="AL192" i="16"/>
  <c r="AK188" i="16"/>
  <c r="AL188" i="16"/>
  <c r="AK184" i="16"/>
  <c r="AL184" i="16"/>
  <c r="AK180" i="16"/>
  <c r="AL180" i="16"/>
  <c r="AK176" i="16"/>
  <c r="AL176" i="16"/>
  <c r="AK172" i="16"/>
  <c r="AL172" i="16"/>
  <c r="AK168" i="16"/>
  <c r="AL168" i="16"/>
  <c r="AK164" i="16"/>
  <c r="AL164" i="16"/>
  <c r="AK160" i="16"/>
  <c r="AL160" i="16"/>
  <c r="AK156" i="16"/>
  <c r="AL156" i="16"/>
  <c r="AK152" i="16"/>
  <c r="AL152" i="16"/>
  <c r="AK148" i="16"/>
  <c r="AL148" i="16"/>
  <c r="AK144" i="16"/>
  <c r="AL144" i="16"/>
  <c r="AK140" i="16"/>
  <c r="AL140" i="16"/>
  <c r="AK136" i="16"/>
  <c r="AL136" i="16"/>
  <c r="AK132" i="16"/>
  <c r="AL132" i="16"/>
  <c r="AK128" i="16"/>
  <c r="AL128" i="16"/>
  <c r="AK124" i="16"/>
  <c r="AL124" i="16"/>
  <c r="AK120" i="16"/>
  <c r="AL120" i="16"/>
  <c r="AK116" i="16"/>
  <c r="AL116" i="16"/>
  <c r="AK112" i="16"/>
  <c r="AL112" i="16"/>
  <c r="AK108" i="16"/>
  <c r="AL108" i="16"/>
  <c r="AK104" i="16"/>
  <c r="AL104" i="16"/>
  <c r="AK100" i="16"/>
  <c r="AL100" i="16"/>
  <c r="AK96" i="16"/>
  <c r="AL96" i="16"/>
  <c r="AK92" i="16"/>
  <c r="AL92" i="16"/>
  <c r="AK88" i="16"/>
  <c r="AL88" i="16"/>
  <c r="AK84" i="16"/>
  <c r="AL84" i="16"/>
  <c r="AK80" i="16"/>
  <c r="AL80" i="16"/>
  <c r="AK76" i="16"/>
  <c r="AL76" i="16"/>
  <c r="AK72" i="16"/>
  <c r="AL72" i="16"/>
  <c r="AK68" i="16"/>
  <c r="AL68" i="16"/>
  <c r="AK64" i="16"/>
  <c r="AL64" i="16"/>
  <c r="AK60" i="16"/>
  <c r="AL60" i="16"/>
  <c r="AK56" i="16"/>
  <c r="AL56" i="16"/>
  <c r="AK52" i="16"/>
  <c r="AL52" i="16"/>
  <c r="AK48" i="16"/>
  <c r="AL48" i="16"/>
  <c r="AK44" i="16"/>
  <c r="AL44" i="16"/>
  <c r="AK40" i="16"/>
  <c r="AL40" i="16"/>
  <c r="AK36" i="16"/>
  <c r="AL36" i="16"/>
  <c r="AK32" i="16"/>
  <c r="AL32" i="16"/>
  <c r="AK28" i="16"/>
  <c r="AL28" i="16"/>
  <c r="AK24" i="16"/>
  <c r="AL24" i="16"/>
  <c r="AK20" i="16"/>
  <c r="AL20" i="16"/>
  <c r="AK16" i="16"/>
  <c r="AL16" i="16"/>
  <c r="AK12" i="16"/>
  <c r="AL12" i="16"/>
  <c r="AK8" i="16"/>
  <c r="AL8" i="16"/>
  <c r="AK4" i="16"/>
  <c r="AL4" i="16"/>
  <c r="V254" i="16"/>
  <c r="AA254" i="16"/>
  <c r="X254" i="16" s="1"/>
  <c r="V252" i="16"/>
  <c r="AA252" i="16"/>
  <c r="X252" i="16" s="1"/>
  <c r="V248" i="16"/>
  <c r="AA248" i="16"/>
  <c r="X248" i="16" s="1"/>
  <c r="V244" i="16"/>
  <c r="AA244" i="16"/>
  <c r="X244" i="16" s="1"/>
  <c r="V240" i="16"/>
  <c r="AA240" i="16"/>
  <c r="X240" i="16" s="1"/>
  <c r="V236" i="16"/>
  <c r="AA236" i="16"/>
  <c r="X236" i="16" s="1"/>
  <c r="V232" i="16"/>
  <c r="AA232" i="16"/>
  <c r="X232" i="16" s="1"/>
  <c r="V228" i="16"/>
  <c r="AA228" i="16"/>
  <c r="X228" i="16" s="1"/>
  <c r="V224" i="16"/>
  <c r="AA224" i="16"/>
  <c r="X224" i="16" s="1"/>
  <c r="V220" i="16"/>
  <c r="AA220" i="16"/>
  <c r="X220" i="16" s="1"/>
  <c r="V216" i="16"/>
  <c r="AA216" i="16"/>
  <c r="X216" i="16" s="1"/>
  <c r="V212" i="16"/>
  <c r="AA212" i="16"/>
  <c r="X212" i="16" s="1"/>
  <c r="V204" i="16"/>
  <c r="AA204" i="16"/>
  <c r="X204" i="16" s="1"/>
  <c r="V196" i="16"/>
  <c r="AA196" i="16"/>
  <c r="X196" i="16" s="1"/>
  <c r="V188" i="16"/>
  <c r="AA188" i="16"/>
  <c r="X188" i="16" s="1"/>
  <c r="V180" i="16"/>
  <c r="AA180" i="16"/>
  <c r="X180" i="16" s="1"/>
  <c r="V172" i="16"/>
  <c r="AA172" i="16"/>
  <c r="X172" i="16" s="1"/>
  <c r="V164" i="16"/>
  <c r="AA164" i="16"/>
  <c r="X164" i="16" s="1"/>
  <c r="V156" i="16"/>
  <c r="AA156" i="16"/>
  <c r="X156" i="16" s="1"/>
  <c r="V148" i="16"/>
  <c r="AA148" i="16"/>
  <c r="X148" i="16" s="1"/>
  <c r="V140" i="16"/>
  <c r="AA140" i="16"/>
  <c r="X140" i="16" s="1"/>
  <c r="V132" i="16"/>
  <c r="AA132" i="16"/>
  <c r="X132" i="16" s="1"/>
  <c r="V124" i="16"/>
  <c r="AA124" i="16"/>
  <c r="X124" i="16" s="1"/>
  <c r="V116" i="16"/>
  <c r="AA116" i="16"/>
  <c r="X116" i="16" s="1"/>
  <c r="V108" i="16"/>
  <c r="AA108" i="16"/>
  <c r="X108" i="16" s="1"/>
  <c r="V100" i="16"/>
  <c r="AA100" i="16"/>
  <c r="X100" i="16" s="1"/>
  <c r="V92" i="16"/>
  <c r="AA92" i="16"/>
  <c r="X92" i="16" s="1"/>
  <c r="V84" i="16"/>
  <c r="AA84" i="16"/>
  <c r="X84" i="16" s="1"/>
  <c r="V76" i="16"/>
  <c r="AA76" i="16"/>
  <c r="X76" i="16" s="1"/>
  <c r="V68" i="16"/>
  <c r="AA68" i="16"/>
  <c r="X68" i="16" s="1"/>
  <c r="V60" i="16"/>
  <c r="AA60" i="16"/>
  <c r="X60" i="16" s="1"/>
  <c r="V52" i="16"/>
  <c r="AA52" i="16"/>
  <c r="X52" i="16" s="1"/>
  <c r="V44" i="16"/>
  <c r="AA44" i="16"/>
  <c r="X44" i="16" s="1"/>
  <c r="V36" i="16"/>
  <c r="AA36" i="16"/>
  <c r="X36" i="16" s="1"/>
  <c r="V28" i="16"/>
  <c r="AA28" i="16"/>
  <c r="X28" i="16" s="1"/>
  <c r="V20" i="16"/>
  <c r="AA20" i="16"/>
  <c r="X20" i="16" s="1"/>
  <c r="V12" i="16"/>
  <c r="AA12" i="16"/>
  <c r="X12" i="16" s="1"/>
  <c r="V4" i="16"/>
  <c r="AA4" i="16"/>
  <c r="X4" i="16" s="1"/>
  <c r="V251" i="16"/>
  <c r="AA251" i="16"/>
  <c r="X251" i="16" s="1"/>
  <c r="V247" i="16"/>
  <c r="AA247" i="16"/>
  <c r="X247" i="16" s="1"/>
  <c r="V243" i="16"/>
  <c r="AA243" i="16"/>
  <c r="X243" i="16" s="1"/>
  <c r="V239" i="16"/>
  <c r="AA239" i="16"/>
  <c r="X239" i="16" s="1"/>
  <c r="V235" i="16"/>
  <c r="AA235" i="16"/>
  <c r="X235" i="16" s="1"/>
  <c r="V231" i="16"/>
  <c r="AA231" i="16"/>
  <c r="X231" i="16" s="1"/>
  <c r="V227" i="16"/>
  <c r="AA227" i="16"/>
  <c r="X227" i="16" s="1"/>
  <c r="V223" i="16"/>
  <c r="AA223" i="16"/>
  <c r="X223" i="16" s="1"/>
  <c r="V219" i="16"/>
  <c r="AA219" i="16"/>
  <c r="X219" i="16" s="1"/>
  <c r="V215" i="16"/>
  <c r="AA215" i="16"/>
  <c r="X215" i="16" s="1"/>
  <c r="V210" i="16"/>
  <c r="AA210" i="16"/>
  <c r="X210" i="16" s="1"/>
  <c r="V202" i="16"/>
  <c r="AA202" i="16"/>
  <c r="X202" i="16" s="1"/>
  <c r="V194" i="16"/>
  <c r="AA194" i="16"/>
  <c r="X194" i="16" s="1"/>
  <c r="V186" i="16"/>
  <c r="AA186" i="16"/>
  <c r="X186" i="16" s="1"/>
  <c r="V178" i="16"/>
  <c r="AA178" i="16"/>
  <c r="X178" i="16" s="1"/>
  <c r="V170" i="16"/>
  <c r="AA170" i="16"/>
  <c r="X170" i="16" s="1"/>
  <c r="V162" i="16"/>
  <c r="AA162" i="16"/>
  <c r="X162" i="16" s="1"/>
  <c r="V154" i="16"/>
  <c r="AA154" i="16"/>
  <c r="X154" i="16" s="1"/>
  <c r="V146" i="16"/>
  <c r="AA146" i="16"/>
  <c r="X146" i="16" s="1"/>
  <c r="V138" i="16"/>
  <c r="AA138" i="16"/>
  <c r="X138" i="16" s="1"/>
  <c r="V130" i="16"/>
  <c r="AA130" i="16"/>
  <c r="X130" i="16" s="1"/>
  <c r="V122" i="16"/>
  <c r="AA122" i="16"/>
  <c r="X122" i="16" s="1"/>
  <c r="V114" i="16"/>
  <c r="AA114" i="16"/>
  <c r="X114" i="16" s="1"/>
  <c r="V106" i="16"/>
  <c r="AA106" i="16"/>
  <c r="X106" i="16" s="1"/>
  <c r="V98" i="16"/>
  <c r="AA98" i="16"/>
  <c r="X98" i="16" s="1"/>
  <c r="V90" i="16"/>
  <c r="AA90" i="16"/>
  <c r="X90" i="16" s="1"/>
  <c r="V82" i="16"/>
  <c r="AA82" i="16"/>
  <c r="X82" i="16" s="1"/>
  <c r="V74" i="16"/>
  <c r="AA74" i="16"/>
  <c r="X74" i="16" s="1"/>
  <c r="V66" i="16"/>
  <c r="AA66" i="16"/>
  <c r="X66" i="16" s="1"/>
  <c r="V58" i="16"/>
  <c r="AA58" i="16"/>
  <c r="X58" i="16" s="1"/>
  <c r="V50" i="16"/>
  <c r="AA50" i="16"/>
  <c r="X50" i="16" s="1"/>
  <c r="V42" i="16"/>
  <c r="AA42" i="16"/>
  <c r="X42" i="16" s="1"/>
  <c r="V34" i="16"/>
  <c r="AA34" i="16"/>
  <c r="X34" i="16" s="1"/>
  <c r="V26" i="16"/>
  <c r="AA26" i="16"/>
  <c r="X26" i="16" s="1"/>
  <c r="V18" i="16"/>
  <c r="AA18" i="16"/>
  <c r="X18" i="16" s="1"/>
  <c r="V10" i="16"/>
  <c r="AA10" i="16"/>
  <c r="X10" i="16" s="1"/>
  <c r="V211" i="16"/>
  <c r="AA211" i="16"/>
  <c r="X211" i="16" s="1"/>
  <c r="V207" i="16"/>
  <c r="AA207" i="16"/>
  <c r="X207" i="16" s="1"/>
  <c r="V203" i="16"/>
  <c r="AA203" i="16"/>
  <c r="X203" i="16" s="1"/>
  <c r="V199" i="16"/>
  <c r="AA199" i="16"/>
  <c r="X199" i="16" s="1"/>
  <c r="V195" i="16"/>
  <c r="AA195" i="16"/>
  <c r="X195" i="16" s="1"/>
  <c r="V191" i="16"/>
  <c r="AA191" i="16"/>
  <c r="X191" i="16" s="1"/>
  <c r="V187" i="16"/>
  <c r="AA187" i="16"/>
  <c r="X187" i="16" s="1"/>
  <c r="V183" i="16"/>
  <c r="AA183" i="16"/>
  <c r="X183" i="16" s="1"/>
  <c r="V179" i="16"/>
  <c r="AA179" i="16"/>
  <c r="X179" i="16" s="1"/>
  <c r="V175" i="16"/>
  <c r="AA175" i="16"/>
  <c r="X175" i="16" s="1"/>
  <c r="V171" i="16"/>
  <c r="AA171" i="16"/>
  <c r="X171" i="16" s="1"/>
  <c r="V167" i="16"/>
  <c r="AA167" i="16"/>
  <c r="X167" i="16" s="1"/>
  <c r="V163" i="16"/>
  <c r="AA163" i="16"/>
  <c r="X163" i="16" s="1"/>
  <c r="V159" i="16"/>
  <c r="AA159" i="16"/>
  <c r="X159" i="16" s="1"/>
  <c r="V155" i="16"/>
  <c r="AA155" i="16"/>
  <c r="X155" i="16" s="1"/>
  <c r="V151" i="16"/>
  <c r="AA151" i="16"/>
  <c r="X151" i="16" s="1"/>
  <c r="V147" i="16"/>
  <c r="AA147" i="16"/>
  <c r="X147" i="16" s="1"/>
  <c r="V143" i="16"/>
  <c r="AA143" i="16"/>
  <c r="X143" i="16" s="1"/>
  <c r="V139" i="16"/>
  <c r="AA139" i="16"/>
  <c r="X139" i="16" s="1"/>
  <c r="V135" i="16"/>
  <c r="AA135" i="16"/>
  <c r="X135" i="16" s="1"/>
  <c r="V131" i="16"/>
  <c r="AA131" i="16"/>
  <c r="X131" i="16" s="1"/>
  <c r="V127" i="16"/>
  <c r="AA127" i="16"/>
  <c r="X127" i="16" s="1"/>
  <c r="V123" i="16"/>
  <c r="AA123" i="16"/>
  <c r="X123" i="16" s="1"/>
  <c r="V119" i="16"/>
  <c r="AA119" i="16"/>
  <c r="X119" i="16" s="1"/>
  <c r="V115" i="16"/>
  <c r="AA115" i="16"/>
  <c r="X115" i="16" s="1"/>
  <c r="V111" i="16"/>
  <c r="AA111" i="16"/>
  <c r="X111" i="16" s="1"/>
  <c r="V107" i="16"/>
  <c r="AA107" i="16"/>
  <c r="X107" i="16" s="1"/>
  <c r="V103" i="16"/>
  <c r="AA103" i="16"/>
  <c r="X103" i="16" s="1"/>
  <c r="V99" i="16"/>
  <c r="AA99" i="16"/>
  <c r="X99" i="16" s="1"/>
  <c r="V95" i="16"/>
  <c r="AA95" i="16"/>
  <c r="X95" i="16" s="1"/>
  <c r="V91" i="16"/>
  <c r="AA91" i="16"/>
  <c r="X91" i="16" s="1"/>
  <c r="V87" i="16"/>
  <c r="AA87" i="16"/>
  <c r="X87" i="16" s="1"/>
  <c r="V83" i="16"/>
  <c r="AA83" i="16"/>
  <c r="X83" i="16" s="1"/>
  <c r="V79" i="16"/>
  <c r="AA79" i="16"/>
  <c r="X79" i="16" s="1"/>
  <c r="V75" i="16"/>
  <c r="AA75" i="16"/>
  <c r="X75" i="16" s="1"/>
  <c r="V71" i="16"/>
  <c r="AA71" i="16"/>
  <c r="X71" i="16" s="1"/>
  <c r="V67" i="16"/>
  <c r="AA67" i="16"/>
  <c r="X67" i="16" s="1"/>
  <c r="V63" i="16"/>
  <c r="AA63" i="16"/>
  <c r="X63" i="16" s="1"/>
  <c r="V59" i="16"/>
  <c r="AA59" i="16"/>
  <c r="X59" i="16" s="1"/>
  <c r="V55" i="16"/>
  <c r="AA55" i="16"/>
  <c r="X55" i="16" s="1"/>
  <c r="V51" i="16"/>
  <c r="AA51" i="16"/>
  <c r="X51" i="16" s="1"/>
  <c r="V47" i="16"/>
  <c r="AA47" i="16"/>
  <c r="X47" i="16" s="1"/>
  <c r="V43" i="16"/>
  <c r="AA43" i="16"/>
  <c r="X43" i="16" s="1"/>
  <c r="V39" i="16"/>
  <c r="AA39" i="16"/>
  <c r="X39" i="16" s="1"/>
  <c r="V35" i="16"/>
  <c r="AA35" i="16"/>
  <c r="X35" i="16" s="1"/>
  <c r="V31" i="16"/>
  <c r="AA31" i="16"/>
  <c r="X31" i="16" s="1"/>
  <c r="V27" i="16"/>
  <c r="AA27" i="16"/>
  <c r="X27" i="16" s="1"/>
  <c r="V23" i="16"/>
  <c r="AA23" i="16"/>
  <c r="X23" i="16" s="1"/>
  <c r="V19" i="16"/>
  <c r="AA19" i="16"/>
  <c r="X19" i="16" s="1"/>
  <c r="V15" i="16"/>
  <c r="AA15" i="16"/>
  <c r="X15" i="16" s="1"/>
  <c r="V11" i="16"/>
  <c r="AA11" i="16"/>
  <c r="X11" i="16" s="1"/>
  <c r="V7" i="16"/>
  <c r="AA7" i="16"/>
  <c r="X7" i="16" s="1"/>
  <c r="V3" i="16"/>
  <c r="AA3" i="16"/>
  <c r="X3" i="16" s="1"/>
  <c r="AK253" i="16"/>
  <c r="AL253" i="16"/>
  <c r="AK249" i="16"/>
  <c r="AL249" i="16"/>
  <c r="AK245" i="16"/>
  <c r="AL245" i="16"/>
  <c r="AK241" i="16"/>
  <c r="AL241" i="16"/>
  <c r="AK237" i="16"/>
  <c r="AL237" i="16"/>
  <c r="AK233" i="16"/>
  <c r="AL233" i="16"/>
  <c r="AK229" i="16"/>
  <c r="AL229" i="16"/>
  <c r="AK225" i="16"/>
  <c r="AL225" i="16"/>
  <c r="AK221" i="16"/>
  <c r="AL221" i="16"/>
  <c r="AK217" i="16"/>
  <c r="AL217" i="16"/>
  <c r="AK213" i="16"/>
  <c r="AL213" i="16"/>
  <c r="AK209" i="16"/>
  <c r="AL209" i="16"/>
  <c r="AK205" i="16"/>
  <c r="AL205" i="16"/>
  <c r="AK201" i="16"/>
  <c r="AL201" i="16"/>
  <c r="AK197" i="16"/>
  <c r="AL197" i="16"/>
  <c r="AK193" i="16"/>
  <c r="AL193" i="16"/>
  <c r="AK189" i="16"/>
  <c r="AL189" i="16"/>
  <c r="AK185" i="16"/>
  <c r="AL185" i="16"/>
  <c r="AK181" i="16"/>
  <c r="AL181" i="16"/>
  <c r="AK177" i="16"/>
  <c r="AL177" i="16"/>
  <c r="AK173" i="16"/>
  <c r="AL173" i="16"/>
  <c r="AK169" i="16"/>
  <c r="AL169" i="16"/>
  <c r="AK165" i="16"/>
  <c r="AL165" i="16"/>
  <c r="AK161" i="16"/>
  <c r="AL161" i="16"/>
  <c r="AK157" i="16"/>
  <c r="AL157" i="16"/>
  <c r="AK153" i="16"/>
  <c r="AL153" i="16"/>
  <c r="AK149" i="16"/>
  <c r="AL149" i="16"/>
  <c r="AK145" i="16"/>
  <c r="AL145" i="16"/>
  <c r="AK141" i="16"/>
  <c r="AL141" i="16"/>
  <c r="AK137" i="16"/>
  <c r="AL137" i="16"/>
  <c r="AK133" i="16"/>
  <c r="AL133" i="16"/>
  <c r="AK129" i="16"/>
  <c r="AL129" i="16"/>
  <c r="AK125" i="16"/>
  <c r="AL125" i="16"/>
  <c r="AK121" i="16"/>
  <c r="AL121" i="16"/>
  <c r="AK117" i="16"/>
  <c r="AL117" i="16"/>
  <c r="AK113" i="16"/>
  <c r="AL113" i="16"/>
  <c r="AK109" i="16"/>
  <c r="AL109" i="16"/>
  <c r="AK105" i="16"/>
  <c r="AL105" i="16"/>
  <c r="AK101" i="16"/>
  <c r="AL101" i="16"/>
  <c r="AK97" i="16"/>
  <c r="AL97" i="16"/>
  <c r="AK93" i="16"/>
  <c r="AL93" i="16"/>
  <c r="AK89" i="16"/>
  <c r="AL89" i="16"/>
  <c r="AK85" i="16"/>
  <c r="AL85" i="16"/>
  <c r="AK81" i="16"/>
  <c r="AL81" i="16"/>
  <c r="AK77" i="16"/>
  <c r="AL77" i="16"/>
  <c r="AK73" i="16"/>
  <c r="AL73" i="16"/>
  <c r="AK69" i="16"/>
  <c r="AL69" i="16"/>
  <c r="AK65" i="16"/>
  <c r="AL65" i="16"/>
  <c r="AK61" i="16"/>
  <c r="AL61" i="16"/>
  <c r="AK57" i="16"/>
  <c r="AL57" i="16"/>
  <c r="AK53" i="16"/>
  <c r="AL53" i="16"/>
  <c r="AK49" i="16"/>
  <c r="AL49" i="16"/>
  <c r="AK45" i="16"/>
  <c r="AL45" i="16"/>
  <c r="AK41" i="16"/>
  <c r="AL41" i="16"/>
  <c r="AK37" i="16"/>
  <c r="AL37" i="16"/>
  <c r="AK33" i="16"/>
  <c r="AL33" i="16"/>
  <c r="AK29" i="16"/>
  <c r="AL29" i="16"/>
  <c r="AK25" i="16"/>
  <c r="AL25" i="16"/>
  <c r="AK21" i="16"/>
  <c r="AL21" i="16"/>
  <c r="AK17" i="16"/>
  <c r="AL17" i="16"/>
  <c r="AK13" i="16"/>
  <c r="AL13" i="16"/>
  <c r="AK9" i="16"/>
  <c r="AL9" i="16"/>
  <c r="AK5" i="16"/>
  <c r="AL5" i="16"/>
  <c r="AK254" i="16"/>
  <c r="AL254" i="16"/>
  <c r="AK250" i="16"/>
  <c r="AL250" i="16"/>
  <c r="AK246" i="16"/>
  <c r="AL246" i="16"/>
  <c r="AK242" i="16"/>
  <c r="AL242" i="16"/>
  <c r="AK238" i="16"/>
  <c r="AL238" i="16"/>
  <c r="AK234" i="16"/>
  <c r="AL234" i="16"/>
  <c r="AK230" i="16"/>
  <c r="AL230" i="16"/>
  <c r="AK226" i="16"/>
  <c r="AL226" i="16"/>
  <c r="AK222" i="16"/>
  <c r="AL222" i="16"/>
  <c r="AK218" i="16"/>
  <c r="AL218" i="16"/>
  <c r="AK214" i="16"/>
  <c r="AL214" i="16"/>
  <c r="AK210" i="16"/>
  <c r="AL210" i="16"/>
  <c r="AK206" i="16"/>
  <c r="AL206" i="16"/>
  <c r="AK202" i="16"/>
  <c r="AL202" i="16"/>
  <c r="AK198" i="16"/>
  <c r="AL198" i="16"/>
  <c r="AK194" i="16"/>
  <c r="AL194" i="16"/>
  <c r="AK190" i="16"/>
  <c r="AL190" i="16"/>
  <c r="AK186" i="16"/>
  <c r="AL186" i="16"/>
  <c r="AK182" i="16"/>
  <c r="AL182" i="16"/>
  <c r="AK178" i="16"/>
  <c r="AL178" i="16"/>
  <c r="AK174" i="16"/>
  <c r="AL174" i="16"/>
  <c r="AK170" i="16"/>
  <c r="AL170" i="16"/>
  <c r="AK166" i="16"/>
  <c r="AL166" i="16"/>
  <c r="AK162" i="16"/>
  <c r="AL162" i="16"/>
  <c r="AK158" i="16"/>
  <c r="AL158" i="16"/>
  <c r="AK154" i="16"/>
  <c r="AL154" i="16"/>
  <c r="AK150" i="16"/>
  <c r="AL150" i="16"/>
  <c r="AK146" i="16"/>
  <c r="AL146" i="16"/>
  <c r="AK142" i="16"/>
  <c r="AL142" i="16"/>
  <c r="AK138" i="16"/>
  <c r="AL138" i="16"/>
  <c r="AK134" i="16"/>
  <c r="AL134" i="16"/>
  <c r="AK130" i="16"/>
  <c r="AL130" i="16"/>
  <c r="AK126" i="16"/>
  <c r="AL126" i="16"/>
  <c r="AK122" i="16"/>
  <c r="AL122" i="16"/>
  <c r="AK118" i="16"/>
  <c r="AL118" i="16"/>
  <c r="AK114" i="16"/>
  <c r="AL114" i="16"/>
  <c r="AK110" i="16"/>
  <c r="AL110" i="16"/>
  <c r="AK106" i="16"/>
  <c r="AL106" i="16"/>
  <c r="AK102" i="16"/>
  <c r="AL102" i="16"/>
  <c r="AK98" i="16"/>
  <c r="AL98" i="16"/>
  <c r="AK94" i="16"/>
  <c r="AL94" i="16"/>
  <c r="AK90" i="16"/>
  <c r="AL90" i="16"/>
  <c r="AK86" i="16"/>
  <c r="AL86" i="16"/>
  <c r="AK82" i="16"/>
  <c r="AL82" i="16"/>
  <c r="AK78" i="16"/>
  <c r="AL78" i="16"/>
  <c r="AK74" i="16"/>
  <c r="AL74" i="16"/>
  <c r="AK70" i="16"/>
  <c r="AL70" i="16"/>
  <c r="AK66" i="16"/>
  <c r="AL66" i="16"/>
  <c r="AK62" i="16"/>
  <c r="AL62" i="16"/>
  <c r="AK58" i="16"/>
  <c r="AL58" i="16"/>
  <c r="AK54" i="16"/>
  <c r="AL54" i="16"/>
  <c r="AK50" i="16"/>
  <c r="AL50" i="16"/>
  <c r="AK46" i="16"/>
  <c r="AL46" i="16"/>
  <c r="AK42" i="16"/>
  <c r="AL42" i="16"/>
  <c r="AK38" i="16"/>
  <c r="AL38" i="16"/>
  <c r="AK34" i="16"/>
  <c r="AL34" i="16"/>
  <c r="AK30" i="16"/>
  <c r="AL30" i="16"/>
  <c r="AK26" i="16"/>
  <c r="AL26" i="16"/>
  <c r="AK22" i="16"/>
  <c r="AL22" i="16"/>
  <c r="AK18" i="16"/>
  <c r="AL18" i="16"/>
  <c r="AK14" i="16"/>
  <c r="AL14" i="16"/>
  <c r="AK10" i="16"/>
  <c r="AL10" i="16"/>
  <c r="AK6" i="16"/>
  <c r="AL6" i="16"/>
  <c r="AL2" i="16"/>
  <c r="AK2" i="16"/>
  <c r="C28" i="21"/>
  <c r="P28" i="21" s="1"/>
  <c r="C11" i="21"/>
  <c r="A3" i="12" l="1"/>
  <c r="D1" i="17"/>
  <c r="B1" i="17"/>
  <c r="J22" i="21" l="1"/>
  <c r="J23" i="21" s="1"/>
  <c r="J31" i="21"/>
  <c r="J35" i="21" l="1"/>
  <c r="I22" i="4" s="1"/>
  <c r="B3" i="19" l="1"/>
  <c r="C3" i="19" l="1"/>
  <c r="E7" i="4" l="1"/>
  <c r="J5" i="21" l="1"/>
  <c r="J6" i="21" s="1"/>
  <c r="J14" i="21"/>
  <c r="H22" i="4" l="1"/>
  <c r="J22" i="4" s="1"/>
  <c r="E8" i="4"/>
  <c r="I4" i="4" l="1"/>
  <c r="H4" i="4"/>
  <c r="I3" i="4"/>
  <c r="I5" i="4" l="1"/>
  <c r="I27" i="4" s="1"/>
  <c r="J4" i="4"/>
  <c r="H5" i="4"/>
  <c r="H27" i="4" s="1"/>
  <c r="J3" i="4"/>
  <c r="C13" i="21"/>
  <c r="P13" i="21" s="1"/>
  <c r="C12" i="21"/>
  <c r="P12" i="21" s="1"/>
  <c r="J27" i="4" l="1"/>
  <c r="J5" i="4"/>
  <c r="H31" i="4"/>
  <c r="I31" i="4"/>
  <c r="L35" i="21"/>
  <c r="K35" i="21"/>
  <c r="E22" i="21"/>
  <c r="F22" i="21"/>
  <c r="G22" i="21"/>
  <c r="H22" i="21"/>
  <c r="I22" i="21"/>
  <c r="M22" i="21"/>
  <c r="N22" i="21"/>
  <c r="O22" i="21"/>
  <c r="D22" i="21"/>
  <c r="E5" i="21"/>
  <c r="F5" i="21"/>
  <c r="G5" i="21"/>
  <c r="H5" i="21"/>
  <c r="I5" i="21"/>
  <c r="K5" i="21"/>
  <c r="L5" i="21"/>
  <c r="M5" i="21"/>
  <c r="N5" i="21"/>
  <c r="O5" i="21"/>
  <c r="D5" i="21"/>
  <c r="J31" i="4" l="1"/>
  <c r="D23" i="21"/>
  <c r="E23" i="21"/>
  <c r="F23" i="21"/>
  <c r="G23" i="21"/>
  <c r="H23" i="21"/>
  <c r="I23" i="21"/>
  <c r="M23" i="21"/>
  <c r="N23" i="21"/>
  <c r="O23" i="21"/>
  <c r="C34" i="21"/>
  <c r="P34" i="21" s="1"/>
  <c r="C33" i="21"/>
  <c r="P33" i="21" s="1"/>
  <c r="C32" i="21"/>
  <c r="P32" i="21" s="1"/>
  <c r="C31" i="21"/>
  <c r="P31" i="21" s="1"/>
  <c r="C30" i="21"/>
  <c r="P30" i="21" s="1"/>
  <c r="C29" i="21"/>
  <c r="P29" i="21" s="1"/>
  <c r="C27" i="21"/>
  <c r="P27" i="21" s="1"/>
  <c r="C26" i="21"/>
  <c r="C25" i="21"/>
  <c r="C24" i="21"/>
  <c r="H26" i="21"/>
  <c r="F26" i="21"/>
  <c r="N30" i="21"/>
  <c r="E24" i="21"/>
  <c r="O29" i="21"/>
  <c r="E26" i="21"/>
  <c r="M26" i="21"/>
  <c r="F28" i="21"/>
  <c r="D28" i="21"/>
  <c r="E28" i="21"/>
  <c r="D27" i="21"/>
  <c r="N32" i="21"/>
  <c r="E33" i="21"/>
  <c r="D34" i="21"/>
  <c r="E27" i="21"/>
  <c r="D26" i="21"/>
  <c r="H24" i="21"/>
  <c r="O34" i="21"/>
  <c r="E34" i="21"/>
  <c r="G24" i="21"/>
  <c r="G25" i="21"/>
  <c r="M24" i="21"/>
  <c r="N28" i="21"/>
  <c r="O32" i="21"/>
  <c r="O28" i="21"/>
  <c r="F27" i="21"/>
  <c r="I19" i="4" l="1"/>
  <c r="I12" i="4"/>
  <c r="I10" i="4"/>
  <c r="I14" i="4"/>
  <c r="M25" i="21"/>
  <c r="D24" i="21"/>
  <c r="E31" i="21"/>
  <c r="N29" i="21"/>
  <c r="N34" i="21"/>
  <c r="D25" i="21"/>
  <c r="E32" i="21"/>
  <c r="E25" i="21"/>
  <c r="N26" i="21"/>
  <c r="H25" i="21"/>
  <c r="E30" i="21"/>
  <c r="I24" i="21"/>
  <c r="F25" i="21"/>
  <c r="O31" i="21"/>
  <c r="O33" i="21"/>
  <c r="D30" i="21"/>
  <c r="I25" i="21"/>
  <c r="N27" i="21"/>
  <c r="E29" i="21"/>
  <c r="G26" i="21"/>
  <c r="O30" i="21"/>
  <c r="D31" i="21"/>
  <c r="O24" i="21"/>
  <c r="O27" i="21"/>
  <c r="N25" i="21"/>
  <c r="N31" i="21"/>
  <c r="N33" i="21"/>
  <c r="I26" i="21"/>
  <c r="F24" i="21"/>
  <c r="O26" i="21"/>
  <c r="N24" i="21"/>
  <c r="O25" i="21"/>
  <c r="D33" i="21"/>
  <c r="P24" i="21" l="1"/>
  <c r="I9" i="4"/>
  <c r="I13" i="4"/>
  <c r="I21" i="4"/>
  <c r="P26" i="21"/>
  <c r="P25" i="21"/>
  <c r="I35" i="21"/>
  <c r="I8" i="4" s="1"/>
  <c r="O35" i="21"/>
  <c r="O36" i="21" s="1"/>
  <c r="G35" i="21"/>
  <c r="I17" i="4" s="1"/>
  <c r="M35" i="21"/>
  <c r="I24" i="4" s="1"/>
  <c r="I23" i="4" s="1"/>
  <c r="F35" i="21"/>
  <c r="I18" i="4" s="1"/>
  <c r="E35" i="21"/>
  <c r="H35" i="21"/>
  <c r="I15" i="4" s="1"/>
  <c r="N35" i="21"/>
  <c r="I20" i="4" s="1"/>
  <c r="D6" i="21"/>
  <c r="D29" i="21"/>
  <c r="D13" i="21"/>
  <c r="D14" i="21"/>
  <c r="D15" i="21"/>
  <c r="D11" i="21"/>
  <c r="D10" i="21"/>
  <c r="I7" i="4" l="1"/>
  <c r="I11" i="4"/>
  <c r="I16" i="4"/>
  <c r="D12" i="21"/>
  <c r="D8" i="21"/>
  <c r="D16" i="21"/>
  <c r="D32" i="21"/>
  <c r="D7" i="21"/>
  <c r="D9" i="21"/>
  <c r="D17" i="21"/>
  <c r="I29" i="4" l="1"/>
  <c r="D35" i="21"/>
  <c r="D36" i="21" s="1"/>
  <c r="D18" i="21"/>
  <c r="D19" i="21" s="1"/>
  <c r="F6" i="21"/>
  <c r="G6" i="21"/>
  <c r="H6" i="21"/>
  <c r="I6" i="21"/>
  <c r="K6" i="21"/>
  <c r="L6" i="21"/>
  <c r="M6" i="21"/>
  <c r="N6" i="21"/>
  <c r="O6" i="21"/>
  <c r="E6" i="21"/>
  <c r="C8" i="21"/>
  <c r="C9" i="21"/>
  <c r="C10" i="21"/>
  <c r="P10" i="21" s="1"/>
  <c r="C14" i="21"/>
  <c r="C15" i="21"/>
  <c r="P15" i="21" s="1"/>
  <c r="C16" i="21"/>
  <c r="P16" i="21" s="1"/>
  <c r="C17" i="21"/>
  <c r="P17" i="21" s="1"/>
  <c r="C7" i="21"/>
  <c r="E15" i="21"/>
  <c r="O16" i="21"/>
  <c r="N9" i="21"/>
  <c r="N11" i="21"/>
  <c r="F9" i="21"/>
  <c r="O13" i="21"/>
  <c r="F11" i="21"/>
  <c r="L14" i="21"/>
  <c r="K7" i="21"/>
  <c r="F7" i="21"/>
  <c r="E14" i="21"/>
  <c r="E11" i="21"/>
  <c r="G9" i="21"/>
  <c r="F10" i="21"/>
  <c r="N7" i="21"/>
  <c r="O11" i="21"/>
  <c r="O8" i="21"/>
  <c r="H19" i="4" l="1"/>
  <c r="H9" i="4"/>
  <c r="J9" i="4" s="1"/>
  <c r="H8" i="21"/>
  <c r="K9" i="21"/>
  <c r="M7" i="21"/>
  <c r="N15" i="21"/>
  <c r="H7" i="21"/>
  <c r="M8" i="21"/>
  <c r="O10" i="21"/>
  <c r="N16" i="21"/>
  <c r="N12" i="21"/>
  <c r="N10" i="21"/>
  <c r="L8" i="21"/>
  <c r="O17" i="21"/>
  <c r="E10" i="21"/>
  <c r="H12" i="4" l="1"/>
  <c r="O9" i="21"/>
  <c r="E8" i="21"/>
  <c r="O14" i="21"/>
  <c r="K8" i="21"/>
  <c r="N8" i="21"/>
  <c r="F8" i="21"/>
  <c r="O15" i="21"/>
  <c r="O7" i="21"/>
  <c r="N14" i="21"/>
  <c r="L7" i="21"/>
  <c r="M9" i="21"/>
  <c r="E17" i="21"/>
  <c r="G8" i="21"/>
  <c r="E7" i="21"/>
  <c r="G7" i="21"/>
  <c r="L9" i="21"/>
  <c r="O12" i="21"/>
  <c r="E12" i="21"/>
  <c r="E9" i="21"/>
  <c r="N13" i="21"/>
  <c r="N17" i="21"/>
  <c r="E16" i="21"/>
  <c r="H9" i="21"/>
  <c r="E13" i="21"/>
  <c r="J19" i="4" l="1"/>
  <c r="P14" i="21"/>
  <c r="H14" i="4"/>
  <c r="J14" i="4" s="1"/>
  <c r="H21" i="4"/>
  <c r="J21" i="4" s="1"/>
  <c r="H10" i="4"/>
  <c r="J10" i="4" s="1"/>
  <c r="H13" i="4"/>
  <c r="J13" i="4" s="1"/>
  <c r="J12" i="4"/>
  <c r="L18" i="21"/>
  <c r="H26" i="4" s="1"/>
  <c r="J26" i="4" s="1"/>
  <c r="G18" i="21"/>
  <c r="H17" i="4" s="1"/>
  <c r="N18" i="21"/>
  <c r="H20" i="4" s="1"/>
  <c r="J20" i="4" s="1"/>
  <c r="M18" i="21"/>
  <c r="H24" i="4" s="1"/>
  <c r="K18" i="21"/>
  <c r="H25" i="4" s="1"/>
  <c r="J25" i="4" s="1"/>
  <c r="H18" i="21"/>
  <c r="H15" i="4" s="1"/>
  <c r="J15" i="4" s="1"/>
  <c r="F18" i="21"/>
  <c r="H18" i="4" s="1"/>
  <c r="J18" i="4" s="1"/>
  <c r="E18" i="21"/>
  <c r="O18" i="21"/>
  <c r="H23" i="4" l="1"/>
  <c r="J23" i="4" s="1"/>
  <c r="J24" i="4"/>
  <c r="J17" i="4"/>
  <c r="H16" i="4"/>
  <c r="J16" i="4" s="1"/>
  <c r="H11" i="4"/>
  <c r="J11" i="4" s="1"/>
  <c r="O19" i="21"/>
  <c r="E26" i="4"/>
  <c r="E27" i="4"/>
  <c r="C8" i="19"/>
  <c r="C12" i="19"/>
  <c r="D12" i="19" s="1"/>
  <c r="C6" i="19"/>
  <c r="D3" i="19" l="1"/>
  <c r="B11" i="19" l="1"/>
  <c r="B10" i="19"/>
  <c r="B9" i="19"/>
  <c r="B8" i="19"/>
  <c r="D8" i="19" s="1"/>
  <c r="B7" i="19"/>
  <c r="B6" i="19"/>
  <c r="D6" i="19" s="1"/>
  <c r="B5" i="19"/>
  <c r="B4" i="19"/>
  <c r="B2" i="19"/>
  <c r="D2" i="19" s="1"/>
  <c r="E28" i="4" l="1"/>
  <c r="C21" i="16" l="1"/>
  <c r="C18" i="16" l="1"/>
  <c r="C17" i="16"/>
  <c r="C19" i="16" l="1"/>
  <c r="C20" i="16" s="1"/>
  <c r="E25" i="4" s="1"/>
  <c r="E24" i="4" l="1"/>
  <c r="E23" i="4"/>
  <c r="I7" i="21"/>
  <c r="I8" i="21"/>
  <c r="I9" i="21"/>
  <c r="P8" i="21" l="1"/>
  <c r="P7" i="21"/>
  <c r="P9" i="21"/>
  <c r="I18" i="21"/>
  <c r="H8" i="4" s="1"/>
  <c r="H7" i="4" l="1"/>
  <c r="H29" i="4" s="1"/>
  <c r="J8" i="4"/>
  <c r="J7" i="4" l="1"/>
  <c r="J29" i="4" s="1"/>
</calcChain>
</file>

<file path=xl/comments1.xml><?xml version="1.0" encoding="utf-8"?>
<comments xmlns="http://schemas.openxmlformats.org/spreadsheetml/2006/main">
  <authors>
    <author>Chramosil, Radek</author>
  </authors>
  <commentList>
    <comment ref="AA1" authorId="0">
      <text>
        <r>
          <rPr>
            <b/>
            <sz val="9"/>
            <color indexed="81"/>
            <rFont val="Tahoma"/>
            <family val="2"/>
          </rPr>
          <t>Chramosil, Radek:</t>
        </r>
        <r>
          <rPr>
            <sz val="9"/>
            <color indexed="81"/>
            <rFont val="Tahoma"/>
            <family val="2"/>
          </rPr>
          <t xml:space="preserve">
Country of risk comes only from Bloomberg so it is tested for missing values only</t>
        </r>
      </text>
    </comment>
  </commentList>
</comments>
</file>

<file path=xl/sharedStrings.xml><?xml version="1.0" encoding="utf-8"?>
<sst xmlns="http://schemas.openxmlformats.org/spreadsheetml/2006/main" count="17175" uniqueCount="2276">
  <si>
    <t>Start Date:</t>
  </si>
  <si>
    <t>End Date:</t>
  </si>
  <si>
    <t>END_DATE</t>
  </si>
  <si>
    <t>INSTRUMENT_CODE</t>
  </si>
  <si>
    <t>INSTRUMENT</t>
  </si>
  <si>
    <t>ISIN</t>
  </si>
  <si>
    <t>BB_TICKER</t>
  </si>
  <si>
    <t>CONFIGURATION</t>
  </si>
  <si>
    <t>LEVEL1</t>
  </si>
  <si>
    <t>LEVEL2</t>
  </si>
  <si>
    <t>LEVEL3</t>
  </si>
  <si>
    <t>LEVEL4</t>
  </si>
  <si>
    <t>LEVEL5</t>
  </si>
  <si>
    <t>LEVEL6</t>
  </si>
  <si>
    <t>AVERAGE_RATING</t>
  </si>
  <si>
    <t>INSTRUMENT_CURRENCY_CODE</t>
  </si>
  <si>
    <t>TIERING</t>
  </si>
  <si>
    <t>COUNTRY_DOMICILE</t>
  </si>
  <si>
    <t>COUNTRY_ISO_CODE</t>
  </si>
  <si>
    <t>PTF_WEIGHT</t>
  </si>
  <si>
    <t>PTF_PERFORMANCE</t>
  </si>
  <si>
    <t>PTF_CONTRIBUTION</t>
  </si>
  <si>
    <t>BMK_WEIGHT</t>
  </si>
  <si>
    <t>BMK_PERFORMANCE</t>
  </si>
  <si>
    <t>BMK_CONTRIBUTION</t>
  </si>
  <si>
    <t>PTF_TOTAL_CARRY</t>
  </si>
  <si>
    <t>PTF_GOV_CARRY</t>
  </si>
  <si>
    <t>PTF_CREDIT_CARRY</t>
  </si>
  <si>
    <t>PTF_TOTAL_CURVE</t>
  </si>
  <si>
    <t>PTF_TREASURY_ROLLDOWN</t>
  </si>
  <si>
    <t>PTF_TOTAL_SPREAD</t>
  </si>
  <si>
    <t>PTF_MODEL_RESIDUAL</t>
  </si>
  <si>
    <t>PTF_CURRENCY_RETURN</t>
  </si>
  <si>
    <t>PTF_SPOT_CURRENCY</t>
  </si>
  <si>
    <t>PTF_COST_OF_CARRY</t>
  </si>
  <si>
    <t>PTF_HEDGE_CURRENCY</t>
  </si>
  <si>
    <t>PTF_CROSS_EFFECT</t>
  </si>
  <si>
    <t>PTF_VALUATION</t>
  </si>
  <si>
    <t>PTF_TRADING</t>
  </si>
  <si>
    <t>BMK_TOTAL_CARRY</t>
  </si>
  <si>
    <t>BMK_RETURN_GOV_CARRY</t>
  </si>
  <si>
    <t>BMK_CREDIT_CARRY</t>
  </si>
  <si>
    <t>BMK_TOTAL_CURVE</t>
  </si>
  <si>
    <t>BMK_TREASURY_ROLLDOWN</t>
  </si>
  <si>
    <t>BMK_TOTAL_SPREAD</t>
  </si>
  <si>
    <t>BMK_MODEL_RESIDUAL</t>
  </si>
  <si>
    <t>BMK_CURRENCY_RETURN</t>
  </si>
  <si>
    <t>BMK_SPOT_CCY_RETURN</t>
  </si>
  <si>
    <t>BMK_HEDGE_CURRENCY</t>
  </si>
  <si>
    <t>BMK_CROSS_EFFECT</t>
  </si>
  <si>
    <t>AssetType</t>
  </si>
  <si>
    <t>Issuer</t>
  </si>
  <si>
    <t>Issue</t>
  </si>
  <si>
    <t>DTSWeight</t>
  </si>
  <si>
    <t>DTSWeight_BM</t>
  </si>
  <si>
    <t>DTSContribution</t>
  </si>
  <si>
    <t>DTSContribution_BM</t>
  </si>
  <si>
    <t>INSTRUMENT_TYPE</t>
  </si>
  <si>
    <t>Currency</t>
  </si>
  <si>
    <t>BB_COMPOSITE</t>
  </si>
  <si>
    <t>CURRENCY</t>
  </si>
  <si>
    <t>PAYMENT_RANK</t>
  </si>
  <si>
    <t>MATURITY</t>
  </si>
  <si>
    <t>TICKER</t>
  </si>
  <si>
    <t>CNTRY_OF_RISK</t>
  </si>
  <si>
    <t>INDUSTRY_SECTOR</t>
  </si>
  <si>
    <t>INDUSTRY_GROUP</t>
  </si>
  <si>
    <t>INDUSTRY_SUBGROUP</t>
  </si>
  <si>
    <t>CNTRY_OF_DOMICILE</t>
  </si>
  <si>
    <t>Tiering</t>
  </si>
  <si>
    <t>INSTR_ID_ALL_SIGNATURE</t>
  </si>
  <si>
    <t>QRY_SIGNATURE</t>
  </si>
  <si>
    <t>B-OneL2</t>
  </si>
  <si>
    <t>B-OneL1</t>
  </si>
  <si>
    <t>B-OneL3</t>
  </si>
  <si>
    <t>iPasL1</t>
  </si>
  <si>
    <t>iPasL2</t>
  </si>
  <si>
    <t>iPasL3</t>
  </si>
  <si>
    <t>StoreToiPasL1</t>
  </si>
  <si>
    <t>StoreToiPasL2</t>
  </si>
  <si>
    <t>StoreToiPasL3</t>
  </si>
  <si>
    <t>Problem?</t>
  </si>
  <si>
    <t>You are working with:</t>
  </si>
  <si>
    <t>FINAL_MATURITY</t>
  </si>
  <si>
    <t>RTG_FITCH_NO_WATCH</t>
  </si>
  <si>
    <t>RTG_MOODY_NO_WATCH</t>
  </si>
  <si>
    <t>RTG_SP_NO_WATCH</t>
  </si>
  <si>
    <t>CNTRY_ISSUE_ISO</t>
  </si>
  <si>
    <t>IndustrySector</t>
  </si>
  <si>
    <t>IndustrySubgroup</t>
  </si>
  <si>
    <t>PaymentRank</t>
  </si>
  <si>
    <t>CntryOfIssue</t>
  </si>
  <si>
    <t>CntryOfRisk</t>
  </si>
  <si>
    <t>RtgMoody</t>
  </si>
  <si>
    <t>RtgSP</t>
  </si>
  <si>
    <t>BBComposite</t>
  </si>
  <si>
    <t>iPasBBL1</t>
  </si>
  <si>
    <t>iPasBBL2</t>
  </si>
  <si>
    <t>iPasBBL3</t>
  </si>
  <si>
    <t>B1_TICKER</t>
  </si>
  <si>
    <t>B1_CURRENCY</t>
  </si>
  <si>
    <t>B1_TIERING</t>
  </si>
  <si>
    <t>TICKER_PROBLEM</t>
  </si>
  <si>
    <t>TICKER_StoreToiPas</t>
  </si>
  <si>
    <t>iPas_TICKER</t>
  </si>
  <si>
    <t>iPas_CURRENCY</t>
  </si>
  <si>
    <t>CURRENCY_PROBLEM</t>
  </si>
  <si>
    <t>CURRENCY_StoreToiPas</t>
  </si>
  <si>
    <t>iPas_TIERING</t>
  </si>
  <si>
    <t>TIERING_PROBLEM</t>
  </si>
  <si>
    <t>TIERING_StoreToiPas</t>
  </si>
  <si>
    <t>SENorSUB</t>
  </si>
  <si>
    <t>DomicileCode</t>
  </si>
  <si>
    <t>CntryofDomicile</t>
  </si>
  <si>
    <t>RegionOfDomicile</t>
  </si>
  <si>
    <t>CntryofRiskCode</t>
  </si>
  <si>
    <t>RegionOfRisk</t>
  </si>
  <si>
    <t>BB_CNTRY_RISK</t>
  </si>
  <si>
    <t>BB_CNTRY_DOMICILE</t>
  </si>
  <si>
    <t>B1_CNTRY_DOMICILE</t>
  </si>
  <si>
    <t>CNTRY_RISK_StoreToiPas</t>
  </si>
  <si>
    <t>DOMICILE_PROBLEM</t>
  </si>
  <si>
    <t>BB_RATING</t>
  </si>
  <si>
    <t>B1_RATING</t>
  </si>
  <si>
    <t>BB_SP</t>
  </si>
  <si>
    <t>BB_MOODY</t>
  </si>
  <si>
    <t>BB_FITCH</t>
  </si>
  <si>
    <t>RATING_PROBLEM</t>
  </si>
  <si>
    <t>RATING_StoreToiPas</t>
  </si>
  <si>
    <t>CNTRY_RISK_PROBLEM</t>
  </si>
  <si>
    <t>CNTRY_DOMICILE_StoreToiPas</t>
  </si>
  <si>
    <t>Ticker</t>
  </si>
  <si>
    <t>Average_Rating</t>
  </si>
  <si>
    <t>BB_DomicileCode</t>
  </si>
  <si>
    <t>BB_CntryofDomicile</t>
  </si>
  <si>
    <t>BB_RegionOfDomicile</t>
  </si>
  <si>
    <t>BB_CntryofRiskCode</t>
  </si>
  <si>
    <t>BB_RegionOfRisk</t>
  </si>
  <si>
    <t>IndustryGroup</t>
  </si>
  <si>
    <t>RtgFitch</t>
  </si>
  <si>
    <t>BB_Maturity</t>
  </si>
  <si>
    <t>BB_MaturityGroup</t>
  </si>
  <si>
    <t>BB_FinalMaturity</t>
  </si>
  <si>
    <t>BB_FinalMaturityGroup</t>
  </si>
  <si>
    <t>Futures</t>
  </si>
  <si>
    <t>CDS</t>
  </si>
  <si>
    <t>CDS Index</t>
  </si>
  <si>
    <t>CDS Single Name</t>
  </si>
  <si>
    <t>CountISINs</t>
  </si>
  <si>
    <t>CDI</t>
  </si>
  <si>
    <t>PtfWeight</t>
  </si>
  <si>
    <t>FIAttributable</t>
  </si>
  <si>
    <t>PtfSpread</t>
  </si>
  <si>
    <t>PtfCreditCarry</t>
  </si>
  <si>
    <t>PtfNonCreditCarry</t>
  </si>
  <si>
    <t>PtfRes</t>
  </si>
  <si>
    <t>PtfTrading</t>
  </si>
  <si>
    <t>PtfValuation</t>
  </si>
  <si>
    <t>PtfModelRes</t>
  </si>
  <si>
    <t>BMKWeight</t>
  </si>
  <si>
    <t>BMKContributionBase</t>
  </si>
  <si>
    <t>BMKContributionLocal</t>
  </si>
  <si>
    <t>BMKSpread</t>
  </si>
  <si>
    <t>BMKCreditCarry</t>
  </si>
  <si>
    <t>BMKNonCreditCarry</t>
  </si>
  <si>
    <t>BMKModelRes</t>
  </si>
  <si>
    <t>PtfDTS</t>
  </si>
  <si>
    <t>BMKDTS</t>
  </si>
  <si>
    <t>PtfDTSWeight</t>
  </si>
  <si>
    <t>BmkDTSWeight</t>
  </si>
  <si>
    <t>DTS Weight</t>
  </si>
  <si>
    <t>BMK</t>
  </si>
  <si>
    <t>Level3</t>
  </si>
  <si>
    <t>Level2</t>
  </si>
  <si>
    <t>PTF weight:</t>
  </si>
  <si>
    <t>BMK weight:</t>
  </si>
  <si>
    <t>BB_ISIN</t>
  </si>
  <si>
    <t>BB_CURRENCY</t>
  </si>
  <si>
    <t>BB_CntryofRisk</t>
  </si>
  <si>
    <t>iPas_RATING</t>
  </si>
  <si>
    <t>Configuration</t>
  </si>
  <si>
    <t>Sovereigns</t>
  </si>
  <si>
    <t>Sovereign</t>
  </si>
  <si>
    <t>CurrencyName</t>
  </si>
  <si>
    <t>4516+4748+4749+5573</t>
  </si>
  <si>
    <t>4463+5579</t>
  </si>
  <si>
    <t>4518+4734+4735+5572</t>
  </si>
  <si>
    <t>4519+4733+4736+5576</t>
  </si>
  <si>
    <t>PTF_END_OAS</t>
  </si>
  <si>
    <t>BMK_END_OAS</t>
  </si>
  <si>
    <t>iPas_CNTRY_RISK</t>
  </si>
  <si>
    <t>iPAS_CNTRY_DOMICILE</t>
  </si>
  <si>
    <t>DataIssue</t>
  </si>
  <si>
    <t>InstrumentName</t>
  </si>
  <si>
    <t>IPasL2AndTiering</t>
  </si>
  <si>
    <t>INSTR_ID</t>
  </si>
  <si>
    <t>DTS Summary Check</t>
  </si>
  <si>
    <t>CDI Sheet Weight</t>
  </si>
  <si>
    <t>CDS Sheet Weight</t>
  </si>
  <si>
    <t>Non CDS or CDI</t>
  </si>
  <si>
    <t>Total</t>
  </si>
  <si>
    <t>CDS Total</t>
  </si>
  <si>
    <t>Check</t>
  </si>
  <si>
    <t>BMK DTS</t>
  </si>
  <si>
    <t>RiskRegionForEmergingMarkets</t>
  </si>
  <si>
    <t>4533+5578</t>
  </si>
  <si>
    <t>Ptf Credit Adj via DTS</t>
  </si>
  <si>
    <t>Bmk Credi Adj via DTS</t>
  </si>
  <si>
    <t>IGorHY</t>
  </si>
  <si>
    <t>PORTF_CODE</t>
  </si>
  <si>
    <t>BEGIN_DATE</t>
  </si>
  <si>
    <t>Fund Information</t>
  </si>
  <si>
    <t>Benchmark</t>
  </si>
  <si>
    <t>Strategy</t>
  </si>
  <si>
    <t>DTS_Fund</t>
  </si>
  <si>
    <t>Fund Name</t>
  </si>
  <si>
    <t>Template</t>
  </si>
  <si>
    <t>Date</t>
  </si>
  <si>
    <t>FUND_CURRENCY</t>
  </si>
  <si>
    <t>START_DATE</t>
  </si>
  <si>
    <t>GROSS_TOTAL_RETURN</t>
  </si>
  <si>
    <t>DECOMPOSED</t>
  </si>
  <si>
    <t>TOTAL_LESS_DECOMPOSED</t>
  </si>
  <si>
    <t>BMK_TOTAL_RETURN</t>
  </si>
  <si>
    <t>BMK_DECOMPOSED</t>
  </si>
  <si>
    <t>BMK_TOTAL_LESS_DECOMPOSED</t>
  </si>
  <si>
    <t>START_SHNV_NAV</t>
  </si>
  <si>
    <t>END_SHNV_NAV</t>
  </si>
  <si>
    <t>START_SHNV_NET_VALUE</t>
  </si>
  <si>
    <t>END_SHNV_NET_VALUE</t>
  </si>
  <si>
    <t>FUND_PL</t>
  </si>
  <si>
    <t>FUND_INCOME</t>
  </si>
  <si>
    <t>START_BVALU_VALUE</t>
  </si>
  <si>
    <t>END_BVALU_VALUE</t>
  </si>
  <si>
    <t>MANAG_FEES</t>
  </si>
  <si>
    <t>NET_TOTAL_RETURN</t>
  </si>
  <si>
    <t>Ptf Tolerance</t>
  </si>
  <si>
    <t>Bmk Tolerance</t>
  </si>
  <si>
    <t>PORTF_NAME</t>
  </si>
  <si>
    <t>BDEF_BEGIN_DATE</t>
  </si>
  <si>
    <t>INDEX_WEIGHTING</t>
  </si>
  <si>
    <t>INDEX_NAME</t>
  </si>
  <si>
    <t>PROVIDER</t>
  </si>
  <si>
    <t>End Month:</t>
  </si>
  <si>
    <t>End Year:</t>
  </si>
  <si>
    <t># of Months:</t>
  </si>
  <si>
    <t>Don'tDelete</t>
  </si>
  <si>
    <t>Don'tDelete2</t>
  </si>
  <si>
    <t>Don'tDelete3</t>
  </si>
  <si>
    <t>5413+5414+5415</t>
  </si>
  <si>
    <t>4809+5541</t>
  </si>
  <si>
    <t>8401+8922</t>
  </si>
  <si>
    <t>4381+4382+5510</t>
  </si>
  <si>
    <t>5410+5411+5412</t>
  </si>
  <si>
    <t>8957-B+8958-B+8425-B</t>
  </si>
  <si>
    <t>5422+5423+5424</t>
  </si>
  <si>
    <t>2519+5305</t>
  </si>
  <si>
    <t>Main Code</t>
  </si>
  <si>
    <t>Analytics_Vendor</t>
  </si>
  <si>
    <t>BOne_Fund</t>
  </si>
  <si>
    <t>YORKSHIRE &amp; CLYDESDALE BANK CREDIT BUY &amp; MAINTAIN</t>
  </si>
  <si>
    <t>BUPA PENSION SCHEME - CREDIT BUY AND MAINTAIN PORTFOLIO</t>
  </si>
  <si>
    <t>SIEMENS BENEFITS SCHEME GLOBAL BUY AND MAINTAIN</t>
  </si>
  <si>
    <t xml:space="preserve">RBS AA SECTION GROUP PENSION FUND - CREDIT BUY AND MAINTAIN PORTFOLIO </t>
  </si>
  <si>
    <t>ULSTER BANK PENSION SCHEME (ROI) - CREDIT BUY AND MAINTAIN PORTFOLIO</t>
  </si>
  <si>
    <t>ULSTER BANK PENSION SCHEME (NI) - CREDIT BUY AND MAINTAIN PORTFOLIO</t>
  </si>
  <si>
    <t>AIB GROUP IRISH PENSION SCHEME - GLOBAL CREDIT BUY &amp; MAINTAIN</t>
  </si>
  <si>
    <t>SOUTHERN WATER PENSION SCHEME - CREDIT BUY AND MAINTAIN PORTFOLIO</t>
  </si>
  <si>
    <t>UNITED UTILITIES PENSION SCHEME - CREDIT BUY AND MAINTAIN PORTFOLIO</t>
  </si>
  <si>
    <t>LGIMI RESTRICTED ACCOUNT A (EMERGING MARKETS HIGH YIELD)</t>
  </si>
  <si>
    <t>LVUI CORPORATE BONDS - CB LGIM (316804)</t>
  </si>
  <si>
    <t>RAGS-EUR CORPORATES III</t>
  </si>
  <si>
    <t>MI FONDS F35</t>
  </si>
  <si>
    <t>BETURN CBE LGIM</t>
  </si>
  <si>
    <t>BUMA UNIVERSAL FONDS IV</t>
  </si>
  <si>
    <t>KVW-RENTEN-FONDS 1 D3</t>
  </si>
  <si>
    <t>L&amp;G EURO CORPORATE BOND FUND</t>
  </si>
  <si>
    <t>LGIM EURO CORPORATE BOND FUND</t>
  </si>
  <si>
    <t>USS- CORE PLUS FUND</t>
  </si>
  <si>
    <t>LGIM GLOBAL CORPORATE BOND FUND</t>
  </si>
  <si>
    <t>L&amp;G UK CORE PLUS BOND FUND</t>
  </si>
  <si>
    <t>MYAM GLOBAL BOND FUND</t>
  </si>
  <si>
    <t>ASIAZERO - GLOBAL CREDIT FUND</t>
  </si>
  <si>
    <t>GBP COLLATERALISED, NON-FINANCIALS &amp; SUBORDINATED FINANCIALS FUND</t>
  </si>
  <si>
    <t>Lone Tree Holdings FI portfolio</t>
  </si>
  <si>
    <t>FIXED INTEREST TRUST</t>
  </si>
  <si>
    <t>Managed Monthly Income Trust</t>
  </si>
  <si>
    <t>PMC ACTIVE GBP CREDIT ALL STOCKS FUND</t>
  </si>
  <si>
    <t>Fund Code/Name</t>
  </si>
  <si>
    <t>ValuatedOnWeekend</t>
  </si>
  <si>
    <t>Default Value</t>
  </si>
  <si>
    <t>BOne Value</t>
  </si>
  <si>
    <t>Checks</t>
  </si>
  <si>
    <t>SOVEREIGN_CURVE</t>
  </si>
  <si>
    <t>SWAP_CURVE</t>
  </si>
  <si>
    <t>VALUATED_ON_WEEKENDS</t>
  </si>
  <si>
    <t>PORTF_CURRENCY</t>
  </si>
  <si>
    <t>TRUE</t>
  </si>
  <si>
    <t>BONE_NAME</t>
  </si>
  <si>
    <t>NA</t>
  </si>
  <si>
    <t>Portfolio_Weight</t>
  </si>
  <si>
    <t>BMK_Weight</t>
  </si>
  <si>
    <t>DTS_Weight</t>
  </si>
  <si>
    <t>Total_VS_Decomposed</t>
  </si>
  <si>
    <t>BMK_Tot_vs_Decomposed</t>
  </si>
  <si>
    <t>Static_Checks</t>
  </si>
  <si>
    <t>Pass (0) / Fail (1)</t>
  </si>
  <si>
    <t>LGIM BESPOKE ACTIVE CREDIT FUND - AM</t>
  </si>
  <si>
    <t>5358+5600</t>
  </si>
  <si>
    <t>LGIM BESPOKE HEDGING FUND Q</t>
  </si>
  <si>
    <t>Main Code/Name</t>
  </si>
  <si>
    <t>4419+5538</t>
  </si>
  <si>
    <t>DB Environment</t>
  </si>
  <si>
    <t>TieringSenSub</t>
  </si>
  <si>
    <t>B1Level2_B1Level3</t>
  </si>
  <si>
    <t>RiskFreeTickers</t>
  </si>
  <si>
    <t>Attributable</t>
  </si>
  <si>
    <t>Corporates_Financial Institutions</t>
  </si>
  <si>
    <t>Corporate</t>
  </si>
  <si>
    <t>UKT</t>
  </si>
  <si>
    <t>Corporates_Industrials</t>
  </si>
  <si>
    <t>T</t>
  </si>
  <si>
    <t>Corporates_Utilities</t>
  </si>
  <si>
    <t>DBR</t>
  </si>
  <si>
    <t>Other Sovereign</t>
  </si>
  <si>
    <t>Non-Corporate_Sovereigns</t>
  </si>
  <si>
    <t>OBL</t>
  </si>
  <si>
    <t>Securitized_MBS Passthrough</t>
  </si>
  <si>
    <t>BKO</t>
  </si>
  <si>
    <t>Cash Accounts</t>
  </si>
  <si>
    <t>Non-Corporate_Foreign Agency</t>
  </si>
  <si>
    <t>Non-Corporate_Foreign Local Govt</t>
  </si>
  <si>
    <t>Forward Contracts</t>
  </si>
  <si>
    <t>Liquidity Fund_Liquidity Fund</t>
  </si>
  <si>
    <t>Cash Accounts_Cash Accounts</t>
  </si>
  <si>
    <t>Entitlement Accruals_Entitlement Accruals</t>
  </si>
  <si>
    <t>Collateralized</t>
  </si>
  <si>
    <t>Futures_Futures</t>
  </si>
  <si>
    <t>Interest Rate Swaps</t>
  </si>
  <si>
    <t>Forward Contracts_Forward Contracts</t>
  </si>
  <si>
    <t>CDS_CDS Single Name</t>
  </si>
  <si>
    <t>CDS_CDS Index</t>
  </si>
  <si>
    <t>Non-Gilts_Sovereigns &amp; Sub-Sovereigns</t>
  </si>
  <si>
    <t>Non-Gilts_Corporates</t>
  </si>
  <si>
    <t>Non-Gilts_Collateralized</t>
  </si>
  <si>
    <t>Gilts_Gilts</t>
  </si>
  <si>
    <t>Cash Group_Cash Group</t>
  </si>
  <si>
    <t>Corporate_Industrial</t>
  </si>
  <si>
    <t>Corporate_Utility</t>
  </si>
  <si>
    <t>Sovereign_Sovereign</t>
  </si>
  <si>
    <t>Corporate_Financial</t>
  </si>
  <si>
    <t>Non-Sovereign_Corporates</t>
  </si>
  <si>
    <t>Sovereigns_Germany</t>
  </si>
  <si>
    <t>Non-Sovereign_Collateralized</t>
  </si>
  <si>
    <t>Sovereigns_Other Soverigns</t>
  </si>
  <si>
    <t>Non-Sovereign_Sub-Sovereigns</t>
  </si>
  <si>
    <t>Interest Rate Swaps_Interest Rate Swaps</t>
  </si>
  <si>
    <t>Forward Contract_Forward Contract</t>
  </si>
  <si>
    <t>Securitized_ABS</t>
  </si>
  <si>
    <t>Non-Corporate_Supranationals</t>
  </si>
  <si>
    <t>Securitized_CMBS</t>
  </si>
  <si>
    <t>Securitized_Covered</t>
  </si>
  <si>
    <t>B1Level2</t>
  </si>
  <si>
    <t>B1Level3</t>
  </si>
  <si>
    <t>TEST</t>
  </si>
  <si>
    <t>PtfCurve</t>
  </si>
  <si>
    <t>Curve</t>
  </si>
  <si>
    <t>PtfCurrencyReturn</t>
  </si>
  <si>
    <t>BMKCurve</t>
  </si>
  <si>
    <t>BMKCurrencyReturn</t>
  </si>
  <si>
    <t>tblCalculation</t>
  </si>
  <si>
    <t>[Level3]</t>
  </si>
  <si>
    <t>Bond</t>
  </si>
  <si>
    <t>Hide</t>
  </si>
  <si>
    <t>Ptf</t>
  </si>
  <si>
    <t>Weight</t>
  </si>
  <si>
    <t>NonCreditCarry</t>
  </si>
  <si>
    <t>CreditCarry</t>
  </si>
  <si>
    <t>Spread</t>
  </si>
  <si>
    <t>Trading</t>
  </si>
  <si>
    <t>Valuation</t>
  </si>
  <si>
    <t>ModelRes</t>
  </si>
  <si>
    <t>CurrencyReturn</t>
  </si>
  <si>
    <t>ContributionBase</t>
  </si>
  <si>
    <t>ContributionLocal</t>
  </si>
  <si>
    <t>Totals</t>
  </si>
  <si>
    <t>Credit</t>
  </si>
  <si>
    <t>Carry</t>
  </si>
  <si>
    <t>Cash</t>
  </si>
  <si>
    <t>Bond Dur</t>
  </si>
  <si>
    <t>IRS</t>
  </si>
  <si>
    <t>Credit Carry</t>
  </si>
  <si>
    <t>NonCredit Carry</t>
  </si>
  <si>
    <t>Rel</t>
  </si>
  <si>
    <t>Currency effect</t>
  </si>
  <si>
    <t>Other Effects</t>
  </si>
  <si>
    <t>Model Residual</t>
  </si>
  <si>
    <t>Total Return</t>
  </si>
  <si>
    <t>Decomposed Return</t>
  </si>
  <si>
    <t>Difference</t>
  </si>
  <si>
    <t>PtfContributionBase</t>
  </si>
  <si>
    <t>PtfContributionLocal</t>
  </si>
  <si>
    <t>DTS</t>
  </si>
  <si>
    <t>Classification</t>
  </si>
  <si>
    <t>4466+8926</t>
  </si>
  <si>
    <t>5371+5372</t>
  </si>
  <si>
    <t xml:space="preserve">SAUL - CREDIT BUY AND MAINTAIN PORTFOLIO </t>
  </si>
  <si>
    <t>LGIM BESPOKE HEDGING FD AE</t>
  </si>
  <si>
    <t>4722+4723+5762</t>
  </si>
  <si>
    <t>LIVE</t>
  </si>
  <si>
    <t>L&amp;G DYNAMIC BOND TRUST EMERGING MARKETS ABSOLUTE RETURN</t>
  </si>
  <si>
    <t>Total - Decomposed</t>
  </si>
  <si>
    <t>B</t>
  </si>
  <si>
    <t>US/T</t>
  </si>
  <si>
    <t>Cash Income Accruals_Cash Income Accruals</t>
  </si>
  <si>
    <t>MATURITY_DATE</t>
  </si>
  <si>
    <t>CALL_DATE</t>
  </si>
  <si>
    <t>2412+2427+2175</t>
  </si>
  <si>
    <t>WHEELS COMMON INVESTMENT FUND</t>
  </si>
  <si>
    <t>L&amp;G LIBOR HIGH ALPHA GLOBAL RATES FUND</t>
  </si>
  <si>
    <t>PMC HIGH YIELD BOND TRUST</t>
  </si>
  <si>
    <t>L&amp;G EMERGING MARKETS BOND  SHORT DURATION FUND</t>
  </si>
  <si>
    <t>L&amp;G BUY AND MAINTAIN CREDIT FUND</t>
  </si>
  <si>
    <t>L&amp;G GLOBAL HIGH YIELD BOND FUND</t>
  </si>
  <si>
    <t>6401+6403</t>
  </si>
  <si>
    <t>LGIMI RESTRICTED ACCOUNT A (US HIGH YIELD)</t>
  </si>
  <si>
    <t>LGIMI RESTRICTED ACCOUNT A (MASTER FUND)</t>
  </si>
  <si>
    <t>5374+5375</t>
  </si>
  <si>
    <t>LGIM HEDGING - FUND AR - B&amp;M FEEDER</t>
  </si>
  <si>
    <t>PtfCostofHedging</t>
  </si>
  <si>
    <t>CostofHedging</t>
  </si>
  <si>
    <t>Cost of Hedging</t>
  </si>
  <si>
    <t>8541+8545</t>
  </si>
  <si>
    <t>8542+8546</t>
  </si>
  <si>
    <t>8475+8544</t>
  </si>
  <si>
    <t>HEWLETT PACKARD (DIGITAL SECTION) GLOBAL CREDIT BUY AND MAINTAIN (AMALGAMATION)</t>
  </si>
  <si>
    <t>HEWLETT PACKARD (HP SECTION) GLOBAL CREDIT BUY AND MAINTAIN (AMALGAMATION)</t>
  </si>
  <si>
    <t>EDS 1994 PENSION SCHEME GLOBAL CREDIT BUY AND MAINTAIN (OVERALL)</t>
  </si>
  <si>
    <t>EDS RETIREMENT PLAN GLOBAL CREDIT BUY AND MAINTAIN (OVERALL)</t>
  </si>
  <si>
    <t>PTF_LOCAL_TRADING</t>
  </si>
  <si>
    <t>PTF_LOCAL_CCY_TRADING</t>
  </si>
  <si>
    <t>L&amp;G GLOBAL HIGH YIELD BOND FUND - EM</t>
  </si>
  <si>
    <t>L&amp;G GLOBAL HIGH YIELD BOND FUND - US</t>
  </si>
  <si>
    <t>PMC ACT GBP COLL &amp; CORP</t>
  </si>
  <si>
    <t>8434+8955+8488+8491</t>
  </si>
  <si>
    <t>5211_AGG</t>
  </si>
  <si>
    <t>Sovereigns_Italy</t>
  </si>
  <si>
    <t/>
  </si>
  <si>
    <t>CHESNARA ACTIVE EURO CORP BOND FUND</t>
  </si>
  <si>
    <t>PMC ACTIVE GBP CREDIT OVER 10 YEAR FUND (PF SECTION WT)</t>
  </si>
  <si>
    <t>CHESNARA ACTIVE EURO NON-FINACIAL CORP BOND FUND</t>
  </si>
  <si>
    <t>SPLIT ROCK</t>
  </si>
  <si>
    <t>BMKCostofHedging</t>
  </si>
  <si>
    <t>8434+8955+8490+8493</t>
  </si>
  <si>
    <t>8434+8955+8489+8492</t>
  </si>
  <si>
    <t>NATIONAL GRID - SECTION C</t>
  </si>
  <si>
    <t>NATIONAL GRID - SECTION A</t>
  </si>
  <si>
    <t>NATIONAL GRID - SECTION B</t>
  </si>
  <si>
    <t>4528+5639</t>
  </si>
  <si>
    <t>8409+8925</t>
  </si>
  <si>
    <t>4874+8920</t>
  </si>
  <si>
    <t>8428+8949</t>
  </si>
  <si>
    <t>8429+8950</t>
  </si>
  <si>
    <t>8558+8559</t>
  </si>
  <si>
    <t>5377+5378</t>
  </si>
  <si>
    <t>REUTERS PENSION FUND GLOBAL BUY AND MAINTAIN</t>
  </si>
  <si>
    <t>CITIGROUP PLAS - B&amp;M GROUP ACCOUNT</t>
  </si>
  <si>
    <t>CIITBANK UK PENSION PLAN - B&amp;M GROUP ACCOUNT</t>
  </si>
  <si>
    <t>PWC PENSION SCHEME - GLOBAL CREDIT BUY AND MAINTAIN PORTFOLIO</t>
  </si>
  <si>
    <t>DH&amp;S - GLOBAL CREDIT BUY AND MAINTAIN PORTFOLIO</t>
  </si>
  <si>
    <t>SANOFI PENSION SCHEME - CREDIT BUY AND MAINTAIN PORTFOLIO</t>
  </si>
  <si>
    <t>HEDGING FUND BH B&amp;M FUND</t>
  </si>
  <si>
    <t>LGIM STERLING LIQUIDITY PLUS FUND</t>
  </si>
  <si>
    <t>L&amp;G EMERGING MARKETS BOND FUND</t>
  </si>
  <si>
    <t>L&amp;G STERLING INCOME FUND</t>
  </si>
  <si>
    <t>Mutual Funds</t>
  </si>
  <si>
    <t>Mutual Funds_Mutual Funds</t>
  </si>
  <si>
    <t>L&amp;G ABS RTN BD PLUS FD-EM</t>
  </si>
  <si>
    <t>8583+6642</t>
  </si>
  <si>
    <t>8584+6644</t>
  </si>
  <si>
    <t>1696+1697</t>
  </si>
  <si>
    <t>LLOYDS BANK GROUP PENS TST NO 1 GLOBAL BUY &amp; MAINTAIN (OVERALL)</t>
  </si>
  <si>
    <t>LLOYDS BANK GROUP PEN TST NO 2 GLOBAL BUY &amp; MAINTAIN (OVERALL)</t>
  </si>
  <si>
    <t>ALS - B&amp;M</t>
  </si>
  <si>
    <t>LINKED LIFE CREDIT OPPORTUNITIES FUND</t>
  </si>
  <si>
    <t>PGGM - BPF SCHILDERS MANDATE</t>
  </si>
  <si>
    <t>L&amp;G EURO HIGH ALPHA CORP BD</t>
  </si>
  <si>
    <t>KELDA - CREDIT BUY AND MAINTAIN PORTFOLIO</t>
  </si>
  <si>
    <t>8474+8543</t>
  </si>
  <si>
    <t>Aug</t>
  </si>
  <si>
    <t>8343+8352+8353</t>
  </si>
  <si>
    <t>4547 - YORKSHIRE &amp; CLYDESDALE BANK CREDIT BUY &amp; MAINTAIN</t>
  </si>
  <si>
    <t>FIA - Barclays Global</t>
  </si>
  <si>
    <t>GBP</t>
  </si>
  <si>
    <t>4547</t>
  </si>
  <si>
    <t>iBoxx</t>
  </si>
  <si>
    <t>31/07/2017 00:00:00</t>
  </si>
  <si>
    <t>31/08/2017 00:00:00</t>
  </si>
  <si>
    <t>BND</t>
  </si>
  <si>
    <t>ABP FINANCE PLC</t>
  </si>
  <si>
    <t>ABP FINANCE PLC (GBP 6.250, 14-Dec-2026)</t>
  </si>
  <si>
    <t>XS0718981995</t>
  </si>
  <si>
    <t>ABPFIN</t>
  </si>
  <si>
    <t>AFFINITY WATER CAPITAL FUNDS LTD</t>
  </si>
  <si>
    <t>AFFINITY WATER PROGRAMME FINANCE LTD (GBP 3.625, 30-Sep-2022)</t>
  </si>
  <si>
    <t>XS0883690090</t>
  </si>
  <si>
    <t>AFFNTY</t>
  </si>
  <si>
    <t>AFFINITY WATER FINANCE 2004 PLC (GBP 5.875, 13-Jul-2026)</t>
  </si>
  <si>
    <t>XS0195751523</t>
  </si>
  <si>
    <t>AFFINITY WATER PROGRAMME FINANCE LTD (GBP 3.278, 22-Aug-2042)</t>
  </si>
  <si>
    <t>XS1480879540</t>
  </si>
  <si>
    <t>ALLIANZ SE</t>
  </si>
  <si>
    <t>ALLIANZ FINANCE II BV (GBP 4.500, 13-Mar-2043)</t>
  </si>
  <si>
    <t>DE000A1HG1L4</t>
  </si>
  <si>
    <t>ALVGR</t>
  </si>
  <si>
    <t>AMERICA MOVIL SAB DE CV</t>
  </si>
  <si>
    <t>AMERICA MOVIL SAB DE CV (GBP 4.375, 7-Aug-2041)</t>
  </si>
  <si>
    <t>XS0812855277</t>
  </si>
  <si>
    <t>AMXLMM</t>
  </si>
  <si>
    <t>AMERICA MOVIL SAB DE CV (GBP 5.750, 28-Jun-2030)</t>
  </si>
  <si>
    <t>XS0519906761</t>
  </si>
  <si>
    <t>AMERICA MOVIL SAB DE CV (GBP 5.000, 27-Oct-2026)</t>
  </si>
  <si>
    <t>XS0699618350</t>
  </si>
  <si>
    <t>AMERICAN INTERNATIONAL GROUP INC</t>
  </si>
  <si>
    <t>AMERICAN INTERNATIONAL GROUP INC (GBP 5.000, 26-Apr-2023)</t>
  </si>
  <si>
    <t>XS0252367775</t>
  </si>
  <si>
    <t>AIG</t>
  </si>
  <si>
    <t>ASIF II (GBP 6.375, 5-Oct-2020)</t>
  </si>
  <si>
    <t>XS0118356780</t>
  </si>
  <si>
    <t>ANGLIAN WATER GROUP LTD</t>
  </si>
  <si>
    <t>ANGLIAN WATER SERVICES FINANCING PLC (GBP 6.875, 21-Aug-2023)</t>
  </si>
  <si>
    <t>XS0089553282</t>
  </si>
  <si>
    <t>AWLN</t>
  </si>
  <si>
    <t>ANGLIAN WATER SERVICES FINANCING PLC (GBP 6.293, 30-Jul-2030)</t>
  </si>
  <si>
    <t>XS0151948980</t>
  </si>
  <si>
    <t>ANGLIAN WATER SERVICES FINANCING PLC (GBP 4.500, 5-Oct-2027)</t>
  </si>
  <si>
    <t>XS0764876693</t>
  </si>
  <si>
    <t>ANHEUSER-BUSCH INBEV NV</t>
  </si>
  <si>
    <t>ANHEUSER-BUSCH INBEV SA/NV (GBP 9.750, 30-Jul-2024)</t>
  </si>
  <si>
    <t>BE0934986036</t>
  </si>
  <si>
    <t>ABIBB</t>
  </si>
  <si>
    <t>ANHEUSER-BUSCH INBEV SA/NV (GBP 4.000, 24-Sep-2025)</t>
  </si>
  <si>
    <t>BE6258029741</t>
  </si>
  <si>
    <t>AT&amp;T INC</t>
  </si>
  <si>
    <t>AT&amp;T INC (GBP 4.875, 1-Jun-2044)</t>
  </si>
  <si>
    <t>XS0785710046</t>
  </si>
  <si>
    <t>AT&amp;T INC (GBP 5.500, 15-Mar-2027)</t>
  </si>
  <si>
    <t>XS0291949120</t>
  </si>
  <si>
    <t>AT&amp;T INC (GBP 7.000, 30-Apr-2040)</t>
  </si>
  <si>
    <t>XS0426513387</t>
  </si>
  <si>
    <t>AT&amp;T INC (GBP 3.550, 14-Sep-2037)</t>
  </si>
  <si>
    <t>XS1634248865</t>
  </si>
  <si>
    <t>ATLANTIA SPA</t>
  </si>
  <si>
    <t>AUTOSTRADE PER L'ITALIA SPA (GBP 6.250, 9-Jun-2022)</t>
  </si>
  <si>
    <t>XS0193942124</t>
  </si>
  <si>
    <t>ATLIM</t>
  </si>
  <si>
    <t>BABCOCK INTERNATIONAL GROUP</t>
  </si>
  <si>
    <t>BABCOCK INTERNATIONAL GROUP PLC (GBP 1.875, 5-Oct-2026)</t>
  </si>
  <si>
    <t>XS1499603170</t>
  </si>
  <si>
    <t>BABLN</t>
  </si>
  <si>
    <t>BANK NEDERLANDSE GEMEENTEN NV</t>
  </si>
  <si>
    <t>BANK NEDERLANDSE GEMEENTEN NV (GBP 5.375, 7-Jun-2021)</t>
  </si>
  <si>
    <t>XS0092607497</t>
  </si>
  <si>
    <t>BNG</t>
  </si>
  <si>
    <t>BANK NEDERLANDSE GEMEENTEN NV (GBP 5.200, 7-Dec-2028)</t>
  </si>
  <si>
    <t>XS0096806590</t>
  </si>
  <si>
    <t>BANK NEDERLANDSE GEMEENTEN NV (GBP 5.750, 18-Jan-2019)</t>
  </si>
  <si>
    <t>XS0106561094</t>
  </si>
  <si>
    <t>BASF SE</t>
  </si>
  <si>
    <t>BASF SE (GBP 1.750, 11-Mar-2025)</t>
  </si>
  <si>
    <t>XS1548422846</t>
  </si>
  <si>
    <t>BASGR</t>
  </si>
  <si>
    <t>BASF SE (GBP 1.375, 15-Dec-2017)</t>
  </si>
  <si>
    <t>XS1144218804</t>
  </si>
  <si>
    <t>BAYER AG</t>
  </si>
  <si>
    <t>BAYER AG (GBP 5.625, 23-May-2018)</t>
  </si>
  <si>
    <t>XS0255605239</t>
  </si>
  <si>
    <t>BAYNGR</t>
  </si>
  <si>
    <t>BERKSHIRE HATHAWAY INC</t>
  </si>
  <si>
    <t>NORTHERN ELECTRIC FINANCE PLC (GBP 5.125, 4-May-2035)</t>
  </si>
  <si>
    <t>XS0218520582</t>
  </si>
  <si>
    <t>BRKHEC</t>
  </si>
  <si>
    <t>BG ENERGY CAPITAL PLC</t>
  </si>
  <si>
    <t>BG ENERGY CAPITAL PLC (GBP 5.125, 1-Dec-2025)</t>
  </si>
  <si>
    <t>XS0564485273</t>
  </si>
  <si>
    <t>BGGRP</t>
  </si>
  <si>
    <t>BHP BILLITON LIMITED</t>
  </si>
  <si>
    <t>BHP BILLITON FINANCE LTD (GBP 3.250, 25-Sep-2024)</t>
  </si>
  <si>
    <t>XS0834399635</t>
  </si>
  <si>
    <t>BHP</t>
  </si>
  <si>
    <t>BHP BILLITON FINANCE LTD (GBP 4.300, 25-Sep-2042)</t>
  </si>
  <si>
    <t>XS0834399981</t>
  </si>
  <si>
    <t>BMW AG</t>
  </si>
  <si>
    <t>BMW FINANCE NV (GBP 5.000, 2-Oct-2017)</t>
  </si>
  <si>
    <t>XS0455542521</t>
  </si>
  <si>
    <t>BMW</t>
  </si>
  <si>
    <t>BMW FINANCE NV (GBP 1.875, 29-Jun-2020)</t>
  </si>
  <si>
    <t>XS1238020124</t>
  </si>
  <si>
    <t>BMW US CAPITAL LLC (GBP 2.000, 20-Nov-2019)</t>
  </si>
  <si>
    <t>DE000A1ZSQC7</t>
  </si>
  <si>
    <t>BP PLC</t>
  </si>
  <si>
    <t>BP CAPITAL MARKETS PLC (GBP 4.325, 10-Dec-2018)</t>
  </si>
  <si>
    <t>XS0604380724</t>
  </si>
  <si>
    <t>BPLN</t>
  </si>
  <si>
    <t>BRIT UTD PROV ASSOC FIN</t>
  </si>
  <si>
    <t>BUPA FINANCE PLC (GBP 3.375, 17-Jun-2021)</t>
  </si>
  <si>
    <t>XS1075309754</t>
  </si>
  <si>
    <t>BUPFIN</t>
  </si>
  <si>
    <t>BRITISH AMERICAN TOBACCO PLC</t>
  </si>
  <si>
    <t>BAT INTERNATIONAL FINANCE PLC (GBP 6.375, 12-Dec-2019)</t>
  </si>
  <si>
    <t>XS0182188366</t>
  </si>
  <si>
    <t>BATSLN</t>
  </si>
  <si>
    <t>BAT INTERNATIONAL FINANCE PLC (GBP 6.000, 29-Jun-2022)</t>
  </si>
  <si>
    <t>XS0436059843</t>
  </si>
  <si>
    <t>BRITISH TELECOM PLC</t>
  </si>
  <si>
    <t>BRITISH TELECOMMUNICATIONS PLC (GBP 5.750, 7-Dec-2028)</t>
  </si>
  <si>
    <t>XS0097283096</t>
  </si>
  <si>
    <t>BRITEL</t>
  </si>
  <si>
    <t>BROWN-FORMAN CORPORATION</t>
  </si>
  <si>
    <t>BROWN-FORMAN CORP (GBP 2.600, 7-Jul-2028)</t>
  </si>
  <si>
    <t>XS1441773121</t>
  </si>
  <si>
    <t>BFB</t>
  </si>
  <si>
    <t>CARDIFF UNIVERSITY</t>
  </si>
  <si>
    <t>CARDIFF UNIVERSITY (GBP 3.000, 7-Dec-2055)</t>
  </si>
  <si>
    <t>XS1351950149</t>
  </si>
  <si>
    <t>CRFUNI</t>
  </si>
  <si>
    <t>CENTRICA PLC</t>
  </si>
  <si>
    <t>CENTRICA PLC (GBP 4.375, 13-Mar-2029)</t>
  </si>
  <si>
    <t>XS0753789980</t>
  </si>
  <si>
    <t>CNALN</t>
  </si>
  <si>
    <t>CENTRICA PLC (GBP 7.000, 19-Sep-2033)</t>
  </si>
  <si>
    <t>XS0388006123</t>
  </si>
  <si>
    <t>COMPASS GROUP PLC</t>
  </si>
  <si>
    <t>COMPASS GROUP PLC (GBP 3.850, 26-Jun-2026)</t>
  </si>
  <si>
    <t>XS1079317167</t>
  </si>
  <si>
    <t>CPGLN</t>
  </si>
  <si>
    <t>COMPASS GROUP PLC (GBP 2.000, 3-Jul-2029)</t>
  </si>
  <si>
    <t>XS1637093920</t>
  </si>
  <si>
    <t>COUNCIL OF EUROPE DEVELOPMENT BANK</t>
  </si>
  <si>
    <t>COUNCIL OF EUROPE DEVELOPMENT BANK (GBP 1.875, 22-Dec-2018)</t>
  </si>
  <si>
    <t>XS1028901673</t>
  </si>
  <si>
    <t>COE</t>
  </si>
  <si>
    <t>DAIMLER AG</t>
  </si>
  <si>
    <t>DAIMLER AG (GBP 2.375, 16-Jul-2018)</t>
  </si>
  <si>
    <t>XS1015890210</t>
  </si>
  <si>
    <t>DAIGR</t>
  </si>
  <si>
    <t>DAIMLER AG (GBP 2.750, 4-Dec-2020)</t>
  </si>
  <si>
    <t>XS1076016432</t>
  </si>
  <si>
    <t>DAIMLER AG (GBP 1.750, 8-Nov-2017)</t>
  </si>
  <si>
    <t>XS0989397921</t>
  </si>
  <si>
    <t>DAIMLER AG (GBP 1.250, 1-Dec-2017)</t>
  </si>
  <si>
    <t>XS1166284817</t>
  </si>
  <si>
    <t>DAIMLER AG (GBP 2.125, 7-Jun-2022)</t>
  </si>
  <si>
    <t>XS1391067847</t>
  </si>
  <si>
    <t>DEUTSCHE BUNDESBAHN</t>
  </si>
  <si>
    <t>DEUTSCHE BAHN FINANCE GMBH (GBP 3.125, 24-Jul-2026)</t>
  </si>
  <si>
    <t>XS0954706023</t>
  </si>
  <si>
    <t>DBHNGR</t>
  </si>
  <si>
    <t>DEUTSCHE BAHN FINANCE GMBH (GBP 2.750, 20-Jun-2022)</t>
  </si>
  <si>
    <t>XS0794224369</t>
  </si>
  <si>
    <t>DEUTSCHE TELEKOM AG</t>
  </si>
  <si>
    <t>DEUTSCHE TELEKOM INTERNATIONAL FINANCE BV (GBP 8.875, 27-Nov-2028)</t>
  </si>
  <si>
    <t>XS0401016919</t>
  </si>
  <si>
    <t>DT</t>
  </si>
  <si>
    <t>DEUTSCHE TELEKOM INTERNATIONAL FINANCE BV (GBP 6.500, 8-Apr-2022)</t>
  </si>
  <si>
    <t>XS0423048247</t>
  </si>
  <si>
    <t>DONG ENERGY A/S</t>
  </si>
  <si>
    <t>DONG ENERGY A/S (GBP 5.750, 9-Apr-2040)</t>
  </si>
  <si>
    <t>XS0499449261</t>
  </si>
  <si>
    <t>DONGAS</t>
  </si>
  <si>
    <t>DONG ENERGY A/S (GBP 4.875, 12-Jan-2032)</t>
  </si>
  <si>
    <t>XS0730243150</t>
  </si>
  <si>
    <t>DWR CYMRU FINANCING</t>
  </si>
  <si>
    <t>DWR CYMRU FINANCING LTD (GBP 4.473, 31-Mar-2057)</t>
  </si>
  <si>
    <t>XS0275787728</t>
  </si>
  <si>
    <t>GLAS</t>
  </si>
  <si>
    <t>DWR CYMRU FINANCING LTD (GBP 6.015, 31-Mar-2028)</t>
  </si>
  <si>
    <t>XS0128311023</t>
  </si>
  <si>
    <t>DWR CYMRU FINANCING LTD (GBP 6.907, 31-Mar-2021)</t>
  </si>
  <si>
    <t>XS0128311965</t>
  </si>
  <si>
    <t>E.ON AG</t>
  </si>
  <si>
    <t>E.ON INTERNATIONAL FINANCE BV (GBP 6.375, 7-Jun-2032)</t>
  </si>
  <si>
    <t>XS0148579666</t>
  </si>
  <si>
    <t>EOANGR</t>
  </si>
  <si>
    <t>E.ON INTERNATIONAL FINANCE BV (GBP 6.750, 27-Jan-2039)</t>
  </si>
  <si>
    <t>XS0408958683</t>
  </si>
  <si>
    <t>E.ON INTERNATIONAL FINANCE BV (GBP 6.000, 30-Oct-2019)</t>
  </si>
  <si>
    <t>XS0327443460</t>
  </si>
  <si>
    <t>EASTERN POWER NETWORKS PLC</t>
  </si>
  <si>
    <t>EASTERN POWER NETWORKS PLC (GBP 8.500, 31-Mar-2025)</t>
  </si>
  <si>
    <t>XS0058209106</t>
  </si>
  <si>
    <t>UKPONE</t>
  </si>
  <si>
    <t>EASTERN POWER NETWORKS PLC (GBP 5.750, 8-Mar-2024)</t>
  </si>
  <si>
    <t>XS0187202303</t>
  </si>
  <si>
    <t>EASTERN POWER NETWORKS PLC (GBP 6.250, 12-Nov-2036)</t>
  </si>
  <si>
    <t>XS0466148441</t>
  </si>
  <si>
    <t>EASTERN POWER NETWORKS PLC (GBP 4.750, 30-Sep-2021)</t>
  </si>
  <si>
    <t>XS0686172601</t>
  </si>
  <si>
    <t>EDF SA</t>
  </si>
  <si>
    <t>ELECTRICITE DE FRANCE SA (GBP 5.500, 17-Oct-2041)</t>
  </si>
  <si>
    <t>FR0011132356</t>
  </si>
  <si>
    <t>EDF</t>
  </si>
  <si>
    <t>ELECTRICITE DE FRANCE SA (GBP 5.125, 22-Sep-2050)</t>
  </si>
  <si>
    <t>FR0010945436</t>
  </si>
  <si>
    <t>ELECTRICITE DE FRANCE SA (GBP 6.125, 2-Jun-2034)</t>
  </si>
  <si>
    <t>FR0010763177</t>
  </si>
  <si>
    <t>EE LTD</t>
  </si>
  <si>
    <t>EE FINANCE PLC (GBP 4.375, 28-Mar-2019)</t>
  </si>
  <si>
    <t>XS0764313291</t>
  </si>
  <si>
    <t>EVEVRV</t>
  </si>
  <si>
    <t>ELECTRICITY NORTH WEST LTD</t>
  </si>
  <si>
    <t>ELECTRICITY NORTH WEST LTD (GBP 8.875, 25-Mar-2026)</t>
  </si>
  <si>
    <t>XS0058957316</t>
  </si>
  <si>
    <t>NWENET</t>
  </si>
  <si>
    <t>ENEL SPA</t>
  </si>
  <si>
    <t>ENEL FINANCE INTERNATIONAL NV (GBP 5.750, 14-Sep-2040)</t>
  </si>
  <si>
    <t>XS0452187320</t>
  </si>
  <si>
    <t>ENELIM</t>
  </si>
  <si>
    <t>ENEL FINANCE INTERNATIONAL NV (GBP 5.625, 14-Aug-2024)</t>
  </si>
  <si>
    <t>XS0452188054</t>
  </si>
  <si>
    <t>ENEL SPA (GBP 6.250, 20-Jun-2019)</t>
  </si>
  <si>
    <t>XS0306647016</t>
  </si>
  <si>
    <t>ESB</t>
  </si>
  <si>
    <t>ESB FINANCE DAC (GBP 6.500, 5-Mar-2020)</t>
  </si>
  <si>
    <t>XS0492262844</t>
  </si>
  <si>
    <t>ESBIRE</t>
  </si>
  <si>
    <t>EUROPEAN BANK FOR RECONSTRUCTION &amp; DEVELOPMENT</t>
  </si>
  <si>
    <t>EUROPEAN BANK FOR RECONSTRUCTION &amp; DEVELOPMENT (GBP 5.625, 7-Dec-2028)</t>
  </si>
  <si>
    <t>XS0091740018</t>
  </si>
  <si>
    <t>EBRD</t>
  </si>
  <si>
    <t>EUROPEAN INVESTMENT BANK</t>
  </si>
  <si>
    <t>EUROPEAN INVESTMENT BANK (GBP 6.000, 7-Dec-2028)</t>
  </si>
  <si>
    <t>XS0085727559</t>
  </si>
  <si>
    <t>EIB</t>
  </si>
  <si>
    <t>EUROPEAN INVESTMENT BANK (GBP 5.000, 15-Apr-2039)</t>
  </si>
  <si>
    <t>XS0096499057</t>
  </si>
  <si>
    <t>EUROPEAN INVESTMENT BANK (GBP 5.625, 7-Jun-2032)</t>
  </si>
  <si>
    <t>XS0114126294</t>
  </si>
  <si>
    <t>EUROPEAN INVESTMENT BANK (GBP 8.750, 25-Aug-2017)</t>
  </si>
  <si>
    <t>XS0055498413</t>
  </si>
  <si>
    <t>EUROPEAN INVESTMENT BANK (GBP 1.375, 15-Jan-2018)</t>
  </si>
  <si>
    <t>XS0872706881</t>
  </si>
  <si>
    <t>EUROPEAN INVESTMENT BANK (GBP 4.125, 7-Dec-2017)</t>
  </si>
  <si>
    <t>XS0434040167</t>
  </si>
  <si>
    <t>EXPERIAN FINANCE PLC</t>
  </si>
  <si>
    <t>EXPERIAN FINANCE PLC (GBP 4.750, 23-Nov-2018)</t>
  </si>
  <si>
    <t>XS0585243289</t>
  </si>
  <si>
    <t>EXPNLN</t>
  </si>
  <si>
    <t>EXPERIAN FINANCE PLC (GBP 3.500, 15-Oct-2021)</t>
  </si>
  <si>
    <t>XS1030998469</t>
  </si>
  <si>
    <t>EXPORT DEVELOPMENT CANADA</t>
  </si>
  <si>
    <t>EXPORT DEVELOPMENT CANADA (GBP 1.875, 17-Dec-2018)</t>
  </si>
  <si>
    <t>XS1019727046</t>
  </si>
  <si>
    <t>EDC</t>
  </si>
  <si>
    <t>FIRSTGROUP PLC</t>
  </si>
  <si>
    <t>FIRSTGROUP PLC (GBP 5.250, 29-Nov-2022)</t>
  </si>
  <si>
    <t>XS0859438557</t>
  </si>
  <si>
    <t>FGPLN</t>
  </si>
  <si>
    <t>FIRSTGROUP PLC (GBP 6.125, 18-Jan-2019)</t>
  </si>
  <si>
    <t>XS0181013607</t>
  </si>
  <si>
    <t>FORD MOTOR CREDIT CO</t>
  </si>
  <si>
    <t>FCE BANK PLC (GBP 2.625, 20-Nov-2018)</t>
  </si>
  <si>
    <t>XS1069529490</t>
  </si>
  <si>
    <t>F</t>
  </si>
  <si>
    <t>GATWICK FUNDING LTD</t>
  </si>
  <si>
    <t>GATWICK FUNDING LTD (GBP 6.500, 2-Mar-2041)</t>
  </si>
  <si>
    <t>XS0596919539</t>
  </si>
  <si>
    <t>GATAIR</t>
  </si>
  <si>
    <t>GATWICK FUNDING LTD (GBP 5.250, 23-Jan-2024)</t>
  </si>
  <si>
    <t>XS0733794407</t>
  </si>
  <si>
    <t>GATWICK FUNDING LTD (GBP 4.625, 27-Mar-2034)</t>
  </si>
  <si>
    <t>XS1047788523</t>
  </si>
  <si>
    <t>GDF SUEZ</t>
  </si>
  <si>
    <t>ENGIE SA (GBP 5.000, 1-Oct-2060)</t>
  </si>
  <si>
    <t>FR0010946855</t>
  </si>
  <si>
    <t>ENGIFP</t>
  </si>
  <si>
    <t>ENGIE SA (GBP 7.000, 30-Oct-2028)</t>
  </si>
  <si>
    <t>FR0010680041</t>
  </si>
  <si>
    <t>GENERAL ELECTRIC CO</t>
  </si>
  <si>
    <t>GENERAL ELECTRIC CO (GBP 5.625, 16-Sep-2031)</t>
  </si>
  <si>
    <t>XS0154681737</t>
  </si>
  <si>
    <t>GE</t>
  </si>
  <si>
    <t>GENERAL ELECTRIC CO (GBP 5.500, 7-Jun-2021)</t>
  </si>
  <si>
    <t>XS0092499077</t>
  </si>
  <si>
    <t>GLAXOSMITHKLINE HOLDINGS LTD</t>
  </si>
  <si>
    <t>GLAXOSMITHKLINE CAPITAL PLC (GBP 5.250, 19-Dec-2033)</t>
  </si>
  <si>
    <t>XS0140516864</t>
  </si>
  <si>
    <t>GSK</t>
  </si>
  <si>
    <t>GLAXOSMITHKLINE CAPITAL PLC (GBP 5.250, 10-Apr-2042)</t>
  </si>
  <si>
    <t>XS0294624373</t>
  </si>
  <si>
    <t>GLAXOSMITHKLINE CAPITAL PLC (GBP 4.250, 18-Dec-2045)</t>
  </si>
  <si>
    <t>XS0866596975</t>
  </si>
  <si>
    <t>GLAXOSMITHKLINE CAPITAL PLC (GBP 3.375, 20-Dec-2027)</t>
  </si>
  <si>
    <t>XS0866588527</t>
  </si>
  <si>
    <t>GLAXOSMITHKLINE CAPITAL PLC (GBP 6.375, 9-Mar-2039)</t>
  </si>
  <si>
    <t>XS0350820931</t>
  </si>
  <si>
    <t>GLENCORE XSTRATA PLC</t>
  </si>
  <si>
    <t>GLENCORE FINANCE EUROPE LTD (GBP 6.500, 27-Feb-2019)</t>
  </si>
  <si>
    <t>XS0288783979</t>
  </si>
  <si>
    <t>GLENLN</t>
  </si>
  <si>
    <t>GLENCORE FINANCE EUROPE LTD (GBP 6.000, 3-Apr-2022)</t>
  </si>
  <si>
    <t>XS0767865263</t>
  </si>
  <si>
    <t>GLENCORE FINANCE EUROPE SA (GBP 6.500, 27-Feb-2019)</t>
  </si>
  <si>
    <t>GO-AHEAD GROUP PLC</t>
  </si>
  <si>
    <t>GO-AHEAD GROUP PLC (GBP 5.375, 29-Sep-2017)</t>
  </si>
  <si>
    <t>XS0497174580</t>
  </si>
  <si>
    <t>GOGLN</t>
  </si>
  <si>
    <t>GO-AHEAD GROUP PLC (GBP 2.500, 6-Jul-2024)</t>
  </si>
  <si>
    <t>XS1642733932</t>
  </si>
  <si>
    <t>GREAT ROLLING STOCK CO LTD/THE</t>
  </si>
  <si>
    <t>GREAT ROLLING STOCK CO LTD/THE (GBP 6.875, 27-Jul-2035)</t>
  </si>
  <si>
    <t>XS0526993802</t>
  </si>
  <si>
    <t>GRSCL</t>
  </si>
  <si>
    <t>GREAT ROLLING STOCK CO LTD/THE (GBP 6.250, 27-Jul-2020)</t>
  </si>
  <si>
    <t>XS0526995336</t>
  </si>
  <si>
    <t>GREENSANDS HOLDINGS LTD</t>
  </si>
  <si>
    <t>SOUTHERN WATER SERVICES FINANCE LTD (GBP 6.125, 31-Mar-2019)</t>
  </si>
  <si>
    <t>XS0415065399</t>
  </si>
  <si>
    <t>SWSFIN</t>
  </si>
  <si>
    <t>SOUTHERN WATER SERVICES FINANCE LTD (GBP 4.500, 31-Mar-2052)</t>
  </si>
  <si>
    <t>XS0271386244</t>
  </si>
  <si>
    <t>SOUTHERN WATER SERVICES FINANCE LTD (GBP 6.192, 31-Mar-2029)</t>
  </si>
  <si>
    <t>XS0172989252</t>
  </si>
  <si>
    <t>SOUTHERN WATER SERVICES FINANCE LTD (GBP 6.640, 31-Mar-2026)</t>
  </si>
  <si>
    <t>XS0172992637</t>
  </si>
  <si>
    <t>HEATHROW AIRPORT HOLDINGS LTD</t>
  </si>
  <si>
    <t>HEATHROW FUNDING LTD (GBP 6.450, 10-Dec-2031)</t>
  </si>
  <si>
    <t>XS0383001053</t>
  </si>
  <si>
    <t>HTHROW</t>
  </si>
  <si>
    <t>HEATHROW FUNDING LTD (GBP 5.225, 15-Feb-2023)</t>
  </si>
  <si>
    <t>XS0383002291</t>
  </si>
  <si>
    <t>HEATHROW FUNDING LTD (GBP 6.750, 3-Dec-2026)</t>
  </si>
  <si>
    <t>XS0471436088</t>
  </si>
  <si>
    <t>HEATHROW FUNDING LTD (GBP 5.875, 13-May-2041)</t>
  </si>
  <si>
    <t>XS0625276257</t>
  </si>
  <si>
    <t>HEATHROW FUNDING LTD (GBP 4.625, 31-Oct-2046)</t>
  </si>
  <si>
    <t>XS0987355855</t>
  </si>
  <si>
    <t>HENKEL KGAA</t>
  </si>
  <si>
    <t>HENKEL AG &amp; CO KGAA (GBP 0.875, 13-Sep-2022)</t>
  </si>
  <si>
    <t>XS1488419935</t>
  </si>
  <si>
    <t>HENKEL</t>
  </si>
  <si>
    <t>IBERDROLA</t>
  </si>
  <si>
    <t>SCOTTISH POWER UK PLC (GBP 6.750, 29-May-2023)</t>
  </si>
  <si>
    <t>XS0087240163</t>
  </si>
  <si>
    <t>SCTPWR</t>
  </si>
  <si>
    <t>SPD FINANCE UK PLC (GBP 5.875, 17-Jul-2026)</t>
  </si>
  <si>
    <t>XS0649291944</t>
  </si>
  <si>
    <t>SPDIST</t>
  </si>
  <si>
    <t>IBM CORPORATION</t>
  </si>
  <si>
    <t>INTERNATIONAL BUSINESS MACHINES CORP (GBP 2.750, 21-Dec-2020)</t>
  </si>
  <si>
    <t>XS0996288717</t>
  </si>
  <si>
    <t>IBM</t>
  </si>
  <si>
    <t>INTER-AMERICAN DEVELOPMENT BANK</t>
  </si>
  <si>
    <t>INTER-AMERICAN DEVELOPMENT BANK (GBP 1.250, 15-Dec-2017)</t>
  </si>
  <si>
    <t>XS0993756807</t>
  </si>
  <si>
    <t>IADB</t>
  </si>
  <si>
    <t>INTERNATIONAL BANK RECON &amp; DEVELOP</t>
  </si>
  <si>
    <t>INTERNATIONAL BANK FOR RECONSTRUCTION &amp; DEVELOPMENT (GBP 1.250, 2-Oct-2017)</t>
  </si>
  <si>
    <t>XS0975541961</t>
  </si>
  <si>
    <t>IBRD</t>
  </si>
  <si>
    <t>INTERNATIONAL BANK FOR RECONSTRUCTION &amp; DEVELOPMENT (GBP 4.875, 7-Dec-2028)</t>
  </si>
  <si>
    <t>XS0095130943</t>
  </si>
  <si>
    <t>IPIC GMTN LTD</t>
  </si>
  <si>
    <t>IPIC GMTN LTD (GBP 6.875, 14-Mar-2026)</t>
  </si>
  <si>
    <t>XS0605560084</t>
  </si>
  <si>
    <t>INTPET</t>
  </si>
  <si>
    <t>JOHN LEWIS PARTNERSHIP PLC</t>
  </si>
  <si>
    <t>JOHN LEWIS PLC (GBP 6.125, 21-Jan-2025)</t>
  </si>
  <si>
    <t>XS0527985583</t>
  </si>
  <si>
    <t>JOHLEW</t>
  </si>
  <si>
    <t>JOHN LEWIS PLC (GBP 4.250, 18-Dec-2034)</t>
  </si>
  <si>
    <t>XS1140961563</t>
  </si>
  <si>
    <t>JOHNSON &amp; JOHNSON</t>
  </si>
  <si>
    <t>JOHNSON &amp; JOHNSON (GBP 5.500, 6-Nov-2024)</t>
  </si>
  <si>
    <t>XS0329524457</t>
  </si>
  <si>
    <t>JNJ</t>
  </si>
  <si>
    <t>KELDA GROUP PLC</t>
  </si>
  <si>
    <t>YORKSHIRE WATER SERVICES BRADFORD FINANCE LTD (GBP 6.000, 21-Aug-2019)</t>
  </si>
  <si>
    <t>XS0439817908</t>
  </si>
  <si>
    <t>KEL</t>
  </si>
  <si>
    <t>YORKSHIRE WATER SERVICES ODSAL FINANCE LTD (GBP 6.588, 21-Feb-2023)</t>
  </si>
  <si>
    <t>XS0439817650</t>
  </si>
  <si>
    <t>YORKSHIRE WATER SERVICES ODSAL FINANCE LTD (GBP 6.454, 28-May-2027)</t>
  </si>
  <si>
    <t>XS0439817734</t>
  </si>
  <si>
    <t>YORKSHIRE WATER SERVICES BRADFORD FINANCE LTD (GBP 3.625, 1-Aug-2029)</t>
  </si>
  <si>
    <t>XS0810290832</t>
  </si>
  <si>
    <t>KREDIT FUER WIEDERAUFBAU</t>
  </si>
  <si>
    <t>KREDITANSTALT FUER WIEDERAUFBAU (GBP 1.000, 7-Dec-2017)</t>
  </si>
  <si>
    <t>XS0844692201</t>
  </si>
  <si>
    <t>KFW</t>
  </si>
  <si>
    <t>KREDITANSTALT FUER WIEDERAUFBAU (GBP 6.000, 7-Dec-2028)</t>
  </si>
  <si>
    <t>XS0138037733</t>
  </si>
  <si>
    <t>KREDITANSTALT FUER WIEDERAUFBAU (GBP 5.625, 25-Aug-2017)</t>
  </si>
  <si>
    <t>XS0138036099</t>
  </si>
  <si>
    <t>KREDITANSTALT FUER WIEDERAUFBAU (GBP 5.000, 9-Jun-2036)</t>
  </si>
  <si>
    <t>XS0138039275</t>
  </si>
  <si>
    <t>LANDWIRTSCHAFT RENTENBNK</t>
  </si>
  <si>
    <t>LANDWIRTSCHAFTLICHE RENTENBANK (GBP 1.000, 15-Dec-2017)</t>
  </si>
  <si>
    <t>XS0893356120</t>
  </si>
  <si>
    <t>RENTEN</t>
  </si>
  <si>
    <t>L-BANK BW FOERDERBANK</t>
  </si>
  <si>
    <t>LANDESKREDITBANK BADEN-WUERTTEMBERG FOERDERBANK (GBP 0.875, 15-Dec-2017)</t>
  </si>
  <si>
    <t>XS0914294623</t>
  </si>
  <si>
    <t>LBANK</t>
  </si>
  <si>
    <t>LCR FINANCE PLC</t>
  </si>
  <si>
    <t>LCR FINANCE PLC (GBP 4.500, 7-Dec-2038)</t>
  </si>
  <si>
    <t>XS0094835278</t>
  </si>
  <si>
    <t>LCRFIN</t>
  </si>
  <si>
    <t>LCR FINANCE PLC (GBP 4.500, 7-Dec-2028)</t>
  </si>
  <si>
    <t>XS0094804126</t>
  </si>
  <si>
    <t>LCR FINANCE PLC (GBP 5.100, 7-Mar-2051)</t>
  </si>
  <si>
    <t>XS0150670551</t>
  </si>
  <si>
    <t>LINDE AG</t>
  </si>
  <si>
    <t>LINDE FINANCE BV (GBP 5.875, 24-Apr-2023)</t>
  </si>
  <si>
    <t>XS0297700006</t>
  </si>
  <si>
    <t>LINGR</t>
  </si>
  <si>
    <t>LVMH MOET-HENNESSY</t>
  </si>
  <si>
    <t>LVMH MOET HENNESSY LOUIS VUITTON SE (GBP 1.625, 20-Dec-2017)</t>
  </si>
  <si>
    <t>FR0012171221</t>
  </si>
  <si>
    <t>MCFP</t>
  </si>
  <si>
    <t>LVMH MOET HENNESSY LOUIS VUITTON SE (GBP 1.000, 14-Jun-2022)</t>
  </si>
  <si>
    <t>FR0013260841</t>
  </si>
  <si>
    <t>MANCHESTER AIRPORTS HOLDINGS LTD</t>
  </si>
  <si>
    <t>MANCHESTER AIRPORT GROUP FUNDING PLC (GBP 4.125, 2-Apr-2024)</t>
  </si>
  <si>
    <t>XS1057530393</t>
  </si>
  <si>
    <t>MAGAIR</t>
  </si>
  <si>
    <t>MANCHESTER AIRPORT GROUP FUNDING PLC (GBP 4.750, 31-Mar-2034)</t>
  </si>
  <si>
    <t>XS1032630771</t>
  </si>
  <si>
    <t>MCKESSON CORPORATION</t>
  </si>
  <si>
    <t>MCKESSON CORP (GBP 3.125, 17-Feb-2029)</t>
  </si>
  <si>
    <t>XS1567174526</t>
  </si>
  <si>
    <t>MCK</t>
  </si>
  <si>
    <t>METROPOLITAN LIFE INSURANCE</t>
  </si>
  <si>
    <t>METROPOLITAN LIFE GLOBAL FUNDING I (GBP 2.875, 11-Jan-2023)</t>
  </si>
  <si>
    <t>XS0873675846</t>
  </si>
  <si>
    <t>MET</t>
  </si>
  <si>
    <t>METROPOLITAN LIFE GLOBAL FUNDING I (GBP 3.500, 30-Sep-2026)</t>
  </si>
  <si>
    <t>XS0834641358</t>
  </si>
  <si>
    <t>METLIFE INC (GBP 5.375, 9-Dec-2024)</t>
  </si>
  <si>
    <t>XS0207636712</t>
  </si>
  <si>
    <t>MONDELEZ INTERNATIONAL INC</t>
  </si>
  <si>
    <t>MONDELEZ INTERNATIONAL INC (GBP 7.250, 18-Jul-2018)</t>
  </si>
  <si>
    <t>XS0377058614</t>
  </si>
  <si>
    <t>MDLZ</t>
  </si>
  <si>
    <t>MOTABILITY OPERATIONS GROUP PLC</t>
  </si>
  <si>
    <t>MOTABILITY OPERATIONS GROUP PLC (GBP 5.375, 28-Jun-2022)</t>
  </si>
  <si>
    <t>XS0479905993</t>
  </si>
  <si>
    <t>MOTOPG</t>
  </si>
  <si>
    <t>MOTABILITY OPERATIONS GROUP PLC (GBP 5.625, 29-Nov-2030)</t>
  </si>
  <si>
    <t>XS0561876003</t>
  </si>
  <si>
    <t>MOTABILITY OPERATIONS GROUP PLC (GBP 3.750, 16-Jul-2026)</t>
  </si>
  <si>
    <t>XS1088016206</t>
  </si>
  <si>
    <t>NATIONAL GRID PLC</t>
  </si>
  <si>
    <t>NATIONAL GRID ELECTRICITY TRANSMISSION PLC (GBP 7.375, 13-Jan-2031)</t>
  </si>
  <si>
    <t>XS0407912053</t>
  </si>
  <si>
    <t>NGGLN</t>
  </si>
  <si>
    <t>NATIONAL GRID GAS PLC (GBP 6.375, 3-Mar-2020)</t>
  </si>
  <si>
    <t>XS0348431551</t>
  </si>
  <si>
    <t>NATIONAL GRID ELECTRICITY TRANSMISSION PLC (GBP 5.875, 2-Feb-2024)</t>
  </si>
  <si>
    <t>XS0094073672</t>
  </si>
  <si>
    <t>NATIONAL GRID ELECTRICITY TRANSMISSION PLC (GBP 6.500, 27-Jul-2028)</t>
  </si>
  <si>
    <t>XS0132735373</t>
  </si>
  <si>
    <t>NATIONAL GRID ELECTRICITY TRANSMISSION PLC (GBP 4.000, 8-Jun-2027)</t>
  </si>
  <si>
    <t>XS0789331948</t>
  </si>
  <si>
    <t>NEDERLANDSE WATERSCHAPBK</t>
  </si>
  <si>
    <t>NEDERLANDSE WATERSCHAPSBANK NV (GBP 2.000, 28-Dec-2018)</t>
  </si>
  <si>
    <t>XS1079038870</t>
  </si>
  <si>
    <t>NEDWBK</t>
  </si>
  <si>
    <t>NEDERLANDSE WATERSCHAPSBANK NV (GBP 0.875, 7-Mar-2018)</t>
  </si>
  <si>
    <t>XS1216020757</t>
  </si>
  <si>
    <t>NESTLE SA</t>
  </si>
  <si>
    <t>NESTLE HOLDINGS INC (GBP 1.750, 9-Dec-2020)</t>
  </si>
  <si>
    <t>XS1330975035</t>
  </si>
  <si>
    <t>NESNVX</t>
  </si>
  <si>
    <t>NESTLE FINANCE INTERNATIONAL LTD (GBP 2.250, 30-Nov-2023)</t>
  </si>
  <si>
    <t>XS0860561942</t>
  </si>
  <si>
    <t>NETWORK RAIL LTD</t>
  </si>
  <si>
    <t>NETWORK RAIL INFRASTRUCTURE FINANCE PLC (GBP 1.000, 7-Dec-2017)</t>
  </si>
  <si>
    <t>XS0878750248</t>
  </si>
  <si>
    <t>UKRAIL</t>
  </si>
  <si>
    <t>NETWORK RAIL INFRASTRUCTURE FINANCE PLC (GBP 4.750, 22-Jan-2024)</t>
  </si>
  <si>
    <t>XS0210467873</t>
  </si>
  <si>
    <t>NETWORK RAIL INFRASTRUCTURE FINANCE PLC (GBP 4.750, 29-Nov-2035)</t>
  </si>
  <si>
    <t>XS0206361221</t>
  </si>
  <si>
    <t>NETWORK RAIL INFRASTRUCTURE FINANCE PLC (GBP 4.625, 21-Jul-2020)</t>
  </si>
  <si>
    <t>XS0225051811</t>
  </si>
  <si>
    <t>NEW YORK LIFE INSURANCE</t>
  </si>
  <si>
    <t>NEW YORK LIFE GLOBAL FUNDING (GBP 1.000, 15-Dec-2021)</t>
  </si>
  <si>
    <t>XS1599141600</t>
  </si>
  <si>
    <t>NYLIFE</t>
  </si>
  <si>
    <t>NEXT PLC</t>
  </si>
  <si>
    <t>NEXT PLC (GBP 5.375, 26-Oct-2021)</t>
  </si>
  <si>
    <t>XS0630204351</t>
  </si>
  <si>
    <t>NXTLN</t>
  </si>
  <si>
    <t>NEXT PLC (GBP 4.375, 2-Oct-2026)</t>
  </si>
  <si>
    <t>XS0975833319</t>
  </si>
  <si>
    <t>NORDIC INVESTMENT BANK</t>
  </si>
  <si>
    <t>NORDIC INVESTMENT BANK (GBP 5.250, 26-Nov-2019)</t>
  </si>
  <si>
    <t>XS0104228845</t>
  </si>
  <si>
    <t>NIB</t>
  </si>
  <si>
    <t>NORDIC INVESTMENT BANK (GBP 1.000, 7-Mar-2019)</t>
  </si>
  <si>
    <t>XS1353178376</t>
  </si>
  <si>
    <t>NORTHERN GAS NETWORKS LTD</t>
  </si>
  <si>
    <t>NORTHERN GAS NETWORKS FINANCE PLC (GBP 4.875, 15-Nov-2035)</t>
  </si>
  <si>
    <t>XS0234964533</t>
  </si>
  <si>
    <t>NGN</t>
  </si>
  <si>
    <t>NORTHERN GAS NETWORKS FINANCE PLC (GBP 4.875, 30-Jun-2027)</t>
  </si>
  <si>
    <t>XS0234964459</t>
  </si>
  <si>
    <t>NORTHUMBRIAN WATER GROUP PLC</t>
  </si>
  <si>
    <t>NORTHUMBRIAN WATER FINANCE PLC (GBP 5.625, 29-Apr-2033)</t>
  </si>
  <si>
    <t>XS0159898153</t>
  </si>
  <si>
    <t>NWGLN</t>
  </si>
  <si>
    <t>NORTHUMBRIAN WATER FINANCE PLC (GBP 6.875, 6-Feb-2023)</t>
  </si>
  <si>
    <t>XS0083567775</t>
  </si>
  <si>
    <t>NORTHUMBRIAN WATER FINANCE PLC (GBP 5.125, 23-Jan-2042)</t>
  </si>
  <si>
    <t>XS0733486848</t>
  </si>
  <si>
    <t>NRW.BANK</t>
  </si>
  <si>
    <t>NRW BANK (GBP 0.875, 15-Dec-2017)</t>
  </si>
  <si>
    <t>XS0925581265</t>
  </si>
  <si>
    <t>NRWBK</t>
  </si>
  <si>
    <t>ORANGE SA</t>
  </si>
  <si>
    <t>ORANGE SA (GBP 7.250, 10-Nov-2020)</t>
  </si>
  <si>
    <t>FR0000483687</t>
  </si>
  <si>
    <t>ORAFP</t>
  </si>
  <si>
    <t>ORANGE SA (GBP 5.625, 23-Jan-2034)</t>
  </si>
  <si>
    <t>FR0010039008</t>
  </si>
  <si>
    <t>ORANGE SA (GBP 5.250, 5-Dec-2025)</t>
  </si>
  <si>
    <t>XS0236800412</t>
  </si>
  <si>
    <t>PACCAR FINANCIAL CORP</t>
  </si>
  <si>
    <t>PACCAR FINANCIAL EUROPE BV (GBP 1.513, 29-May-2018)</t>
  </si>
  <si>
    <t>XS1237268393</t>
  </si>
  <si>
    <t>PCAR</t>
  </si>
  <si>
    <t>PEPSICO INC</t>
  </si>
  <si>
    <t>PEPSICO INC (GBP 2.500, 1-Nov-2022)</t>
  </si>
  <si>
    <t>XS0849673602</t>
  </si>
  <si>
    <t>PEP</t>
  </si>
  <si>
    <t>PFIZER INC</t>
  </si>
  <si>
    <t>PFIZER INC (GBP 6.500, 3-Jun-2038)</t>
  </si>
  <si>
    <t>XS0432072022</t>
  </si>
  <si>
    <t>PFE</t>
  </si>
  <si>
    <t>PORTERBROOK RAIL FINANCE LTD</t>
  </si>
  <si>
    <t>PORTERBROOK RAIL FINANCE LTD (GBP 5.500, 20-Apr-2019)</t>
  </si>
  <si>
    <t>XS0638544840</t>
  </si>
  <si>
    <t>PORTER</t>
  </si>
  <si>
    <t>PORTERBROOK RAIL FINANCE LTD (GBP 6.500, 20-Oct-2020)</t>
  </si>
  <si>
    <t>XS0516704698</t>
  </si>
  <si>
    <t>PORTERBROOK RAIL FINANCE LTD (GBP 4.625, 4-Apr-2029)</t>
  </si>
  <si>
    <t>XS1053449028</t>
  </si>
  <si>
    <t>PPL CORP</t>
  </si>
  <si>
    <t>WESTERN POWER DISTRIBUTION SOUTH WALES PLC (GBP 9.250, 9-Nov-2020)</t>
  </si>
  <si>
    <t>XS0061222484</t>
  </si>
  <si>
    <t>PPL</t>
  </si>
  <si>
    <t>WESTERN POWER DISTRIBUTION WEST MIDLANDS PLC (GBP 6.000, 9-May-2025)</t>
  </si>
  <si>
    <t>XS0568142052</t>
  </si>
  <si>
    <t>WESTERN POWER DISTRIBUTION EAST MIDLANDS PLC (GBP 6.250, 10-Dec-2040)</t>
  </si>
  <si>
    <t>XS0568142482</t>
  </si>
  <si>
    <t>WESTERN POWER DISTRIBUTION WEST MIDLANDS PLC (GBP 5.750, 16-Apr-2032)</t>
  </si>
  <si>
    <t>XS0627336323</t>
  </si>
  <si>
    <t>PROCTER &amp; GAMBLE CO.</t>
  </si>
  <si>
    <t>PROCTER &amp; GAMBLE CO/THE (GBP 6.250, 31-Jan-2030)</t>
  </si>
  <si>
    <t>XS0106655235</t>
  </si>
  <si>
    <t>PG</t>
  </si>
  <si>
    <t>PROCTER &amp; GAMBLE CO/THE (GBP 5.250, 19-Jan-2033)</t>
  </si>
  <si>
    <t>XS0158603083</t>
  </si>
  <si>
    <t>PROCTER &amp; GAMBLE CO/THE (GBP 1.800, 3-May-2029)</t>
  </si>
  <si>
    <t>XS1608101652</t>
  </si>
  <si>
    <t>PRUDENTIAL PLC</t>
  </si>
  <si>
    <t>PRUDENTIAL PLC (GBP 1.375, 19-Jan-2018)</t>
  </si>
  <si>
    <t>XS1169595854</t>
  </si>
  <si>
    <t>PRUFIN</t>
  </si>
  <si>
    <t>PRUDENTIAL PLC (GBP 5.875, 11-May-2029)</t>
  </si>
  <si>
    <t>XS0096874671</t>
  </si>
  <si>
    <t>QUADGAS INVESTMENTS LTD</t>
  </si>
  <si>
    <t>CADENT FINANCE PLC (GBP 2.125, 22-Sep-2028)</t>
  </si>
  <si>
    <t>XS1492680902</t>
  </si>
  <si>
    <t>CDTFIN</t>
  </si>
  <si>
    <t>CADENT FINANCE PLC (GBP 2.625, 22-Sep-2038)</t>
  </si>
  <si>
    <t>XS1492681033</t>
  </si>
  <si>
    <t>CADENT FINANCE PLC (GBP 1.125, 22-Sep-2021)</t>
  </si>
  <si>
    <t>XS1492680811</t>
  </si>
  <si>
    <t>ROLLS-ROYCE PLC</t>
  </si>
  <si>
    <t>ROLLS-ROYCE PLC (GBP 6.750, 30-Apr-2019)</t>
  </si>
  <si>
    <t>XS0426014899</t>
  </si>
  <si>
    <t>ROLLS</t>
  </si>
  <si>
    <t>ROLLS-ROYCE PLC (GBP 3.375, 18-Jun-2026)</t>
  </si>
  <si>
    <t>XS0944831154</t>
  </si>
  <si>
    <t>ROYAL DUTCH SHELL PLC</t>
  </si>
  <si>
    <t>SHELL INTERNATIONAL FINANCE BV (GBP 2.000, 20-Dec-2019)</t>
  </si>
  <si>
    <t>XS1135277736</t>
  </si>
  <si>
    <t>RDSALN</t>
  </si>
  <si>
    <t>RWE INTERNATIONAL SE</t>
  </si>
  <si>
    <t>INNOGY FINANCE BV (GBP 6.250, 3-Jun-2030)</t>
  </si>
  <si>
    <t>XS0147048762</t>
  </si>
  <si>
    <t>IGYGY</t>
  </si>
  <si>
    <t>INNOGY FINANCE BV (GBP 6.500, 20-Apr-2021)</t>
  </si>
  <si>
    <t>XS0127992336</t>
  </si>
  <si>
    <t>INNOGY FINANCE BV (GBP 5.625, 6-Dec-2023)</t>
  </si>
  <si>
    <t>XS0170732738</t>
  </si>
  <si>
    <t>INNOGY FINANCE BV (GBP 6.125, 6-Jul-2039)</t>
  </si>
  <si>
    <t>XS0437306904</t>
  </si>
  <si>
    <t>SCOTTISH &amp; SOUTHERN ENERGY PLC</t>
  </si>
  <si>
    <t>SOUTHERN ELECTRIC POWER DISTRIBUTION PLC (GBP 5.500, 7-Jun-2032)</t>
  </si>
  <si>
    <t>XS0139563166</t>
  </si>
  <si>
    <t>SSELN</t>
  </si>
  <si>
    <t>SSE PLC (GBP 5.000, 1-Oct-2018)</t>
  </si>
  <si>
    <t>XS0454509455</t>
  </si>
  <si>
    <t>SSE PLC (GBP 8.375, 20-Nov-2028)</t>
  </si>
  <si>
    <t>XS0399111912</t>
  </si>
  <si>
    <t>SEVERN TRENT PLC</t>
  </si>
  <si>
    <t>SEVERN TRENT UTILITIES FINANCE PLC (GBP 6.250, 7-Jun-2029)</t>
  </si>
  <si>
    <t>XS0097777253</t>
  </si>
  <si>
    <t>SVTLN</t>
  </si>
  <si>
    <t>SEVERN TRENT UTILITIES FINANCE PLC (GBP 3.625, 16-Jan-2026)</t>
  </si>
  <si>
    <t>XS0875301912</t>
  </si>
  <si>
    <t>SEVERN TRENT UTILITIES FINANCE PLC (GBP 4.875, 24-Jan-2042)</t>
  </si>
  <si>
    <t>XS0735781675</t>
  </si>
  <si>
    <t>SIEMENS AG</t>
  </si>
  <si>
    <t>SIEMENS FINANCIERINGSMAATSCHAPPIJ NV (GBP 3.750, 10-Sep-2042)</t>
  </si>
  <si>
    <t>DE000A1G85D0</t>
  </si>
  <si>
    <t>SIEGR</t>
  </si>
  <si>
    <t>SIEMENS FINANCIERINGSMAATSCHAPPIJ NV (GBP 2.750, 10-Sep-2025)</t>
  </si>
  <si>
    <t>DE000A1G85C2</t>
  </si>
  <si>
    <t>SOUTH EAST WATER FINANCE LTD</t>
  </si>
  <si>
    <t>SOUTH EAST WATER FINANCE LTD (GBP 5.583, 29-Mar-2029)</t>
  </si>
  <si>
    <t>XS0197111619</t>
  </si>
  <si>
    <t>SEWLTD</t>
  </si>
  <si>
    <t>SOUTH EASTERN POWER NETWORKS PLC</t>
  </si>
  <si>
    <t>SOUTH EASTERN POWER NETWORKS PLC (GBP 5.500, 5-Jun-2026)</t>
  </si>
  <si>
    <t>XS0169169355</t>
  </si>
  <si>
    <t>SOUTH EASTERN POWER NETWORKS PLC (GBP 6.375, 12-Nov-2031)</t>
  </si>
  <si>
    <t>XS0466149506</t>
  </si>
  <si>
    <t>SOUTHERN GAS NETWORKS PLC</t>
  </si>
  <si>
    <t>SOUTHERN GAS NETWORKS PLC (GBP 4.875, 21-Mar-2029)</t>
  </si>
  <si>
    <t>XS0232335769</t>
  </si>
  <si>
    <t>SGN</t>
  </si>
  <si>
    <t>SOUTHERN GAS NETWORKS PLC (GBP 6.375, 15-May-2040)</t>
  </si>
  <si>
    <t>XS0362679176</t>
  </si>
  <si>
    <t>SOUTHERN WATER SRVCS FIN</t>
  </si>
  <si>
    <t>STATES OF GUERNSEY</t>
  </si>
  <si>
    <t>STATES OF GUERNSEY BOND (GBP 3.375, 12-Dec-2046)</t>
  </si>
  <si>
    <t>XS1143189576</t>
  </si>
  <si>
    <t>GURNSY</t>
  </si>
  <si>
    <t>STATOILHYDRO ASA</t>
  </si>
  <si>
    <t>STATOIL ASA (GBP 6.875, 11-Mar-2031)</t>
  </si>
  <si>
    <t>XS0416848793</t>
  </si>
  <si>
    <t>STLNO</t>
  </si>
  <si>
    <t>SUEZ ENVIRONNEMENT SA</t>
  </si>
  <si>
    <t>SUEZ (GBP 5.375, 2-Dec-2030)</t>
  </si>
  <si>
    <t>FR0011158849</t>
  </si>
  <si>
    <t>SEVFP</t>
  </si>
  <si>
    <t>SWEDISH EXPORT CREDIT CORPORATION</t>
  </si>
  <si>
    <t>SVENSK EXPORTKREDIT AB (GBP 1.875, 21-Dec-2018)</t>
  </si>
  <si>
    <t>XS1031020495</t>
  </si>
  <si>
    <t>SEK</t>
  </si>
  <si>
    <t>TEMASEK HOLDINGS PTE LTD</t>
  </si>
  <si>
    <t>TEMASEK FINANCIAL I LTD (GBP 5.125, 26-Jul-2040)</t>
  </si>
  <si>
    <t>XS0528414377</t>
  </si>
  <si>
    <t>TEMASE</t>
  </si>
  <si>
    <t>TEXTRON INC</t>
  </si>
  <si>
    <t>TEXTRON INC (GBP 6.625, 7-Apr-2020)</t>
  </si>
  <si>
    <t>XS0109825454</t>
  </si>
  <si>
    <t>TXT</t>
  </si>
  <si>
    <t>THAMES WATER LTD</t>
  </si>
  <si>
    <t>THAMES WATER UTILITIES FINANCE LTD (GBP 6.500, 9-Feb-2032)</t>
  </si>
  <si>
    <t>XS0107289323</t>
  </si>
  <si>
    <t>THAMES</t>
  </si>
  <si>
    <t>THAMES WATER UTILITIES FINANCE LTD (GBP 6.750, 16-Nov-2028)</t>
  </si>
  <si>
    <t>XS0092157600</t>
  </si>
  <si>
    <t>THAMES WATER UTILITIES CAYMAN FINANCE LTD (GBP 4.625, 4-Jun-2046)</t>
  </si>
  <si>
    <t>XS0800186222</t>
  </si>
  <si>
    <t>THAMES WATER UTILITIES CAYMAN FINANCE LTD (GBP 5.500, 11-Feb-2041)</t>
  </si>
  <si>
    <t>XS0590171103</t>
  </si>
  <si>
    <t>THAMES WATER UTILITIES CAYMAN FINANCE LTD (GBP 7.738, 9-Apr-2058)</t>
  </si>
  <si>
    <t>XS1537083716</t>
  </si>
  <si>
    <t>TNT NV</t>
  </si>
  <si>
    <t>POSTNL NV (GBP 7.500, 14-Aug-2018)</t>
  </si>
  <si>
    <t>NL0006380537</t>
  </si>
  <si>
    <t>PNLNA</t>
  </si>
  <si>
    <t>TOTAL SA</t>
  </si>
  <si>
    <t>TOTAL CAPITAL SA (GBP 3.875, 14-Dec-2018)</t>
  </si>
  <si>
    <t>XS0578264870</t>
  </si>
  <si>
    <t>TOTAL</t>
  </si>
  <si>
    <t>TOYOTA MOTOR CORPORATION</t>
  </si>
  <si>
    <t>TOYOTA MOTOR CREDIT CORP (GBP 4.000, 7-Dec-2017)</t>
  </si>
  <si>
    <t>XS0595707570</t>
  </si>
  <si>
    <t>TOYOTA</t>
  </si>
  <si>
    <t>TRANSPORT FOR LONDON</t>
  </si>
  <si>
    <t>TRANSPORT FOR LONDON (GBP 3.875, 23-Jul-2042)</t>
  </si>
  <si>
    <t>XS0806476544</t>
  </si>
  <si>
    <t>TRANLN</t>
  </si>
  <si>
    <t>TRANSPORT FOR LONDON (GBP 2.250, 9-Aug-2022)</t>
  </si>
  <si>
    <t>XS0813371100</t>
  </si>
  <si>
    <t>TRANSPORT FOR LONDON (GBP 4.000, 12-Sep-2033)</t>
  </si>
  <si>
    <t>XS0969795920</t>
  </si>
  <si>
    <t>TRANSPORT FOR LONDON (GBP 3.625, 15-May-2045)</t>
  </si>
  <si>
    <t>XS0928618569</t>
  </si>
  <si>
    <t>TRANSPORT FOR LONDON (GBP 4.000, 7-Apr-2064)</t>
  </si>
  <si>
    <t>XS1045127393</t>
  </si>
  <si>
    <t>UNILEVER PLC</t>
  </si>
  <si>
    <t>UNILEVER PLC (GBP 1.125, 3-Feb-2022)</t>
  </si>
  <si>
    <t>XS1560644830</t>
  </si>
  <si>
    <t>UNANA</t>
  </si>
  <si>
    <t>UNITED UTILITIES WATER PLC</t>
  </si>
  <si>
    <t>UNITED UTILITIES WATER LTD (GBP 5.625, 20-Dec-2027)</t>
  </si>
  <si>
    <t>XS0159728236</t>
  </si>
  <si>
    <t>UU</t>
  </si>
  <si>
    <t>UNITED UTILITIES WATER LTD (GBP 5.375, 14-May-2018)</t>
  </si>
  <si>
    <t>XS0168054673</t>
  </si>
  <si>
    <t>UNIVERSITY OF CAMBRIDGE</t>
  </si>
  <si>
    <t>UNIVERSITY OF CAMBRIDGE (GBP 3.750, 17-Oct-2052)</t>
  </si>
  <si>
    <t>XS0841542961</t>
  </si>
  <si>
    <t>CAMBRG</t>
  </si>
  <si>
    <t>UNIVERSITY OF LIVERPOOL</t>
  </si>
  <si>
    <t>UNIVERSITY OF LIVERPOOL (GBP 3.375, 25-Jun-2055)</t>
  </si>
  <si>
    <t>XS1246881673</t>
  </si>
  <si>
    <t>UNILIV</t>
  </si>
  <si>
    <t>UNIVERSITY OF MANCHESTER</t>
  </si>
  <si>
    <t>UNIVERSITY OF MANCHESTER (GBP 4.250, 4-Jul-2053)</t>
  </si>
  <si>
    <t>XS0947761556</t>
  </si>
  <si>
    <t>UNIMAN</t>
  </si>
  <si>
    <t>VATTENFALL TREASURY AB</t>
  </si>
  <si>
    <t>VATTENFALL AB (GBP 6.125, 16-Dec-2019)</t>
  </si>
  <si>
    <t>XS0422688282</t>
  </si>
  <si>
    <t>VATFAL</t>
  </si>
  <si>
    <t>VATTENFALL AB (GBP 6.875, 15-Apr-2039)</t>
  </si>
  <si>
    <t>XS0422688019</t>
  </si>
  <si>
    <t>VEOLIA ENVIRONNEMENT</t>
  </si>
  <si>
    <t>VEOLIA ENVIRONNEMENT SA (GBP 6.125, 29-Oct-2037)</t>
  </si>
  <si>
    <t>FR0010535567</t>
  </si>
  <si>
    <t>VIEFP</t>
  </si>
  <si>
    <t>VERIZON COMMUNICATIONS INC</t>
  </si>
  <si>
    <t>VERIZON COMMUNICATIONS INC (GBP 4.750, 17-Feb-2034)</t>
  </si>
  <si>
    <t>XS1030900325</t>
  </si>
  <si>
    <t>VZ</t>
  </si>
  <si>
    <t>VERIZON COMMUNICATIONS INC (GBP 4.073, 18-Jun-2024)</t>
  </si>
  <si>
    <t>XS1579033819</t>
  </si>
  <si>
    <t>XS1077031448</t>
  </si>
  <si>
    <t>XS1077031018</t>
  </si>
  <si>
    <t>VOLKSWAGEN AG</t>
  </si>
  <si>
    <t>VOLKSWAGEN FINANCIAL SERVICES NV (GBP 1.750, 21-Aug-2017)</t>
  </si>
  <si>
    <t>XS0963566921</t>
  </si>
  <si>
    <t>VW</t>
  </si>
  <si>
    <t>VOLKSWAGEN FINANCIAL SERVICES NV (GBP 2.625, 22-Jul-2019)</t>
  </si>
  <si>
    <t>XS1017618783</t>
  </si>
  <si>
    <t>WALES &amp; WEST UTILITIES FINANCE PLC</t>
  </si>
  <si>
    <t>WALES &amp; WEST UTILITIES FINANCE PLC (GBP 4.625, 13-Dec-2023)</t>
  </si>
  <si>
    <t>XS0702021311</t>
  </si>
  <si>
    <t>WWUF</t>
  </si>
  <si>
    <t>WALES &amp; WEST UTILITIES FINANCE PLC (GBP 5.000, 7-Mar-2028)</t>
  </si>
  <si>
    <t>XS0702020933</t>
  </si>
  <si>
    <t>WALES &amp; WEST UTILITIES FINANCE PLC (GBP 5.750, 29-Mar-2030)</t>
  </si>
  <si>
    <t>XS0497976562</t>
  </si>
  <si>
    <t>WAL-MART STORES INC</t>
  </si>
  <si>
    <t>WAL-MART STORES INC (GBP 5.250, 28-Sep-2035)</t>
  </si>
  <si>
    <t>XS0202077953</t>
  </si>
  <si>
    <t>WMT</t>
  </si>
  <si>
    <t>WAL-MART STORES INC (GBP 5.750, 19-Dec-2030)</t>
  </si>
  <si>
    <t>XS0121617517</t>
  </si>
  <si>
    <t>WESSEX WATER SERVS FIN</t>
  </si>
  <si>
    <t>WESSEX WATER SERVICES FINANCE PLC (GBP 5.375, 10-Mar-2028)</t>
  </si>
  <si>
    <t>XS0214275785</t>
  </si>
  <si>
    <t>YTLPMK</t>
  </si>
  <si>
    <t>WESSEX WATER SERVICES FINANCE PLC (GBP 5.750, 14-Oct-2033)</t>
  </si>
  <si>
    <t>XS0178489844</t>
  </si>
  <si>
    <t>WHITBREAD PLC</t>
  </si>
  <si>
    <t>WHITBREAD GROUP PLC (GBP 3.375, 16-Oct-2025)</t>
  </si>
  <si>
    <t>XS1235295539</t>
  </si>
  <si>
    <t>WTBLN</t>
  </si>
  <si>
    <t>CSH</t>
  </si>
  <si>
    <t>LIBOR</t>
  </si>
  <si>
    <t>GBP-0</t>
  </si>
  <si>
    <t>Not Classified</t>
  </si>
  <si>
    <t>GBP-243310734</t>
  </si>
  <si>
    <t>GBP-32291410</t>
  </si>
  <si>
    <t>AB INBEV SA/NV 9.75 30/07/24 EMTN</t>
  </si>
  <si>
    <t>S00712197</t>
  </si>
  <si>
    <t>Bonds</t>
  </si>
  <si>
    <t>Corporates</t>
  </si>
  <si>
    <t>Industrials</t>
  </si>
  <si>
    <t>Consumer Noncyclical</t>
  </si>
  <si>
    <t>Food/Beverage</t>
  </si>
  <si>
    <t>A-</t>
  </si>
  <si>
    <t>SEN</t>
  </si>
  <si>
    <t>Belgium</t>
  </si>
  <si>
    <t>BE</t>
  </si>
  <si>
    <t>BondSinature</t>
  </si>
  <si>
    <t>AB INBEV SA/NV 4 24/09/25 EMTN</t>
  </si>
  <si>
    <t>BF10BD3</t>
  </si>
  <si>
    <t>BBB</t>
  </si>
  <si>
    <t>SIEMENS FINAN 2.75 10/09/25 EMTN</t>
  </si>
  <si>
    <t>B7MC8T7</t>
  </si>
  <si>
    <t>Capital Goods</t>
  </si>
  <si>
    <t>Diversified Manufactur</t>
  </si>
  <si>
    <t>A+</t>
  </si>
  <si>
    <t>Netherlands</t>
  </si>
  <si>
    <t>NL</t>
  </si>
  <si>
    <t>SIEMENS FINAN 3.75 10/09/42 EMTN</t>
  </si>
  <si>
    <t>B8N14J2</t>
  </si>
  <si>
    <t>ALLIANZ FINANCE 4.5 13/03/43 62</t>
  </si>
  <si>
    <t>B71RT45</t>
  </si>
  <si>
    <t>Financial Institutions</t>
  </si>
  <si>
    <t>Insurance</t>
  </si>
  <si>
    <t>Life Insurance</t>
  </si>
  <si>
    <t>AA</t>
  </si>
  <si>
    <t>BMW US CAP LLC 2 20/11/19 EMTN</t>
  </si>
  <si>
    <t>BSP5ZF5</t>
  </si>
  <si>
    <t>Consumer Cyclical</t>
  </si>
  <si>
    <t>Automotive</t>
  </si>
  <si>
    <t>United States</t>
  </si>
  <si>
    <t>US</t>
  </si>
  <si>
    <t>FRANCE TELECOM 7.25 10/11/20 EMTN</t>
  </si>
  <si>
    <t>S00181770</t>
  </si>
  <si>
    <t>Communications</t>
  </si>
  <si>
    <t>Telecommunications</t>
  </si>
  <si>
    <t>Wirelines</t>
  </si>
  <si>
    <t>BBB+</t>
  </si>
  <si>
    <t>France</t>
  </si>
  <si>
    <t>FR</t>
  </si>
  <si>
    <t>FRANCE TELECOM 5.625 23/01/34 EMTN</t>
  </si>
  <si>
    <t>S00498670</t>
  </si>
  <si>
    <t>VEOLIA ENVRNMT 6.125 29/10/37 EMTN</t>
  </si>
  <si>
    <t>S00516293</t>
  </si>
  <si>
    <t>Utilities</t>
  </si>
  <si>
    <t>Other Utility</t>
  </si>
  <si>
    <t>GDF SUEZ 7 30/10/28 EMTN</t>
  </si>
  <si>
    <t>S00686985</t>
  </si>
  <si>
    <t>Natural Gas</t>
  </si>
  <si>
    <t>Distributors</t>
  </si>
  <si>
    <t>ELEC DE FRANCE 6.125 02/06/34 EMTN</t>
  </si>
  <si>
    <t>S00760439</t>
  </si>
  <si>
    <t>Non-Corporate</t>
  </si>
  <si>
    <t>Foreign Agency</t>
  </si>
  <si>
    <t>A</t>
  </si>
  <si>
    <t>ELEC DE FRANCE 5.125 22/09/50 EMTN</t>
  </si>
  <si>
    <t>S00935769</t>
  </si>
  <si>
    <t>GDF SUEZ 5 01/10/60 EMTN</t>
  </si>
  <si>
    <t>S00937801</t>
  </si>
  <si>
    <t>ELEC DE FRANCE 5.5 17/10/41 EMTN</t>
  </si>
  <si>
    <t>B75J851</t>
  </si>
  <si>
    <t>SUEZ ENVIRON 5.375 02/12/30 EMTN</t>
  </si>
  <si>
    <t>B7D5Y64</t>
  </si>
  <si>
    <t>LVMH MOET HENNES 1.625 20/12/17 EMTN</t>
  </si>
  <si>
    <t>BQVBNM6</t>
  </si>
  <si>
    <t>Consumer Products</t>
  </si>
  <si>
    <t>LVMH MOET HENNES 1 14/06/22 EMTN</t>
  </si>
  <si>
    <t>BF34058</t>
  </si>
  <si>
    <t>TNT N.V. 7.5 14/08/18</t>
  </si>
  <si>
    <t>S00645813</t>
  </si>
  <si>
    <t>Transportation</t>
  </si>
  <si>
    <t>Services</t>
  </si>
  <si>
    <t>EUROPEAN INVT BK 8.75 25/08/17</t>
  </si>
  <si>
    <t>S00086178</t>
  </si>
  <si>
    <t>Supranationals</t>
  </si>
  <si>
    <t>AAA</t>
  </si>
  <si>
    <t>Supranational</t>
  </si>
  <si>
    <t>XE</t>
  </si>
  <si>
    <t>EDF NRG NET EPN 8.5 31/03/25</t>
  </si>
  <si>
    <t>S00082243</t>
  </si>
  <si>
    <t>Electric</t>
  </si>
  <si>
    <t>United Kingdom</t>
  </si>
  <si>
    <t>GB</t>
  </si>
  <si>
    <t>UNITED UTIL ELEC 8.875 25/03/26 BR</t>
  </si>
  <si>
    <t>S00055237</t>
  </si>
  <si>
    <t>SOUTH WALES ELEC 9.25 09/11/20</t>
  </si>
  <si>
    <t>4962902</t>
  </si>
  <si>
    <t>NORTHUMBRIAN WTR 6.875 06/02/23</t>
  </si>
  <si>
    <t>S00062078</t>
  </si>
  <si>
    <t>EUROPEAN INVT BK 6 07/12/28</t>
  </si>
  <si>
    <t>S00281055</t>
  </si>
  <si>
    <t xml:space="preserve">Supranational </t>
  </si>
  <si>
    <t>QM</t>
  </si>
  <si>
    <t>SCOTTISH PWR UK 6.75 29/05/23 EMTN</t>
  </si>
  <si>
    <t>B7YKXH2</t>
  </si>
  <si>
    <t>ANGLIAN WAT FIN 6.875 21/08/23</t>
  </si>
  <si>
    <t>S00113370</t>
  </si>
  <si>
    <t>EURO BK RECON&amp;DV 5.625 07/12/28 EMTN</t>
  </si>
  <si>
    <t>S00134820</t>
  </si>
  <si>
    <t>THAMES WATER UTL 6.75 16/11/28 EMTN</t>
  </si>
  <si>
    <t>S00135605</t>
  </si>
  <si>
    <t>GEN ELEC CAP CRP 5.5 07/06/21 EMTN</t>
  </si>
  <si>
    <t>S00296496</t>
  </si>
  <si>
    <t>Finance Companies</t>
  </si>
  <si>
    <t>Noncaptive</t>
  </si>
  <si>
    <t>Diversified</t>
  </si>
  <si>
    <t>BK NED GEMEENTEN 5.375 07/06/21 EMTN</t>
  </si>
  <si>
    <t>S00296745</t>
  </si>
  <si>
    <t>LCR FINANCE PLC 4.5 07/12/28 REGS</t>
  </si>
  <si>
    <t>S00169392</t>
  </si>
  <si>
    <t>LCR FINANCE PLC 4.5 07/12/38 REGS</t>
  </si>
  <si>
    <t>S00169454</t>
  </si>
  <si>
    <t>INT BK RECON&amp;DEV 4.875 07/12/28 EMTN</t>
  </si>
  <si>
    <t>S00302451</t>
  </si>
  <si>
    <t>EUROPEAN INVT BK 5 15/04/39</t>
  </si>
  <si>
    <t>S00305761</t>
  </si>
  <si>
    <t>BK NED GEMEENTEN 5.2 07/12/28 EMTN</t>
  </si>
  <si>
    <t>S00306000</t>
  </si>
  <si>
    <t>PRUDENTIAL PLC 5.875 11/05/29</t>
  </si>
  <si>
    <t>S00325196</t>
  </si>
  <si>
    <t>BRITISH TEL PLC 5.75 07/12/28</t>
  </si>
  <si>
    <t>S00327756</t>
  </si>
  <si>
    <t>SEVERN TRENT FIN 6.25 07/06/29</t>
  </si>
  <si>
    <t>S00332786</t>
  </si>
  <si>
    <t>NORDIC INVST BNK 5.25 26/11/19 EMTN</t>
  </si>
  <si>
    <t>S00278023</t>
  </si>
  <si>
    <t>BK NED GEMEENTEN 5.75 18/01/19 EMTN</t>
  </si>
  <si>
    <t>S00323545</t>
  </si>
  <si>
    <t>PROCTER &amp; GAMBLE 6.25 31/01/30</t>
  </si>
  <si>
    <t>S00323741</t>
  </si>
  <si>
    <t>AA-</t>
  </si>
  <si>
    <t>THAMES WATER UTL 6.5 09/02/32 EMTN</t>
  </si>
  <si>
    <t>S00328353</t>
  </si>
  <si>
    <t>TEXTRON INC 6.625 07/04/20 EMTN</t>
  </si>
  <si>
    <t>S00329245</t>
  </si>
  <si>
    <t>Aerospace/Defense</t>
  </si>
  <si>
    <t>EUROPEAN INVT BK 5.625 07/06/32</t>
  </si>
  <si>
    <t>S00085811</t>
  </si>
  <si>
    <t>AIG SUNAMERICA 6.375 05/10/20 EMTN</t>
  </si>
  <si>
    <t>S00150277</t>
  </si>
  <si>
    <t>Cayman Islands</t>
  </si>
  <si>
    <t>KY</t>
  </si>
  <si>
    <t>WAL MART STORES 5.75 19/12/30</t>
  </si>
  <si>
    <t>S00192517</t>
  </si>
  <si>
    <t>Retailers</t>
  </si>
  <si>
    <t>INNOGY FINANCE 6.5 20/04/21 EMTN</t>
  </si>
  <si>
    <t>S00053202</t>
  </si>
  <si>
    <t>DWR CYMRU FIN 6.015 31/03/28 A1</t>
  </si>
  <si>
    <t>S00055773</t>
  </si>
  <si>
    <t>Na</t>
  </si>
  <si>
    <t>DWR CYMRU FIN 6.907 31/03/21 B1</t>
  </si>
  <si>
    <t>S00055415</t>
  </si>
  <si>
    <t>KFW 5.625 25/08/17 EXCH</t>
  </si>
  <si>
    <t>S00066716</t>
  </si>
  <si>
    <t>Germany</t>
  </si>
  <si>
    <t>DE</t>
  </si>
  <si>
    <t>KFW 6 07/12/28 EXCH</t>
  </si>
  <si>
    <t>S00066896</t>
  </si>
  <si>
    <t>KFW 5 09/06/36 EXCH</t>
  </si>
  <si>
    <t>S00066850</t>
  </si>
  <si>
    <t>SOUTHERN ELECTR 5.5 07/06/32</t>
  </si>
  <si>
    <t>S00010374</t>
  </si>
  <si>
    <t>GLAXOSMITHKLINE 5.25 19/12/33 EMTN</t>
  </si>
  <si>
    <t>S00011784</t>
  </si>
  <si>
    <t>Pharmaceuticals</t>
  </si>
  <si>
    <t>INNOGY FINANCE 6.25 03/06/30 EMTN</t>
  </si>
  <si>
    <t>S00075804</t>
  </si>
  <si>
    <t>E.ON INTL FIN BV 6.375 07/06/32 EMTN</t>
  </si>
  <si>
    <t>S00077473</t>
  </si>
  <si>
    <t>LCR FINANCE PLC 5.1 07/03/51</t>
  </si>
  <si>
    <t>S00021611</t>
  </si>
  <si>
    <t>ANGLIAN WAT FIN 6.293 30/07/30 A5</t>
  </si>
  <si>
    <t>S00023137</t>
  </si>
  <si>
    <t>GEN ELEC CAP CRP 5.625 16/09/31 EMTN</t>
  </si>
  <si>
    <t>S00081226</t>
  </si>
  <si>
    <t>PROCTER &amp; GAMBLE 5.25 19/01/33</t>
  </si>
  <si>
    <t>S00084090</t>
  </si>
  <si>
    <t>UNITED UTIL WAT 5.625 20/12/27 EMTN</t>
  </si>
  <si>
    <t>S00027491</t>
  </si>
  <si>
    <t>NORTHUMBRIAN WTR 5.625 29/04/33</t>
  </si>
  <si>
    <t>S00027553</t>
  </si>
  <si>
    <t>UNITED UTIL WAT 5.375 14/05/18 EMTN</t>
  </si>
  <si>
    <t>S00033439</t>
  </si>
  <si>
    <t>EDF ENERGY 5.5 05/06/26 EMTN</t>
  </si>
  <si>
    <t>B7NGR35</t>
  </si>
  <si>
    <t>INNOGY FINANCE 5.625 06/12/23 EMTN</t>
  </si>
  <si>
    <t>S00489582</t>
  </si>
  <si>
    <t>SOUTHERN WATER 6.192 31/03/29 A1</t>
  </si>
  <si>
    <t>S00037784</t>
  </si>
  <si>
    <t>SOUTHERN WATER 6.64 31/03/26 A4</t>
  </si>
  <si>
    <t>S00037846</t>
  </si>
  <si>
    <t>WESSEX WATER FIN 5.75 14/10/33</t>
  </si>
  <si>
    <t>S00487851</t>
  </si>
  <si>
    <t>FIRSTGROUP PLC 6.125 18/01/19</t>
  </si>
  <si>
    <t>S00043964</t>
  </si>
  <si>
    <t>BAT INTL FINANCE 6.375 12/12/19 EMTN</t>
  </si>
  <si>
    <t>S00045355</t>
  </si>
  <si>
    <t>Tobacco</t>
  </si>
  <si>
    <t>EDF NRG NET EPN 5.75 08/03/24 EMTN</t>
  </si>
  <si>
    <t>S00049100</t>
  </si>
  <si>
    <t>AUTOSTRADE PER L 6.25 09/06/22 EMTN</t>
  </si>
  <si>
    <t>S00197754</t>
  </si>
  <si>
    <t>Italy</t>
  </si>
  <si>
    <t>IT</t>
  </si>
  <si>
    <t>AFFINITY WATER 5.875 13/07/26</t>
  </si>
  <si>
    <t>S00203906</t>
  </si>
  <si>
    <t>SOUTH EAST WATER 5.5834 29/03/29 A2</t>
  </si>
  <si>
    <t>S00208689</t>
  </si>
  <si>
    <t>WAL MART STORES 5.25 28/09/35</t>
  </si>
  <si>
    <t>S00485791</t>
  </si>
  <si>
    <t>NETWRK RAIL INFR 4.75 29/11/35 EMTN</t>
  </si>
  <si>
    <t>S00499802</t>
  </si>
  <si>
    <t>METLIFE INC 5.375 09/12/24</t>
  </si>
  <si>
    <t>S00503645</t>
  </si>
  <si>
    <t>NETWRK RAIL INFR 4.75 22/01/24 EMTN</t>
  </si>
  <si>
    <t>S00341507</t>
  </si>
  <si>
    <t>WESSEX WATER FIN 5.375 10/03/28</t>
  </si>
  <si>
    <t>S00350766</t>
  </si>
  <si>
    <t>NORTHERN ELE FIN 5.125 04/05/35</t>
  </si>
  <si>
    <t>S00384211</t>
  </si>
  <si>
    <t>NETWRK RAIL INFR 4.625 21/07/20 EMTN</t>
  </si>
  <si>
    <t>S00402398</t>
  </si>
  <si>
    <t>SOUTHERN GAS NET 4.875 21/03/29 A7</t>
  </si>
  <si>
    <t>S00416669</t>
  </si>
  <si>
    <t>NORTHERN GAS 4.875 30/06/27</t>
  </si>
  <si>
    <t>S00421377</t>
  </si>
  <si>
    <t>NORTHERN GAS 4.875 15/11/35</t>
  </si>
  <si>
    <t>S00421242</t>
  </si>
  <si>
    <t>FRANCE TELECOM 5.25 05/12/25 EMTN</t>
  </si>
  <si>
    <t>S00425828</t>
  </si>
  <si>
    <t>AMER INTL GROUP 5 26/04/23 EMTN</t>
  </si>
  <si>
    <t>S00454510</t>
  </si>
  <si>
    <t>BAYER AG 5.625 23/05/18 EMTN</t>
  </si>
  <si>
    <t>S00460558</t>
  </si>
  <si>
    <t>Basic</t>
  </si>
  <si>
    <t>Chemicals</t>
  </si>
  <si>
    <t>SOUTHERN WATER 4.5 31/03/52 A</t>
  </si>
  <si>
    <t>S00482383</t>
  </si>
  <si>
    <t>DWR CYMRU FIN 4.473 31/03/57 EMTN</t>
  </si>
  <si>
    <t>S00363243</t>
  </si>
  <si>
    <t>GLENCORE FINANCE 6.5 27/02/19 EMTN</t>
  </si>
  <si>
    <t>S00517194</t>
  </si>
  <si>
    <t>Metals &amp; Mining</t>
  </si>
  <si>
    <t>Luxembourg</t>
  </si>
  <si>
    <t>LU</t>
  </si>
  <si>
    <t>AT&amp;T INC 5.5 15/03/27</t>
  </si>
  <si>
    <t>S00519469</t>
  </si>
  <si>
    <t>GLAXOSMITHKLINE 5.25 10/04/42 EMTN</t>
  </si>
  <si>
    <t>S00521938</t>
  </si>
  <si>
    <t>LINDE FINANCE BV 5.875 24/04/23 EMTN</t>
  </si>
  <si>
    <t>S00524159</t>
  </si>
  <si>
    <t>ENEL (ENTNZENEL) 6.25 20/06/19 EMTN</t>
  </si>
  <si>
    <t>S00504788</t>
  </si>
  <si>
    <t>E.ON INTL FIN BV 6 30/10/19 EMTN</t>
  </si>
  <si>
    <t>S00518648</t>
  </si>
  <si>
    <t>JOHNSON&amp;JOHNSON 5.5 06/11/24</t>
  </si>
  <si>
    <t>S00557061</t>
  </si>
  <si>
    <t>GLAXOSMITHKLINE 6.375 09/03/39 EMTN</t>
  </si>
  <si>
    <t>S00586717</t>
  </si>
  <si>
    <t>SOUTHERN GAS NET 6.375 15/05/40 EMTN</t>
  </si>
  <si>
    <t>S00611395</t>
  </si>
  <si>
    <t>BAA FUNDING LTD 6.45 10/12/31 REGS</t>
  </si>
  <si>
    <t>S00649953</t>
  </si>
  <si>
    <t>Jersey</t>
  </si>
  <si>
    <t>JE</t>
  </si>
  <si>
    <t>BAA FUNDING LTD 5.225 15/02/23 REGS</t>
  </si>
  <si>
    <t>S00649926</t>
  </si>
  <si>
    <t>CENTRICA PLC 7 19/09/33 EMTN</t>
  </si>
  <si>
    <t>S00653671</t>
  </si>
  <si>
    <t>SCOTTISH &amp; SOUTH 8.375 20/11/28 EMTN</t>
  </si>
  <si>
    <t>S00732504</t>
  </si>
  <si>
    <t>DEUTSCHE TEL FIN 8.875 27/11/28</t>
  </si>
  <si>
    <t>S00696296</t>
  </si>
  <si>
    <t>NATL GRID ELECT 7.375 13/01/31 EMTN</t>
  </si>
  <si>
    <t>S00706828</t>
  </si>
  <si>
    <t>E.ON INTL FIN BV 6.75 27/01/39 EMTN</t>
  </si>
  <si>
    <t>S00709076</t>
  </si>
  <si>
    <t>SOUTHERN WATER 6.125 31/03/19 EMTN</t>
  </si>
  <si>
    <t>S00726502</t>
  </si>
  <si>
    <t>STATOILHYDRO ASA 6.875 11/03/31 EMTN</t>
  </si>
  <si>
    <t>S00730248</t>
  </si>
  <si>
    <t>Norway</t>
  </si>
  <si>
    <t>NO</t>
  </si>
  <si>
    <t>VATTENFALL AB 6.875 15/04/39 EMTN</t>
  </si>
  <si>
    <t>S00739383</t>
  </si>
  <si>
    <t>Sweden</t>
  </si>
  <si>
    <t>SE</t>
  </si>
  <si>
    <t>DEUTSCHE TEL FIN 6.5 08/04/22 EMTN</t>
  </si>
  <si>
    <t>S00739838</t>
  </si>
  <si>
    <t>ROLLS ROYCE PLC 6.75 30/04/19 EMTN</t>
  </si>
  <si>
    <t>S00752448</t>
  </si>
  <si>
    <t>AT&amp;T INC 7 30/04/40 EMTN</t>
  </si>
  <si>
    <t>S00750431</t>
  </si>
  <si>
    <t>PFIZER INC 6.5 03/06/38</t>
  </si>
  <si>
    <t>S00761385</t>
  </si>
  <si>
    <t>EUROPEAN INVT BK 4.125 07/12/17 EMTN</t>
  </si>
  <si>
    <t>S00765283</t>
  </si>
  <si>
    <t>BAT INTL FINANCE 6 29/06/22 EMTN</t>
  </si>
  <si>
    <t>S00770482</t>
  </si>
  <si>
    <t>INNOGY FINANCE 6.125 06/07/39 EMTN</t>
  </si>
  <si>
    <t>S00771847</t>
  </si>
  <si>
    <t>YORKS WATER ODSA 6.5876 21/02/23 0.</t>
  </si>
  <si>
    <t>S00779401</t>
  </si>
  <si>
    <t>YORKS WATER ODSA 6.454 28/05/27 0.</t>
  </si>
  <si>
    <t>S00779750</t>
  </si>
  <si>
    <t>YORKS WATER BRAD 6 21/08/19 EMTN</t>
  </si>
  <si>
    <t>S00776039</t>
  </si>
  <si>
    <t>ENEL FIN INTL NV 5.75 14/09/40 EMTN</t>
  </si>
  <si>
    <t>S00794715</t>
  </si>
  <si>
    <t>ENEL FIN INTL NV 5.625 14/08/24 EMTN</t>
  </si>
  <si>
    <t>S00794724</t>
  </si>
  <si>
    <t>SCOTTISH &amp; SOUTH 5 01/10/18 EMTN</t>
  </si>
  <si>
    <t>S00797310</t>
  </si>
  <si>
    <t>BMW FINANCE NV 5 02/10/17 EMTN</t>
  </si>
  <si>
    <t>S00799630</t>
  </si>
  <si>
    <t>EDF NRG NET EPN 6.25 12/11/36 EMTN</t>
  </si>
  <si>
    <t>S00813104</t>
  </si>
  <si>
    <t>EDF ENERGY 6.375 12/11/31 EMTN</t>
  </si>
  <si>
    <t>S00813122</t>
  </si>
  <si>
    <t>BAA FUNDING LTD 6.75 03/12/26 EMTN</t>
  </si>
  <si>
    <t>S00818378</t>
  </si>
  <si>
    <t>MOTABILITY OPER 5.375 28/06/22 EMTN</t>
  </si>
  <si>
    <t>S00833691</t>
  </si>
  <si>
    <t>ESB FINANCE DAC 6.5 05/03/20 EMTN</t>
  </si>
  <si>
    <t>S00934779</t>
  </si>
  <si>
    <t>Ireland</t>
  </si>
  <si>
    <t>IE</t>
  </si>
  <si>
    <t>GO AHEAD GROUP 5.375 29/09/17</t>
  </si>
  <si>
    <t>S00865997</t>
  </si>
  <si>
    <t>WALES &amp; WEST 5.75 29/03/30</t>
  </si>
  <si>
    <t>S00870347</t>
  </si>
  <si>
    <t>DONG A/S 5.75 09/04/40 EMTN</t>
  </si>
  <si>
    <t>S00870669</t>
  </si>
  <si>
    <t>Denmark</t>
  </si>
  <si>
    <t>DK</t>
  </si>
  <si>
    <t>PORTERBROOK RAIL 6.5 20/10/20 EMTN</t>
  </si>
  <si>
    <t>S00898201</t>
  </si>
  <si>
    <t>Railroads</t>
  </si>
  <si>
    <t>AMERICA MOVIL SA 5.75 28/06/30</t>
  </si>
  <si>
    <t>S00901349</t>
  </si>
  <si>
    <t>Wireless</t>
  </si>
  <si>
    <t>Mexico</t>
  </si>
  <si>
    <t>MX</t>
  </si>
  <si>
    <t>GREAT ROLLING ST 6.875 27/07/35 EMTN</t>
  </si>
  <si>
    <t>S00910204</t>
  </si>
  <si>
    <t>GREAT ROLLING ST 6.25 27/07/20 EMTN</t>
  </si>
  <si>
    <t>S00910188</t>
  </si>
  <si>
    <t>JOHN LEWIS PLC 6.125 21/01/25</t>
  </si>
  <si>
    <t>S00926171</t>
  </si>
  <si>
    <t>TEMASEK FINL I 5.125 26/07/40 GMTN</t>
  </si>
  <si>
    <t>S00918135</t>
  </si>
  <si>
    <t>Singapore</t>
  </si>
  <si>
    <t>SG</t>
  </si>
  <si>
    <t>MOTABILITY OPER 5.625 29/11/30 EMTN</t>
  </si>
  <si>
    <t>S00955096</t>
  </si>
  <si>
    <t>BG ENERGY CAP 5.125 01/12/25 EMTN</t>
  </si>
  <si>
    <t>S00956951</t>
  </si>
  <si>
    <t>Energy</t>
  </si>
  <si>
    <t>Integrated Energy</t>
  </si>
  <si>
    <t>WEST PWR DISTR 6 09/05/25 EMTN</t>
  </si>
  <si>
    <t>S00959458</t>
  </si>
  <si>
    <t>CENTRAL NETWORKS 6.25 10/12/40 EMTN</t>
  </si>
  <si>
    <t>S00959538</t>
  </si>
  <si>
    <t>TOTAL CAPITAL 3.875 14/12/18 EMTN</t>
  </si>
  <si>
    <t>S00967314</t>
  </si>
  <si>
    <t>EXPERIAN FINANCE 4.75 23/11/18 EMTN</t>
  </si>
  <si>
    <t>S00971925</t>
  </si>
  <si>
    <t>THAMES WATER UTC 5.5 11/02/41 EMTN</t>
  </si>
  <si>
    <t>S00976233</t>
  </si>
  <si>
    <t>TOYOTA MTR CRED 4 07/12/17 EMTN</t>
  </si>
  <si>
    <t>S00978704</t>
  </si>
  <si>
    <t>Japan</t>
  </si>
  <si>
    <t>JP</t>
  </si>
  <si>
    <t>GATWICK FND LTD 6.5 02/03/41 EMTN</t>
  </si>
  <si>
    <t>S00979365</t>
  </si>
  <si>
    <t>BP CAPITAL PLC 4.325 10/12/18 EMTN</t>
  </si>
  <si>
    <t>S00982673</t>
  </si>
  <si>
    <t>IPIC GMTN LTD 6.875 14/03/26 EMTN</t>
  </si>
  <si>
    <t>S00984297</t>
  </si>
  <si>
    <t>BAA FUNDING LTD 5.875 13/05/41 EMTN</t>
  </si>
  <si>
    <t>S00998264</t>
  </si>
  <si>
    <t>WESTERN POWER 5.75 16/04/32 EMTN</t>
  </si>
  <si>
    <t>B4VRH62</t>
  </si>
  <si>
    <t>NEXT PLC 5.375 26/10/21</t>
  </si>
  <si>
    <t>B42DRZ8</t>
  </si>
  <si>
    <t>PORTERBROOK RAIL 5.5 20/04/19 EMTN</t>
  </si>
  <si>
    <t>B6785R0</t>
  </si>
  <si>
    <t>SPD FINANCE UK 5.875 17/07/26</t>
  </si>
  <si>
    <t>S01011844</t>
  </si>
  <si>
    <t>EDF NRG NET EPN 4.75 30/09/21 EMTN</t>
  </si>
  <si>
    <t>B5TZ709</t>
  </si>
  <si>
    <t>AMERICA MOVIL SA 5 27/10/26</t>
  </si>
  <si>
    <t>B41N3F1</t>
  </si>
  <si>
    <t>WALES &amp; WEST 5 07/03/28 EMTN</t>
  </si>
  <si>
    <t>B5BDN69</t>
  </si>
  <si>
    <t>WALES &amp; WEST 4.625 13/12/23 EMTN</t>
  </si>
  <si>
    <t>B6TV9M0</t>
  </si>
  <si>
    <t>ABP FINANCE PLC 6.25 14/12/26 EMTN</t>
  </si>
  <si>
    <t>B7581Q0</t>
  </si>
  <si>
    <t>DONG A/S 4.875 12/01/32 EMTN</t>
  </si>
  <si>
    <t>B6TN2Y9</t>
  </si>
  <si>
    <t>NORTHUMBRIAN WTR 5.125 23/01/42</t>
  </si>
  <si>
    <t>B7LNT65</t>
  </si>
  <si>
    <t>GATWICK FND LTD 5.25 23/01/24 EMTN</t>
  </si>
  <si>
    <t>B7LGMF4</t>
  </si>
  <si>
    <t>SEVERN TRENT FIN 4.875 24/01/42 EMTN</t>
  </si>
  <si>
    <t>B76KKW4</t>
  </si>
  <si>
    <t>CENTRICA PLC 4.375 13/03/29 EMTN</t>
  </si>
  <si>
    <t>B7KHK87</t>
  </si>
  <si>
    <t>EVERYTH EVERYWH 4.375 28/03/19 EMTN</t>
  </si>
  <si>
    <t>B707RN1</t>
  </si>
  <si>
    <t>ANGLIAN WAT FIN 4.5 05/10/27 EMTN</t>
  </si>
  <si>
    <t>B78F3W8</t>
  </si>
  <si>
    <t>GLENCORE FINANCE 6 03/04/22</t>
  </si>
  <si>
    <t>B7VNYD7</t>
  </si>
  <si>
    <t>AT&amp;T INC 4.875 01/06/44</t>
  </si>
  <si>
    <t>B8CHDW7</t>
  </si>
  <si>
    <t>DEUTSCH BAHN FIN 2.75 20/06/22 EMTN</t>
  </si>
  <si>
    <t>B80PXH8</t>
  </si>
  <si>
    <t>THAMES WATER UTC 4.625 04/06/46 EMTN</t>
  </si>
  <si>
    <t>B8BQJB6</t>
  </si>
  <si>
    <t>TFL 3.875 23/07/42 EMTN</t>
  </si>
  <si>
    <t>B7KSP41</t>
  </si>
  <si>
    <t>YORKS WATER BRAD 3.625 01/08/29 EMTN</t>
  </si>
  <si>
    <t>B8C36H1</t>
  </si>
  <si>
    <t>AMERICA MOVIL SA 4.375 07/08/41</t>
  </si>
  <si>
    <t>B8KQNB5</t>
  </si>
  <si>
    <t>TFL 2.25 09/08/22 EMTN</t>
  </si>
  <si>
    <t>B8FVGY9</t>
  </si>
  <si>
    <t>BHP BILLITON FIN 3.25 25/09/24 EMTN</t>
  </si>
  <si>
    <t>B87JY36</t>
  </si>
  <si>
    <t>Australia</t>
  </si>
  <si>
    <t>AU</t>
  </si>
  <si>
    <t>BHP BILLITON FIN 4.3 25/09/42 12</t>
  </si>
  <si>
    <t>B89KPJ0</t>
  </si>
  <si>
    <t>MET LIFE GLOB 3.5 30/09/26 GMTN</t>
  </si>
  <si>
    <t>B87DTJ9</t>
  </si>
  <si>
    <t>UNI OF CAMBRIDGE 3.75 17/10/52</t>
  </si>
  <si>
    <t>B86XFB4</t>
  </si>
  <si>
    <t>Other Industrial</t>
  </si>
  <si>
    <t>KFW 1 07/12/17</t>
  </si>
  <si>
    <t>B6YRLP0</t>
  </si>
  <si>
    <t>PEPSICO INC 2.5 01/11/22 EMTN</t>
  </si>
  <si>
    <t>B8C13S5</t>
  </si>
  <si>
    <t>FIRSTGROUP PLC 5.25 29/11/22</t>
  </si>
  <si>
    <t>B7QNPW8</t>
  </si>
  <si>
    <t>NESTLE FIN INTL 2.25 30/11/23 EMTN (UK)</t>
  </si>
  <si>
    <t>B908RK5</t>
  </si>
  <si>
    <t>GLAXOSMITHKLINE 3.375 20/12/27 EMTN</t>
  </si>
  <si>
    <t>B7J6F57</t>
  </si>
  <si>
    <t>GLAXOSMITHKLINE 4.25 18/12/45 EMTN</t>
  </si>
  <si>
    <t>B7NJHB2</t>
  </si>
  <si>
    <t>EUROPEAN INVT BK 1.375 15/01/18 EMTN</t>
  </si>
  <si>
    <t>B87BXL3</t>
  </si>
  <si>
    <t>MET LIFE GLOB 2.875 11/01/23 EMTN</t>
  </si>
  <si>
    <t>B8GN8N7</t>
  </si>
  <si>
    <t>SEVERN TRENT FIN 3.625 16/01/26 EMTN</t>
  </si>
  <si>
    <t>B984VQ9</t>
  </si>
  <si>
    <t>NETWRK RAIL INFR 1 07/12/17 EMTN</t>
  </si>
  <si>
    <t>B8XVRH1</t>
  </si>
  <si>
    <t>RENTENBANK 1 15/12/17 EMTN</t>
  </si>
  <si>
    <t>B7C7CR8</t>
  </si>
  <si>
    <t>L BANK FOERDERBK 0.875 15/12/17 EMTN</t>
  </si>
  <si>
    <t>B9MB627</t>
  </si>
  <si>
    <t>Foreign Local Govt</t>
  </si>
  <si>
    <t>NRW.BANK 0.875 15/12/17 524</t>
  </si>
  <si>
    <t>B94PZR5</t>
  </si>
  <si>
    <t>TFL 3.625 15/05/45 EMTN</t>
  </si>
  <si>
    <t>B6VGKK8</t>
  </si>
  <si>
    <t>ROLLS ROYCE PLC 3.375 18/06/26 EMTN</t>
  </si>
  <si>
    <t>BBNBL70</t>
  </si>
  <si>
    <t>UNIV OF MANCHEST 4.25 04/07/53</t>
  </si>
  <si>
    <t>BBX4JM0</t>
  </si>
  <si>
    <t>DEUTSCH BAHN FIN 3.125 24/07/26 EMTN</t>
  </si>
  <si>
    <t>BCDBXQ0</t>
  </si>
  <si>
    <t>VOLKSWAGEN FIN 1.75 21/08/17 EMTN</t>
  </si>
  <si>
    <t>BD007R6</t>
  </si>
  <si>
    <t>TFL 4 12/09/33 EMTN</t>
  </si>
  <si>
    <t>BCZS7L2</t>
  </si>
  <si>
    <t>INT BK RECON&amp;DEV 1.25 02/10/17 EMTN</t>
  </si>
  <si>
    <t>BF5SS32</t>
  </si>
  <si>
    <t>NEXT PLC 4.375 02/10/26</t>
  </si>
  <si>
    <t>BFCB759</t>
  </si>
  <si>
    <t>HEATHROW FNDG 4.625 31/10/46</t>
  </si>
  <si>
    <t>BG0QMX6</t>
  </si>
  <si>
    <t>DAIMLER AG 1.75 08/11/17 EMTN</t>
  </si>
  <si>
    <t>BG6M078</t>
  </si>
  <si>
    <t>INTERAMER DEV BK 1.25 15/12/17 GDIF</t>
  </si>
  <si>
    <t>BGH14G1</t>
  </si>
  <si>
    <t>IBM CORP 2.75 21/12/20 EMTN</t>
  </si>
  <si>
    <t>BGLCYS2</t>
  </si>
  <si>
    <t>Technology</t>
  </si>
  <si>
    <t>DAIMLER AG 2.375 16/07/18 EMTN</t>
  </si>
  <si>
    <t>BJ0KDW5</t>
  </si>
  <si>
    <t>VOLKSWAGEN FIN 2.625 22/07/19 EMTN</t>
  </si>
  <si>
    <t>BJ2SH03</t>
  </si>
  <si>
    <t>EXPORT DEV CAN 1.875 17/12/18 EMTN</t>
  </si>
  <si>
    <t>BJ59714</t>
  </si>
  <si>
    <t>Canada</t>
  </si>
  <si>
    <t>CA</t>
  </si>
  <si>
    <t>COUNCIL OF EUROP 1.875 22/12/18 EMTN</t>
  </si>
  <si>
    <t>BJMZGF2</t>
  </si>
  <si>
    <t>AA+</t>
  </si>
  <si>
    <t>VERIZON COMM INC 4.75 17/02/34 EMTN</t>
  </si>
  <si>
    <t>BJT2T79</t>
  </si>
  <si>
    <t>EXPERIAN FINANCE 3.5 15/10/21 EMTN</t>
  </si>
  <si>
    <t>BJSPFP9</t>
  </si>
  <si>
    <t>SWEDISH EXP CRED 1.875 21/12/18 EMTN</t>
  </si>
  <si>
    <t>BJT0F42</t>
  </si>
  <si>
    <t>MANCHESTER AGF 4.75 31/03/34 EMTN</t>
  </si>
  <si>
    <t>BJTMRG4</t>
  </si>
  <si>
    <t>TFL 4 07/04/64 EMTN</t>
  </si>
  <si>
    <t>BKRTYB8</t>
  </si>
  <si>
    <t>GATWICK FND LTD 4.625 27/03/34 EMTN</t>
  </si>
  <si>
    <t>BKXNHR1</t>
  </si>
  <si>
    <t>PORTERBROOK RAIL 4.625 04/04/29 EMTN</t>
  </si>
  <si>
    <t>BLG2TM1</t>
  </si>
  <si>
    <t>MANCHESTER AGF 4.125 02/04/24 EMTN</t>
  </si>
  <si>
    <t>BLMQBB0</t>
  </si>
  <si>
    <t>FCE BANK PLC 2.625 20/11/18 EMTN</t>
  </si>
  <si>
    <t>BMMVG28</t>
  </si>
  <si>
    <t>BUPA FINANCE 3.375 17/06/21</t>
  </si>
  <si>
    <t>BNB6YV6</t>
  </si>
  <si>
    <t>DAIMLER AG 2.75 04/12/20 EMTN</t>
  </si>
  <si>
    <t>BN79J25</t>
  </si>
  <si>
    <t>NED WATERSCHAPBK 2 28/12/18 EMTN</t>
  </si>
  <si>
    <t>BNBPK48</t>
  </si>
  <si>
    <t>COMPASS GROUP 3.85 26/06/26 EMTN</t>
  </si>
  <si>
    <t>BNFWS85</t>
  </si>
  <si>
    <t>MOTABILITY OPS 3.75 16/07/26 EMTN</t>
  </si>
  <si>
    <t>BP8G2P3</t>
  </si>
  <si>
    <t>SHELL INTL FIN 2 20/12/19 EMTN</t>
  </si>
  <si>
    <t>BSJCBH6</t>
  </si>
  <si>
    <t>JOHN LEWIS 4.25 18/12/34</t>
  </si>
  <si>
    <t>BSZM1H0</t>
  </si>
  <si>
    <t>GUERNSEY (GOVT) 3.375 12/12/46</t>
  </si>
  <si>
    <t>BTDY3C4</t>
  </si>
  <si>
    <t>Guernsey</t>
  </si>
  <si>
    <t>GG</t>
  </si>
  <si>
    <t>BASF SE 1.375 15/12/17 EMTN</t>
  </si>
  <si>
    <t>BSQXQJ9</t>
  </si>
  <si>
    <t>DAIMLER AG 1.25 01/12/17 EMTN</t>
  </si>
  <si>
    <t>BVB3888</t>
  </si>
  <si>
    <t>PRUDENTIAL PLC 1.375 19/01/18 EMTN</t>
  </si>
  <si>
    <t>BVC3VB1</t>
  </si>
  <si>
    <t>NED WATERSCHAPBK 0.875 07/03/18 EMTN</t>
  </si>
  <si>
    <t>BWTN5J7</t>
  </si>
  <si>
    <t>WHITBREAD GROUP 3.375 16/10/25</t>
  </si>
  <si>
    <t>BWVFXN1</t>
  </si>
  <si>
    <t>Lodging</t>
  </si>
  <si>
    <t>PACCAR FINANCIAL 1.513 29/05/18 EMTN</t>
  </si>
  <si>
    <t>BY2ZMV5</t>
  </si>
  <si>
    <t>BMW FINANCE NV 1.875 29/06/20 EMTN</t>
  </si>
  <si>
    <t>BY4K445</t>
  </si>
  <si>
    <t>UNI OF LIVERPOOL 3.375 25/06/55</t>
  </si>
  <si>
    <t>BYPBMX2</t>
  </si>
  <si>
    <t>NESTLE HOLDINGS 1.75 09/12/20 EMTN</t>
  </si>
  <si>
    <t>BY7S0K4</t>
  </si>
  <si>
    <t>CARDIFF UNI 3 07/12/55</t>
  </si>
  <si>
    <t>BYMM829</t>
  </si>
  <si>
    <t>NORDIC INVST BNK 1 07/03/19 EMTN</t>
  </si>
  <si>
    <t>BZ82Y22</t>
  </si>
  <si>
    <t>DAIMLER AG 2.125 07/06/22 EMTN</t>
  </si>
  <si>
    <t>BYZX5Y0</t>
  </si>
  <si>
    <t>BROWN FORMAN 2.6 07/07/28</t>
  </si>
  <si>
    <t>BD9X271</t>
  </si>
  <si>
    <t>AFFINITY WAT FIN 3.278 22/08/42 EMTN</t>
  </si>
  <si>
    <t>S01905316</t>
  </si>
  <si>
    <t>HENKEL AG &amp; CO 0.875 13/09/22 EMTN</t>
  </si>
  <si>
    <t>BYY5G99</t>
  </si>
  <si>
    <t>CADENT FINANCE P 1.125 22/09/21 EMTN</t>
  </si>
  <si>
    <t>BD87Z53</t>
  </si>
  <si>
    <t>CADENT FINANCE P 2.125 22/09/28 EMTN</t>
  </si>
  <si>
    <t>BD8C5V4</t>
  </si>
  <si>
    <t>CADENT FINANCE P 2.625 22/09/38 EMTN</t>
  </si>
  <si>
    <t>BD8C5T2</t>
  </si>
  <si>
    <t>BABCOCK INTL GRP 1.875 05/10/26 EMTN</t>
  </si>
  <si>
    <t>BYX4LY7</t>
  </si>
  <si>
    <t>THAMES WATER UTC 7.738 09/04/58 EMTN</t>
  </si>
  <si>
    <t>BYV25S5</t>
  </si>
  <si>
    <t>BASF SE 1.75 11/03/25 EMTN</t>
  </si>
  <si>
    <t>BD766G9</t>
  </si>
  <si>
    <t>UNILEVER PLC 1.125 03/02/22 EMTN</t>
  </si>
  <si>
    <t>BYMVCS0</t>
  </si>
  <si>
    <t>MCKESSON CORP 3.125 17/02/29</t>
  </si>
  <si>
    <t>BYWC573</t>
  </si>
  <si>
    <t>Health Care</t>
  </si>
  <si>
    <t>VERIZON COMM INC 4.073 18/06/24</t>
  </si>
  <si>
    <t>BD0YTZ0</t>
  </si>
  <si>
    <t>NEW YORK LIFE GL 1 15/12/21 GMTN</t>
  </si>
  <si>
    <t>BD3J888</t>
  </si>
  <si>
    <t>PROCTER &amp; GAMBLE 1.8 03/05/29</t>
  </si>
  <si>
    <t>BYPFN19</t>
  </si>
  <si>
    <t>AT&amp;T INC 3.55 14/09/37</t>
  </si>
  <si>
    <t>S02128879</t>
  </si>
  <si>
    <t>NR</t>
  </si>
  <si>
    <t>COMPASS GROUP 2 03/07/29 EMTN</t>
  </si>
  <si>
    <t>BD5HD41</t>
  </si>
  <si>
    <t>GO AHEAD GROUP 2.5 06/07/24</t>
  </si>
  <si>
    <t>BF2BL80</t>
  </si>
  <si>
    <t>CASH GBP</t>
  </si>
  <si>
    <t>NotBondSinature</t>
  </si>
  <si>
    <t>XDAC GBP</t>
  </si>
  <si>
    <t>Entitlement Accruals</t>
  </si>
  <si>
    <t>Pound Sterling</t>
  </si>
  <si>
    <t>Cayman islands</t>
  </si>
  <si>
    <t>Others</t>
  </si>
  <si>
    <t>United kingdom</t>
  </si>
  <si>
    <t>UK</t>
  </si>
  <si>
    <t>Western Europe</t>
  </si>
  <si>
    <t>Water</t>
  </si>
  <si>
    <t>1st lien</t>
  </si>
  <si>
    <t>2042-08-22</t>
  </si>
  <si>
    <t>24_25</t>
  </si>
  <si>
    <t>A3</t>
  </si>
  <si>
    <t>na</t>
  </si>
  <si>
    <t>IG</t>
  </si>
  <si>
    <t>Europe Core</t>
  </si>
  <si>
    <t>Consumer, Non-cyclical</t>
  </si>
  <si>
    <t>Household Products/Wares</t>
  </si>
  <si>
    <t>Soap&amp;Cleaning Prepar</t>
  </si>
  <si>
    <t>Sr Unsecured</t>
  </si>
  <si>
    <t>2022-09-13</t>
  </si>
  <si>
    <t>04_05</t>
  </si>
  <si>
    <t>A2</t>
  </si>
  <si>
    <t>2058-09-04</t>
  </si>
  <si>
    <t>GT30</t>
  </si>
  <si>
    <t>Basic Materials</t>
  </si>
  <si>
    <t>Chemicals-Diversified</t>
  </si>
  <si>
    <t>2025-11-03</t>
  </si>
  <si>
    <t>07_08</t>
  </si>
  <si>
    <t>A1</t>
  </si>
  <si>
    <t>Cosmetics/Personal Care</t>
  </si>
  <si>
    <t>Cosmetics&amp;Toiletries</t>
  </si>
  <si>
    <t>2022-03-02</t>
  </si>
  <si>
    <t>Telephone-Integrated</t>
  </si>
  <si>
    <t>2020-10-11</t>
  </si>
  <si>
    <t>02_03</t>
  </si>
  <si>
    <t>Baa1</t>
  </si>
  <si>
    <t>2034-01-23</t>
  </si>
  <si>
    <t>16_17</t>
  </si>
  <si>
    <t>2037-10-29</t>
  </si>
  <si>
    <t>19_20</t>
  </si>
  <si>
    <t>Electric-Integrated</t>
  </si>
  <si>
    <t>2028-10-30</t>
  </si>
  <si>
    <t>10_11</t>
  </si>
  <si>
    <t>Electric-Generation</t>
  </si>
  <si>
    <t>2034-02-06</t>
  </si>
  <si>
    <t>2050-09-22</t>
  </si>
  <si>
    <t>2060-01-10</t>
  </si>
  <si>
    <t>2041-10-17</t>
  </si>
  <si>
    <t>23_24</t>
  </si>
  <si>
    <t>2030-02-12</t>
  </si>
  <si>
    <t>12_13</t>
  </si>
  <si>
    <t>Consumer, Cyclical</t>
  </si>
  <si>
    <t>Apparel</t>
  </si>
  <si>
    <t>Textile-Apparel</t>
  </si>
  <si>
    <t>2017-12-20</t>
  </si>
  <si>
    <t>00_01</t>
  </si>
  <si>
    <t>Industrial</t>
  </si>
  <si>
    <t>Transport-Services</t>
  </si>
  <si>
    <t>2018-08-14</t>
  </si>
  <si>
    <t>Baa2</t>
  </si>
  <si>
    <t>Eastern Europe</t>
  </si>
  <si>
    <t>Government</t>
  </si>
  <si>
    <t>Multi-National</t>
  </si>
  <si>
    <t>Supranational Bank</t>
  </si>
  <si>
    <t>2017-08-25</t>
  </si>
  <si>
    <t>QS</t>
  </si>
  <si>
    <t>Aaa</t>
  </si>
  <si>
    <t>Electric-Distribution</t>
  </si>
  <si>
    <t>2025-03-31</t>
  </si>
  <si>
    <t>2026-03-25</t>
  </si>
  <si>
    <t>08_09</t>
  </si>
  <si>
    <t>2020-09-11</t>
  </si>
  <si>
    <t>WD</t>
  </si>
  <si>
    <t>2023-06-02</t>
  </si>
  <si>
    <t>05_06</t>
  </si>
  <si>
    <t>2028-07-12</t>
  </si>
  <si>
    <t>2023-05-29</t>
  </si>
  <si>
    <t>2023-08-21</t>
  </si>
  <si>
    <t>2028-11-16</t>
  </si>
  <si>
    <t>United states</t>
  </si>
  <si>
    <t>North America</t>
  </si>
  <si>
    <t>USA &amp; Canada</t>
  </si>
  <si>
    <t>Miscellaneous Manufactur</t>
  </si>
  <si>
    <t>Diversified Manufact Op</t>
  </si>
  <si>
    <t>2021-07-06</t>
  </si>
  <si>
    <t>03_04</t>
  </si>
  <si>
    <t>Financial</t>
  </si>
  <si>
    <t>Banks</t>
  </si>
  <si>
    <t>Special Purpose Banks</t>
  </si>
  <si>
    <t>Sovereign Agency</t>
  </si>
  <si>
    <t>Aa1</t>
  </si>
  <si>
    <t>2038-07-12</t>
  </si>
  <si>
    <t>20_21</t>
  </si>
  <si>
    <t>2039-04-15</t>
  </si>
  <si>
    <t>21_22</t>
  </si>
  <si>
    <t>Life/Health Insurance</t>
  </si>
  <si>
    <t>2029-11-05</t>
  </si>
  <si>
    <t>11_12</t>
  </si>
  <si>
    <t>2029-07-06</t>
  </si>
  <si>
    <t>FI</t>
  </si>
  <si>
    <t>Finland</t>
  </si>
  <si>
    <t>Northern Europe</t>
  </si>
  <si>
    <t>2019-11-26</t>
  </si>
  <si>
    <t>01_02</t>
  </si>
  <si>
    <t>2019-01-18</t>
  </si>
  <si>
    <t>2030-01-31</t>
  </si>
  <si>
    <t>Aa3</t>
  </si>
  <si>
    <t>2032-09-02</t>
  </si>
  <si>
    <t>14_15</t>
  </si>
  <si>
    <t>BBB-</t>
  </si>
  <si>
    <t>2020-07-04</t>
  </si>
  <si>
    <t>2032-07-06</t>
  </si>
  <si>
    <t>Latin America &amp; the Carribean</t>
  </si>
  <si>
    <t>Secured</t>
  </si>
  <si>
    <t>2020-05-10</t>
  </si>
  <si>
    <t>Retail</t>
  </si>
  <si>
    <t>Retail-Discount</t>
  </si>
  <si>
    <t>2030-12-19</t>
  </si>
  <si>
    <t>Aa2</t>
  </si>
  <si>
    <t>2021-04-20</t>
  </si>
  <si>
    <t>2028-03-31</t>
  </si>
  <si>
    <t>2021-03-31</t>
  </si>
  <si>
    <t>2036-09-06</t>
  </si>
  <si>
    <t>18_19</t>
  </si>
  <si>
    <t>Medical-Drugs</t>
  </si>
  <si>
    <t>2033-12-19</t>
  </si>
  <si>
    <t>15_16</t>
  </si>
  <si>
    <t>2030-03-06</t>
  </si>
  <si>
    <t>2051-07-03</t>
  </si>
  <si>
    <t>2030-07-30</t>
  </si>
  <si>
    <t>2031-09-16</t>
  </si>
  <si>
    <t>13_14</t>
  </si>
  <si>
    <t>2033-01-19</t>
  </si>
  <si>
    <t>2027-12-20</t>
  </si>
  <si>
    <t>09_10</t>
  </si>
  <si>
    <t>2033-04-29</t>
  </si>
  <si>
    <t>2018-05-14</t>
  </si>
  <si>
    <t>2026-05-06</t>
  </si>
  <si>
    <t>2023-06-12</t>
  </si>
  <si>
    <t>2029-03-31</t>
  </si>
  <si>
    <t>2026-03-31</t>
  </si>
  <si>
    <t>2033-10-14</t>
  </si>
  <si>
    <t>Agriculture</t>
  </si>
  <si>
    <t>2019-12-12</t>
  </si>
  <si>
    <t>2024-08-03</t>
  </si>
  <si>
    <t>06_07</t>
  </si>
  <si>
    <t>Commercial Services</t>
  </si>
  <si>
    <t>Public Thoroughfares</t>
  </si>
  <si>
    <t>2022-09-06</t>
  </si>
  <si>
    <t>2026-07-13</t>
  </si>
  <si>
    <t>2029-03-29</t>
  </si>
  <si>
    <t>2035-09-28</t>
  </si>
  <si>
    <t>17_18</t>
  </si>
  <si>
    <t>Transport-Rail</t>
  </si>
  <si>
    <t>2035-11-29</t>
  </si>
  <si>
    <t>Multi-line Insurance</t>
  </si>
  <si>
    <t>2024-09-12</t>
  </si>
  <si>
    <t>2024-01-22</t>
  </si>
  <si>
    <t>2028-10-03</t>
  </si>
  <si>
    <t>2035-04-05</t>
  </si>
  <si>
    <t>2020-07-21</t>
  </si>
  <si>
    <t>Gas</t>
  </si>
  <si>
    <t>Gas-Distribution</t>
  </si>
  <si>
    <t>2029-03-21</t>
  </si>
  <si>
    <t>2027-06-30</t>
  </si>
  <si>
    <t>2035-11-15</t>
  </si>
  <si>
    <t>2025-05-12</t>
  </si>
  <si>
    <t>2023-04-26</t>
  </si>
  <si>
    <t>2018-05-23</t>
  </si>
  <si>
    <t>2052-03-31</t>
  </si>
  <si>
    <t>2057-03-31</t>
  </si>
  <si>
    <t>CH</t>
  </si>
  <si>
    <t>Switzerland</t>
  </si>
  <si>
    <t>Mining</t>
  </si>
  <si>
    <t>Metal-Diversified</t>
  </si>
  <si>
    <t>2019-02-27</t>
  </si>
  <si>
    <t>2027-03-15</t>
  </si>
  <si>
    <t>2042-10-04</t>
  </si>
  <si>
    <t>Industrial Gases</t>
  </si>
  <si>
    <t>2023-04-24</t>
  </si>
  <si>
    <t>2019-06-20</t>
  </si>
  <si>
    <t>2019-10-30</t>
  </si>
  <si>
    <t>2024-06-11</t>
  </si>
  <si>
    <t>2039-09-03</t>
  </si>
  <si>
    <t>2040-05-15</t>
  </si>
  <si>
    <t>22_23</t>
  </si>
  <si>
    <t>Engineering&amp;Construction</t>
  </si>
  <si>
    <t>Airport Develop/Maint</t>
  </si>
  <si>
    <t>2031-10-12</t>
  </si>
  <si>
    <t>2023-02-15</t>
  </si>
  <si>
    <t>2033-09-19</t>
  </si>
  <si>
    <t>2028-11-20</t>
  </si>
  <si>
    <t>2028-11-27</t>
  </si>
  <si>
    <t>Electric-Transmission</t>
  </si>
  <si>
    <t>2031-01-13</t>
  </si>
  <si>
    <t>2039-01-27</t>
  </si>
  <si>
    <t>2019-03-31</t>
  </si>
  <si>
    <t>Oil&amp;Gas</t>
  </si>
  <si>
    <t>Oil Comp-Integrated</t>
  </si>
  <si>
    <t>2031-11-03</t>
  </si>
  <si>
    <t>2022-08-04</t>
  </si>
  <si>
    <t>2019-04-30</t>
  </si>
  <si>
    <t>2040-04-30</t>
  </si>
  <si>
    <t>2038-03-06</t>
  </si>
  <si>
    <t>2017-07-12</t>
  </si>
  <si>
    <t>2022-06-29</t>
  </si>
  <si>
    <t>RWE</t>
  </si>
  <si>
    <t>2039-06-07</t>
  </si>
  <si>
    <t>2023-02-21</t>
  </si>
  <si>
    <t>2027-05-28</t>
  </si>
  <si>
    <t>2019-08-21</t>
  </si>
  <si>
    <t>2040-09-14</t>
  </si>
  <si>
    <t>2024-08-14</t>
  </si>
  <si>
    <t>2018-01-10</t>
  </si>
  <si>
    <t>Auto Manufacturers</t>
  </si>
  <si>
    <t>Auto-Cars/Light Trucks</t>
  </si>
  <si>
    <t>2017-02-10</t>
  </si>
  <si>
    <t>2036-12-11</t>
  </si>
  <si>
    <t>2031-12-11</t>
  </si>
  <si>
    <t>2026-03-12</t>
  </si>
  <si>
    <t>2028-03-12</t>
  </si>
  <si>
    <t>Holding Companies-Divers</t>
  </si>
  <si>
    <t>Diversified Operations</t>
  </si>
  <si>
    <t>2022-06-28</t>
  </si>
  <si>
    <t>Peripheral Europe</t>
  </si>
  <si>
    <t>2020-05-03</t>
  </si>
  <si>
    <t>2017-09-29</t>
  </si>
  <si>
    <t>Baa3</t>
  </si>
  <si>
    <t>2030-03-29</t>
  </si>
  <si>
    <t>2040-09-04</t>
  </si>
  <si>
    <t>2020-10-20</t>
  </si>
  <si>
    <t>Cellular Telecom</t>
  </si>
  <si>
    <t>2030-06-28</t>
  </si>
  <si>
    <t>2035-07-27</t>
  </si>
  <si>
    <t>2020-07-27</t>
  </si>
  <si>
    <t>Retail-Major Dept Store</t>
  </si>
  <si>
    <t>2025-01-21</t>
  </si>
  <si>
    <t>Asia</t>
  </si>
  <si>
    <t>2040-07-26</t>
  </si>
  <si>
    <t>2030-11-29</t>
  </si>
  <si>
    <t>2025-01-12</t>
  </si>
  <si>
    <t>WR</t>
  </si>
  <si>
    <t>2025-09-05</t>
  </si>
  <si>
    <t>2040-10-12</t>
  </si>
  <si>
    <t>2018-12-14</t>
  </si>
  <si>
    <t>Commercial Serv-Finance</t>
  </si>
  <si>
    <t>2018-11-23</t>
  </si>
  <si>
    <t>2041-11-02</t>
  </si>
  <si>
    <t>2041-02-03</t>
  </si>
  <si>
    <t>2043-02-03</t>
  </si>
  <si>
    <t>25_26</t>
  </si>
  <si>
    <t>2018-10-12</t>
  </si>
  <si>
    <t>AE</t>
  </si>
  <si>
    <t>United arab emirates</t>
  </si>
  <si>
    <t>Africa &amp; Middle East</t>
  </si>
  <si>
    <t>2026-03-14</t>
  </si>
  <si>
    <t>2041-05-13</t>
  </si>
  <si>
    <t>2043-05-13</t>
  </si>
  <si>
    <t>2032-04-16</t>
  </si>
  <si>
    <t>Retail-Apparel/Shoe</t>
  </si>
  <si>
    <t>2021-10-26</t>
  </si>
  <si>
    <t>2019-04-20</t>
  </si>
  <si>
    <t>2026-07-17</t>
  </si>
  <si>
    <t>2021-09-30</t>
  </si>
  <si>
    <t>2026-10-27</t>
  </si>
  <si>
    <t>2028-07-03</t>
  </si>
  <si>
    <t>2023-12-13</t>
  </si>
  <si>
    <t>Whsing&amp;Harbor Trans Serv</t>
  </si>
  <si>
    <t>2026-12-14</t>
  </si>
  <si>
    <t>2032-12-01</t>
  </si>
  <si>
    <t>2042-01-23</t>
  </si>
  <si>
    <t>2024-01-23</t>
  </si>
  <si>
    <t>2026-01-23</t>
  </si>
  <si>
    <t>2042-01-24</t>
  </si>
  <si>
    <t>2029-03-13</t>
  </si>
  <si>
    <t>2019-03-28</t>
  </si>
  <si>
    <t>2027-05-10</t>
  </si>
  <si>
    <t>2022-03-04</t>
  </si>
  <si>
    <t>2044-01-06</t>
  </si>
  <si>
    <t>26_27</t>
  </si>
  <si>
    <t>2022-06-20</t>
  </si>
  <si>
    <t>2046-04-06</t>
  </si>
  <si>
    <t>28_29</t>
  </si>
  <si>
    <t>Regional(state/provnc)</t>
  </si>
  <si>
    <t>Regional Authority</t>
  </si>
  <si>
    <t>2042-07-23</t>
  </si>
  <si>
    <t>2029-01-08</t>
  </si>
  <si>
    <t>2041-07-08</t>
  </si>
  <si>
    <t>2022-09-08</t>
  </si>
  <si>
    <t>Diversified Minerals</t>
  </si>
  <si>
    <t>2024-09-25</t>
  </si>
  <si>
    <t>2042-09-25</t>
  </si>
  <si>
    <t>2026-09-30</t>
  </si>
  <si>
    <t>Schools</t>
  </si>
  <si>
    <t>2052-10-17</t>
  </si>
  <si>
    <t>Beverages</t>
  </si>
  <si>
    <t>Beverages-Non-alcoholic</t>
  </si>
  <si>
    <t>2022-01-11</t>
  </si>
  <si>
    <t>2022-11-29</t>
  </si>
  <si>
    <t>Food</t>
  </si>
  <si>
    <t>Food-Misc/Diversified</t>
  </si>
  <si>
    <t>2023-11-30</t>
  </si>
  <si>
    <t>2045-12-18</t>
  </si>
  <si>
    <t>27_28</t>
  </si>
  <si>
    <t>2018-01-15</t>
  </si>
  <si>
    <t>2023-11-01</t>
  </si>
  <si>
    <t>2026-01-16</t>
  </si>
  <si>
    <t>2017-12-15</t>
  </si>
  <si>
    <t>2045-05-15</t>
  </si>
  <si>
    <t>2026-06-18</t>
  </si>
  <si>
    <t>2053-04-07</t>
  </si>
  <si>
    <t>2026-07-24</t>
  </si>
  <si>
    <t>2017-08-21</t>
  </si>
  <si>
    <t>2033-12-09</t>
  </si>
  <si>
    <t>2026-02-10</t>
  </si>
  <si>
    <t>2046-10-31</t>
  </si>
  <si>
    <t>2017-08-11</t>
  </si>
  <si>
    <t>Computers</t>
  </si>
  <si>
    <t>Computer Services</t>
  </si>
  <si>
    <t>2020-12-21</t>
  </si>
  <si>
    <t>2018-07-16</t>
  </si>
  <si>
    <t>2019-07-22</t>
  </si>
  <si>
    <t>2018-12-17</t>
  </si>
  <si>
    <t>2018-12-22</t>
  </si>
  <si>
    <t>2034-02-17</t>
  </si>
  <si>
    <t>2021-10-15</t>
  </si>
  <si>
    <t>Export/Import Bank</t>
  </si>
  <si>
    <t>2018-12-21</t>
  </si>
  <si>
    <t>Airlines</t>
  </si>
  <si>
    <t>2034-03-31</t>
  </si>
  <si>
    <t>2064-07-04</t>
  </si>
  <si>
    <t>2034-03-27</t>
  </si>
  <si>
    <t>2036-03-27</t>
  </si>
  <si>
    <t>2029-04-04</t>
  </si>
  <si>
    <t>2024-02-04</t>
  </si>
  <si>
    <t>2018-11-20</t>
  </si>
  <si>
    <t>BUPA</t>
  </si>
  <si>
    <t>Healthcare-Services</t>
  </si>
  <si>
    <t>Medical-HMO</t>
  </si>
  <si>
    <t>2021-06-17</t>
  </si>
  <si>
    <t>2020-04-12</t>
  </si>
  <si>
    <t>2018-12-28</t>
  </si>
  <si>
    <t>Food Service</t>
  </si>
  <si>
    <t>Food-Catering</t>
  </si>
  <si>
    <t>2026-06-26</t>
  </si>
  <si>
    <t>2026-07-16</t>
  </si>
  <si>
    <t>2019-12-20</t>
  </si>
  <si>
    <t>2034-12-18</t>
  </si>
  <si>
    <t>2046-12-12</t>
  </si>
  <si>
    <t>2017-01-12</t>
  </si>
  <si>
    <t>2018-01-19</t>
  </si>
  <si>
    <t>2018-07-03</t>
  </si>
  <si>
    <t>Hotels&amp;Motels</t>
  </si>
  <si>
    <t>2025-10-16</t>
  </si>
  <si>
    <t>Auto-Med&amp;Heavy Duty Trks</t>
  </si>
  <si>
    <t>2018-05-29</t>
  </si>
  <si>
    <t>2020-06-29</t>
  </si>
  <si>
    <t>2055-06-25</t>
  </si>
  <si>
    <t>2020-09-12</t>
  </si>
  <si>
    <t>2055-07-12</t>
  </si>
  <si>
    <t>2019-07-03</t>
  </si>
  <si>
    <t>2022-07-06</t>
  </si>
  <si>
    <t>Beverages-Wine/Spirits</t>
  </si>
  <si>
    <t>2028-07-07</t>
  </si>
  <si>
    <t>2021-09-22</t>
  </si>
  <si>
    <t>2028-09-22</t>
  </si>
  <si>
    <t>2038-09-22</t>
  </si>
  <si>
    <t>Building Materials</t>
  </si>
  <si>
    <t>Building-Maint&amp;Service</t>
  </si>
  <si>
    <t>2026-05-10</t>
  </si>
  <si>
    <t>2024-06-18</t>
  </si>
  <si>
    <t>Mutual Insurance</t>
  </si>
  <si>
    <t>2021-12-15</t>
  </si>
  <si>
    <t>2029-03-05</t>
  </si>
  <si>
    <t>2022-06-14</t>
  </si>
  <si>
    <t>2037-09-14</t>
  </si>
  <si>
    <t>2029-07-03</t>
  </si>
  <si>
    <t>2024-06-07</t>
  </si>
  <si>
    <t>Medical-Whsle Drug Dist</t>
  </si>
  <si>
    <t>2029-02-17</t>
  </si>
  <si>
    <t>Brewery</t>
  </si>
  <si>
    <t>2024-07-30</t>
  </si>
  <si>
    <t>2025-09-24</t>
  </si>
  <si>
    <t>2025-10-09</t>
  </si>
  <si>
    <t>2042-10-09</t>
  </si>
  <si>
    <t>2043-03-13</t>
  </si>
  <si>
    <t>2019-11-20</t>
  </si>
  <si>
    <t>EUR Sovereign (Key Rates)</t>
  </si>
  <si>
    <t>EUR Swap (Key Rates)</t>
  </si>
  <si>
    <t>GBP Sovereign (Key Rates)</t>
  </si>
  <si>
    <t>GBP Swap (Key Rates)</t>
  </si>
  <si>
    <t>USD Sovereign (Key Rates)</t>
  </si>
  <si>
    <t>USD Swap (Key Rates)</t>
  </si>
  <si>
    <t>2519 - PMC ACTIVE GBP CREDIT ALL STOCKS FUND</t>
  </si>
  <si>
    <t>Buy and Maintain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</si>
</sst>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_-;\-* #,##0.00_-;_-* &quot;-&quot;??_-;_-@_-"/>
    <numFmt numFmtId="164" formatCode="dd\ mmmm\ yyyy"/>
    <numFmt numFmtId="165" formatCode="_-[$€-2]* #,##0.00_-;\-[$€-2]* #,##0.00_-;_-[$€-2]* &quot;-&quot;??_-"/>
    <numFmt numFmtId="166" formatCode="0.0000%"/>
    <numFmt numFmtId="167" formatCode="0.00000%"/>
    <numFmt numFmtId="168" formatCode="#,##0.0000_ ;[Red]\-#,##0.0000\ "/>
  </numFmts>
  <fonts count="6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Garamond Book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10"/>
      <color indexed="0"/>
      <name val="Tahoma"/>
      <family val="2"/>
    </font>
    <font>
      <sz val="11"/>
      <color indexed="10"/>
      <name val="Calibri"/>
      <family val="2"/>
    </font>
    <font>
      <sz val="10"/>
      <color indexed="0"/>
      <name val="Tahoma"/>
      <family val="2"/>
    </font>
    <font>
      <b/>
      <sz val="10"/>
      <color indexed="27"/>
      <name val="Tahoma"/>
      <family val="2"/>
    </font>
    <font>
      <b/>
      <sz val="10"/>
      <color indexed="62"/>
      <name val="Calibri"/>
      <family val="2"/>
    </font>
    <font>
      <sz val="30"/>
      <color indexed="30"/>
      <name val="Calibri"/>
      <family val="2"/>
    </font>
    <font>
      <sz val="18"/>
      <color indexed="62"/>
      <name val="Calibri"/>
      <family val="2"/>
    </font>
    <font>
      <b/>
      <sz val="10"/>
      <name val="Calibri"/>
      <family val="2"/>
    </font>
    <font>
      <b/>
      <sz val="10"/>
      <color indexed="53"/>
      <name val="Calibri"/>
      <family val="2"/>
    </font>
    <font>
      <b/>
      <sz val="10"/>
      <color indexed="56"/>
      <name val="Calibri"/>
      <family val="2"/>
    </font>
    <font>
      <sz val="30"/>
      <color indexed="53"/>
      <name val="Calibri"/>
      <family val="2"/>
    </font>
    <font>
      <sz val="18"/>
      <color indexed="53"/>
      <name val="Calibri"/>
      <family val="2"/>
    </font>
    <font>
      <sz val="8"/>
      <name val="Arial"/>
      <family val="2"/>
    </font>
    <font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sz val="11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1"/>
      <color indexed="8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i/>
      <sz val="11"/>
      <color theme="0" tint="-0.249977111117893"/>
      <name val="Calibri"/>
      <family val="2"/>
      <scheme val="minor"/>
    </font>
    <font>
      <sz val="8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"/>
      </patternFill>
    </fill>
    <fill>
      <patternFill patternType="solid">
        <fgColor indexed="1"/>
      </patternFill>
    </fill>
    <fill>
      <patternFill patternType="solid">
        <fgColor indexed="2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ADDB7B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CE6F1"/>
        <bgColor theme="4" tint="0.79998168889431442"/>
      </patternFill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6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24"/>
      </right>
      <top/>
      <bottom/>
      <diagonal/>
    </border>
    <border>
      <left/>
      <right/>
      <top/>
      <bottom style="medium">
        <color indexed="24"/>
      </bottom>
      <diagonal/>
    </border>
    <border>
      <left/>
      <right/>
      <top/>
      <bottom style="medium">
        <color indexed="6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ck">
        <color indexed="49"/>
      </left>
      <right style="thick">
        <color indexed="49"/>
      </right>
      <top style="thick">
        <color indexed="49"/>
      </top>
      <bottom style="thick">
        <color indexed="49"/>
      </bottom>
      <diagonal/>
    </border>
    <border>
      <left style="medium">
        <color indexed="49"/>
      </left>
      <right style="medium">
        <color indexed="49"/>
      </right>
      <top style="medium">
        <color indexed="49"/>
      </top>
      <bottom style="medium">
        <color indexed="49"/>
      </bottom>
      <diagonal/>
    </border>
    <border>
      <left style="thin">
        <color indexed="49"/>
      </left>
      <right style="thin">
        <color indexed="49"/>
      </right>
      <top style="thin">
        <color indexed="49"/>
      </top>
      <bottom style="thin">
        <color indexed="49"/>
      </bottom>
      <diagonal/>
    </border>
    <border>
      <left style="thin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3"/>
      </left>
      <right style="thin">
        <color indexed="53"/>
      </right>
      <top style="thin">
        <color indexed="53"/>
      </top>
      <bottom style="thin">
        <color indexed="53"/>
      </bottom>
      <diagonal/>
    </border>
    <border>
      <left style="thick">
        <color indexed="56"/>
      </left>
      <right style="thick">
        <color indexed="56"/>
      </right>
      <top style="thick">
        <color indexed="56"/>
      </top>
      <bottom style="thick">
        <color indexed="56"/>
      </bottom>
      <diagonal/>
    </border>
    <border>
      <left style="medium">
        <color indexed="56"/>
      </left>
      <right style="medium">
        <color indexed="56"/>
      </right>
      <top style="medium">
        <color indexed="56"/>
      </top>
      <bottom style="medium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4" tint="0.39997558519241921"/>
      </top>
      <bottom style="thin">
        <color theme="3" tint="0.59996337778862885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4" tint="0.39997558519241921"/>
      </bottom>
      <diagonal/>
    </border>
    <border>
      <left style="thin">
        <color theme="3" tint="0.39991454817346722"/>
      </left>
      <right style="thin">
        <color theme="3" tint="0.39991454817346722"/>
      </right>
      <top style="thin">
        <color theme="3" tint="0.39991454817346722"/>
      </top>
      <bottom style="thin">
        <color theme="3" tint="0.39991454817346722"/>
      </bottom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 tint="0.39994506668294322"/>
      </top>
      <bottom style="thin">
        <color theme="3" tint="0.39994506668294322"/>
      </bottom>
      <diagonal/>
    </border>
    <border>
      <left style="thin">
        <color theme="3" tint="0.39991454817346722"/>
      </left>
      <right/>
      <top style="thin">
        <color theme="3" tint="0.39991454817346722"/>
      </top>
      <bottom style="thin">
        <color theme="3" tint="0.39991454817346722"/>
      </bottom>
      <diagonal/>
    </border>
    <border>
      <left style="thin">
        <color rgb="FF538DD5"/>
      </left>
      <right style="thin">
        <color rgb="FF538DD5"/>
      </right>
      <top/>
      <bottom style="thin">
        <color rgb="FF538DD5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538DD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</borders>
  <cellStyleXfs count="17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8" fillId="0" borderId="0"/>
    <xf numFmtId="0" fontId="18" fillId="0" borderId="0">
      <alignment vertical="top"/>
    </xf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36" borderId="0" applyNumberFormat="0" applyBorder="0" applyAlignment="0" applyProtection="0"/>
    <xf numFmtId="0" fontId="19" fillId="39" borderId="0" applyNumberFormat="0" applyBorder="0" applyAlignment="0" applyProtection="0"/>
    <xf numFmtId="0" fontId="19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0" borderId="0" applyNumberFormat="0" applyBorder="0" applyAlignment="0" applyProtection="0"/>
    <xf numFmtId="0" fontId="20" fillId="41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48" borderId="0" applyNumberFormat="0" applyBorder="0" applyAlignment="0" applyProtection="0"/>
    <xf numFmtId="0" fontId="20" fillId="49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50" borderId="0" applyNumberFormat="0" applyBorder="0" applyAlignment="0" applyProtection="0"/>
    <xf numFmtId="0" fontId="21" fillId="34" borderId="0" applyNumberFormat="0" applyBorder="0" applyAlignment="0" applyProtection="0"/>
    <xf numFmtId="0" fontId="22" fillId="51" borderId="10" applyNumberFormat="0" applyAlignment="0" applyProtection="0"/>
    <xf numFmtId="0" fontId="23" fillId="52" borderId="11" applyNumberFormat="0" applyAlignment="0" applyProtection="0"/>
    <xf numFmtId="43" fontId="18" fillId="0" borderId="0" applyFont="0" applyFill="0" applyBorder="0" applyAlignment="0" applyProtection="0"/>
    <xf numFmtId="164" fontId="24" fillId="0" borderId="0"/>
    <xf numFmtId="0" fontId="25" fillId="0" borderId="0" applyNumberFormat="0" applyFill="0" applyBorder="0" applyAlignment="0" applyProtection="0"/>
    <xf numFmtId="0" fontId="26" fillId="35" borderId="0" applyNumberFormat="0" applyBorder="0" applyAlignment="0" applyProtection="0"/>
    <xf numFmtId="0" fontId="27" fillId="0" borderId="12" applyNumberFormat="0" applyFill="0" applyAlignment="0" applyProtection="0"/>
    <xf numFmtId="0" fontId="28" fillId="0" borderId="13" applyNumberFormat="0" applyFill="0" applyAlignment="0" applyProtection="0"/>
    <xf numFmtId="0" fontId="29" fillId="0" borderId="14" applyNumberFormat="0" applyFill="0" applyAlignment="0" applyProtection="0"/>
    <xf numFmtId="0" fontId="29" fillId="0" borderId="0" applyNumberFormat="0" applyFill="0" applyBorder="0" applyAlignment="0" applyProtection="0"/>
    <xf numFmtId="0" fontId="30" fillId="38" borderId="10" applyNumberFormat="0" applyAlignment="0" applyProtection="0"/>
    <xf numFmtId="0" fontId="31" fillId="0" borderId="15" applyNumberFormat="0" applyFill="0" applyAlignment="0" applyProtection="0"/>
    <xf numFmtId="0" fontId="32" fillId="53" borderId="0" applyNumberFormat="0" applyBorder="0" applyAlignment="0" applyProtection="0"/>
    <xf numFmtId="0" fontId="18" fillId="54" borderId="16" applyNumberFormat="0" applyFont="0" applyAlignment="0" applyProtection="0"/>
    <xf numFmtId="0" fontId="33" fillId="51" borderId="17" applyNumberFormat="0" applyAlignment="0" applyProtection="0"/>
    <xf numFmtId="9" fontId="18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18" applyNumberFormat="0" applyFill="0" applyAlignment="0" applyProtection="0"/>
    <xf numFmtId="0" fontId="36" fillId="55" borderId="0"/>
    <xf numFmtId="0" fontId="37" fillId="0" borderId="0" applyNumberFormat="0" applyFill="0" applyBorder="0" applyAlignment="0" applyProtection="0"/>
    <xf numFmtId="0" fontId="38" fillId="56" borderId="0"/>
    <xf numFmtId="0" fontId="38" fillId="33" borderId="19"/>
    <xf numFmtId="0" fontId="36" fillId="57" borderId="20"/>
    <xf numFmtId="0" fontId="39" fillId="47" borderId="21"/>
    <xf numFmtId="0" fontId="40" fillId="58" borderId="22" applyNumberFormat="0">
      <alignment horizontal="center" vertical="center" wrapText="1"/>
    </xf>
    <xf numFmtId="0" fontId="41" fillId="0" borderId="23">
      <alignment horizontal="center" vertical="center"/>
    </xf>
    <xf numFmtId="0" fontId="42" fillId="0" borderId="24">
      <alignment horizontal="center" vertical="center"/>
    </xf>
    <xf numFmtId="0" fontId="40" fillId="58" borderId="22" applyNumberFormat="0">
      <alignment horizontal="center" vertical="center" wrapText="1"/>
    </xf>
    <xf numFmtId="0" fontId="43" fillId="0" borderId="25" applyNumberFormat="0" applyProtection="0">
      <alignment horizontal="center" vertical="center" wrapText="1"/>
    </xf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43" fontId="1" fillId="0" borderId="0" applyFont="0" applyFill="0" applyBorder="0" applyAlignment="0" applyProtection="0"/>
    <xf numFmtId="165" fontId="18" fillId="0" borderId="0" applyFont="0" applyFill="0" applyBorder="0" applyAlignment="0" applyProtection="0"/>
    <xf numFmtId="0" fontId="44" fillId="0" borderId="26" applyNumberFormat="0">
      <alignment horizontal="center" vertical="center" wrapText="1"/>
    </xf>
    <xf numFmtId="0" fontId="45" fillId="58" borderId="27" applyNumberFormat="0">
      <alignment horizontal="center" vertical="center" wrapText="1"/>
    </xf>
    <xf numFmtId="0" fontId="43" fillId="0" borderId="27" applyProtection="0">
      <alignment horizontal="center" vertical="center" wrapText="1"/>
    </xf>
    <xf numFmtId="0" fontId="46" fillId="0" borderId="28">
      <alignment horizontal="center" vertical="center"/>
    </xf>
    <xf numFmtId="0" fontId="1" fillId="0" borderId="0"/>
    <xf numFmtId="0" fontId="47" fillId="59" borderId="29">
      <alignment horizontal="center" vertical="center"/>
    </xf>
    <xf numFmtId="0" fontId="1" fillId="0" borderId="0"/>
    <xf numFmtId="0" fontId="18" fillId="0" borderId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36" borderId="0" applyNumberFormat="0" applyBorder="0" applyAlignment="0" applyProtection="0"/>
    <xf numFmtId="0" fontId="19" fillId="39" borderId="0" applyNumberFormat="0" applyBorder="0" applyAlignment="0" applyProtection="0"/>
    <xf numFmtId="0" fontId="19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0" borderId="0" applyNumberFormat="0" applyBorder="0" applyAlignment="0" applyProtection="0"/>
    <xf numFmtId="0" fontId="20" fillId="41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48" borderId="0" applyNumberFormat="0" applyBorder="0" applyAlignment="0" applyProtection="0"/>
    <xf numFmtId="0" fontId="20" fillId="49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50" borderId="0" applyNumberFormat="0" applyBorder="0" applyAlignment="0" applyProtection="0"/>
    <xf numFmtId="0" fontId="21" fillId="34" borderId="0" applyNumberFormat="0" applyBorder="0" applyAlignment="0" applyProtection="0"/>
    <xf numFmtId="0" fontId="22" fillId="51" borderId="10" applyNumberFormat="0" applyAlignment="0" applyProtection="0"/>
    <xf numFmtId="0" fontId="23" fillId="52" borderId="11" applyNumberFormat="0" applyAlignment="0" applyProtection="0"/>
    <xf numFmtId="43" fontId="18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35" borderId="0" applyNumberFormat="0" applyBorder="0" applyAlignment="0" applyProtection="0"/>
    <xf numFmtId="0" fontId="27" fillId="0" borderId="12" applyNumberFormat="0" applyFill="0" applyAlignment="0" applyProtection="0"/>
    <xf numFmtId="0" fontId="28" fillId="0" borderId="13" applyNumberFormat="0" applyFill="0" applyAlignment="0" applyProtection="0"/>
    <xf numFmtId="0" fontId="29" fillId="0" borderId="14" applyNumberFormat="0" applyFill="0" applyAlignment="0" applyProtection="0"/>
    <xf numFmtId="0" fontId="29" fillId="0" borderId="0" applyNumberFormat="0" applyFill="0" applyBorder="0" applyAlignment="0" applyProtection="0"/>
    <xf numFmtId="0" fontId="30" fillId="38" borderId="10" applyNumberFormat="0" applyAlignment="0" applyProtection="0"/>
    <xf numFmtId="0" fontId="31" fillId="0" borderId="15" applyNumberFormat="0" applyFill="0" applyAlignment="0" applyProtection="0"/>
    <xf numFmtId="0" fontId="32" fillId="53" borderId="0" applyNumberFormat="0" applyBorder="0" applyAlignment="0" applyProtection="0"/>
    <xf numFmtId="0" fontId="18" fillId="54" borderId="16" applyNumberFormat="0" applyFont="0" applyAlignment="0" applyProtection="0"/>
    <xf numFmtId="0" fontId="33" fillId="51" borderId="17" applyNumberFormat="0" applyAlignment="0" applyProtection="0"/>
    <xf numFmtId="9" fontId="18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18" applyNumberFormat="0" applyFill="0" applyAlignment="0" applyProtection="0"/>
    <xf numFmtId="0" fontId="37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8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8" fillId="0" borderId="0">
      <alignment vertical="top"/>
    </xf>
    <xf numFmtId="0" fontId="1" fillId="0" borderId="0"/>
    <xf numFmtId="0" fontId="18" fillId="0" borderId="0">
      <alignment vertical="top"/>
    </xf>
    <xf numFmtId="9" fontId="1" fillId="0" borderId="0" applyFont="0" applyFill="0" applyBorder="0" applyAlignment="0" applyProtection="0"/>
  </cellStyleXfs>
  <cellXfs count="182">
    <xf numFmtId="0" fontId="0" fillId="0" borderId="0" xfId="0"/>
    <xf numFmtId="14" fontId="0" fillId="0" borderId="0" xfId="0" applyNumberFormat="1"/>
    <xf numFmtId="0" fontId="13" fillId="60" borderId="30" xfId="0" applyFont="1" applyFill="1" applyBorder="1"/>
    <xf numFmtId="0" fontId="48" fillId="0" borderId="0" xfId="0" applyFont="1"/>
    <xf numFmtId="0" fontId="49" fillId="0" borderId="0" xfId="0" applyFont="1"/>
    <xf numFmtId="0" fontId="17" fillId="63" borderId="0" xfId="0" applyFont="1" applyFill="1"/>
    <xf numFmtId="0" fontId="0" fillId="0" borderId="0" xfId="0" applyBorder="1"/>
    <xf numFmtId="0" fontId="0" fillId="0" borderId="0" xfId="0" applyNumberFormat="1"/>
    <xf numFmtId="0" fontId="52" fillId="61" borderId="32" xfId="0" applyFont="1" applyFill="1" applyBorder="1"/>
    <xf numFmtId="0" fontId="53" fillId="0" borderId="0" xfId="0" applyFont="1" applyBorder="1"/>
    <xf numFmtId="0" fontId="54" fillId="64" borderId="0" xfId="0" applyFont="1" applyFill="1"/>
    <xf numFmtId="14" fontId="17" fillId="63" borderId="0" xfId="0" applyNumberFormat="1" applyFont="1" applyFill="1" applyAlignment="1">
      <alignment horizontal="center"/>
    </xf>
    <xf numFmtId="0" fontId="0" fillId="0" borderId="30" xfId="0" applyBorder="1"/>
    <xf numFmtId="0" fontId="52" fillId="61" borderId="0" xfId="0" applyFont="1" applyFill="1" applyBorder="1"/>
    <xf numFmtId="0" fontId="17" fillId="0" borderId="0" xfId="0" applyFont="1" applyFill="1"/>
    <xf numFmtId="0" fontId="16" fillId="0" borderId="0" xfId="0" applyFont="1"/>
    <xf numFmtId="166" fontId="0" fillId="0" borderId="0" xfId="0" applyNumberFormat="1"/>
    <xf numFmtId="0" fontId="16" fillId="0" borderId="0" xfId="0" applyNumberFormat="1" applyFont="1"/>
    <xf numFmtId="49" fontId="0" fillId="0" borderId="0" xfId="0" applyNumberFormat="1"/>
    <xf numFmtId="0" fontId="55" fillId="0" borderId="37" xfId="0" applyFont="1" applyBorder="1" applyAlignment="1">
      <alignment horizontal="right"/>
    </xf>
    <xf numFmtId="0" fontId="55" fillId="0" borderId="32" xfId="0" applyFont="1" applyBorder="1" applyAlignment="1">
      <alignment horizontal="right"/>
    </xf>
    <xf numFmtId="0" fontId="55" fillId="0" borderId="39" xfId="0" applyFont="1" applyBorder="1" applyAlignment="1">
      <alignment horizontal="right"/>
    </xf>
    <xf numFmtId="9" fontId="16" fillId="0" borderId="42" xfId="175" applyFont="1" applyBorder="1" applyAlignment="1">
      <alignment horizontal="center"/>
    </xf>
    <xf numFmtId="14" fontId="16" fillId="0" borderId="0" xfId="0" applyNumberFormat="1" applyFont="1"/>
    <xf numFmtId="0" fontId="0" fillId="0" borderId="0" xfId="0" applyAlignment="1">
      <alignment horizontal="center"/>
    </xf>
    <xf numFmtId="0" fontId="1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56" fillId="62" borderId="43" xfId="0" applyFont="1" applyFill="1" applyBorder="1" applyAlignment="1">
      <alignment horizontal="left"/>
    </xf>
    <xf numFmtId="0" fontId="57" fillId="62" borderId="43" xfId="0" applyFont="1" applyFill="1" applyBorder="1"/>
    <xf numFmtId="0" fontId="52" fillId="61" borderId="0" xfId="0" applyFont="1" applyFill="1"/>
    <xf numFmtId="0" fontId="16" fillId="0" borderId="30" xfId="0" applyFont="1" applyBorder="1"/>
    <xf numFmtId="10" fontId="0" fillId="0" borderId="41" xfId="175" applyNumberFormat="1" applyFont="1" applyBorder="1" applyAlignment="1">
      <alignment horizontal="center"/>
    </xf>
    <xf numFmtId="10" fontId="0" fillId="0" borderId="40" xfId="175" applyNumberFormat="1" applyFont="1" applyBorder="1" applyAlignment="1">
      <alignment horizontal="center"/>
    </xf>
    <xf numFmtId="10" fontId="0" fillId="0" borderId="42" xfId="175" applyNumberFormat="1" applyFont="1" applyBorder="1" applyAlignment="1">
      <alignment horizontal="center"/>
    </xf>
    <xf numFmtId="0" fontId="16" fillId="0" borderId="39" xfId="0" applyFont="1" applyBorder="1" applyAlignment="1">
      <alignment horizontal="right"/>
    </xf>
    <xf numFmtId="0" fontId="16" fillId="0" borderId="39" xfId="0" applyFont="1" applyBorder="1" applyAlignment="1">
      <alignment horizontal="left"/>
    </xf>
    <xf numFmtId="167" fontId="16" fillId="0" borderId="0" xfId="175" applyNumberFormat="1" applyFont="1" applyAlignment="1">
      <alignment horizontal="left"/>
    </xf>
    <xf numFmtId="10" fontId="0" fillId="62" borderId="30" xfId="175" applyNumberFormat="1" applyFont="1" applyFill="1" applyBorder="1"/>
    <xf numFmtId="0" fontId="58" fillId="65" borderId="33" xfId="0" applyFont="1" applyFill="1" applyBorder="1"/>
    <xf numFmtId="0" fontId="58" fillId="65" borderId="36" xfId="0" applyFont="1" applyFill="1" applyBorder="1"/>
    <xf numFmtId="49" fontId="0" fillId="0" borderId="0" xfId="0" applyNumberFormat="1" applyAlignment="1">
      <alignment horizontal="center" shrinkToFit="1"/>
    </xf>
    <xf numFmtId="15" fontId="0" fillId="0" borderId="0" xfId="0" applyNumberFormat="1" applyAlignment="1">
      <alignment horizontal="center" vertical="center" shrinkToFit="1"/>
    </xf>
    <xf numFmtId="168" fontId="0" fillId="0" borderId="0" xfId="0" applyNumberFormat="1" applyAlignment="1">
      <alignment horizontal="center" vertical="center"/>
    </xf>
    <xf numFmtId="0" fontId="16" fillId="0" borderId="0" xfId="175" applyNumberFormat="1" applyFont="1" applyAlignment="1">
      <alignment horizontal="left"/>
    </xf>
    <xf numFmtId="10" fontId="0" fillId="0" borderId="0" xfId="0" applyNumberFormat="1"/>
    <xf numFmtId="22" fontId="0" fillId="0" borderId="0" xfId="0" applyNumberFormat="1"/>
    <xf numFmtId="0" fontId="13" fillId="61" borderId="39" xfId="0" applyFont="1" applyFill="1" applyBorder="1" applyAlignment="1">
      <alignment horizontal="left"/>
    </xf>
    <xf numFmtId="0" fontId="13" fillId="61" borderId="44" xfId="0" applyFont="1" applyFill="1" applyBorder="1" applyAlignment="1">
      <alignment horizontal="left"/>
    </xf>
    <xf numFmtId="0" fontId="13" fillId="61" borderId="39" xfId="0" applyFont="1" applyFill="1" applyBorder="1" applyAlignment="1"/>
    <xf numFmtId="0" fontId="0" fillId="0" borderId="0" xfId="0" applyNumberFormat="1" applyAlignment="1">
      <alignment shrinkToFit="1"/>
    </xf>
    <xf numFmtId="49" fontId="0" fillId="0" borderId="0" xfId="0" applyNumberFormat="1" applyAlignment="1">
      <alignment shrinkToFit="1"/>
    </xf>
    <xf numFmtId="49" fontId="0" fillId="66" borderId="45" xfId="0" applyNumberFormat="1" applyFont="1" applyFill="1" applyBorder="1" applyAlignment="1">
      <alignment shrinkToFit="1"/>
    </xf>
    <xf numFmtId="0" fontId="13" fillId="61" borderId="0" xfId="0" applyFont="1" applyFill="1" applyBorder="1" applyAlignment="1">
      <alignment horizontal="left"/>
    </xf>
    <xf numFmtId="2" fontId="0" fillId="0" borderId="0" xfId="0" applyNumberFormat="1"/>
    <xf numFmtId="0" fontId="0" fillId="67" borderId="46" xfId="0" applyNumberFormat="1" applyFont="1" applyFill="1" applyBorder="1" applyAlignment="1">
      <alignment horizontal="center"/>
    </xf>
    <xf numFmtId="0" fontId="0" fillId="67" borderId="47" xfId="0" applyNumberFormat="1" applyFont="1" applyFill="1" applyBorder="1" applyAlignment="1">
      <alignment horizontal="center"/>
    </xf>
    <xf numFmtId="0" fontId="0" fillId="67" borderId="48" xfId="0" applyNumberFormat="1" applyFont="1" applyFill="1" applyBorder="1" applyAlignment="1">
      <alignment horizontal="center"/>
    </xf>
    <xf numFmtId="49" fontId="0" fillId="0" borderId="0" xfId="0" applyNumberFormat="1" applyAlignment="1">
      <alignment horizontal="center" vertical="center" shrinkToFit="1"/>
    </xf>
    <xf numFmtId="0" fontId="13" fillId="61" borderId="32" xfId="0" applyFont="1" applyFill="1" applyBorder="1" applyAlignment="1">
      <alignment horizontal="left"/>
    </xf>
    <xf numFmtId="49" fontId="0" fillId="66" borderId="49" xfId="0" applyNumberFormat="1" applyFont="1" applyFill="1" applyBorder="1" applyAlignment="1">
      <alignment shrinkToFit="1"/>
    </xf>
    <xf numFmtId="0" fontId="0" fillId="66" borderId="49" xfId="0" applyNumberFormat="1" applyFont="1" applyFill="1" applyBorder="1" applyAlignment="1">
      <alignment horizontal="left" shrinkToFit="1"/>
    </xf>
    <xf numFmtId="15" fontId="0" fillId="66" borderId="49" xfId="0" applyNumberFormat="1" applyFont="1" applyFill="1" applyBorder="1" applyAlignment="1">
      <alignment horizontal="center" shrinkToFit="1"/>
    </xf>
    <xf numFmtId="0" fontId="57" fillId="68" borderId="35" xfId="0" applyNumberFormat="1" applyFont="1" applyFill="1" applyBorder="1" applyAlignment="1">
      <alignment horizontal="left" vertical="center"/>
    </xf>
    <xf numFmtId="0" fontId="57" fillId="68" borderId="35" xfId="0" applyNumberFormat="1" applyFont="1" applyFill="1" applyBorder="1" applyAlignment="1">
      <alignment horizontal="center" vertical="center"/>
    </xf>
    <xf numFmtId="0" fontId="57" fillId="68" borderId="38" xfId="0" applyNumberFormat="1" applyFont="1" applyFill="1" applyBorder="1" applyAlignment="1">
      <alignment horizontal="center" vertical="center"/>
    </xf>
    <xf numFmtId="0" fontId="13" fillId="61" borderId="32" xfId="0" applyFont="1" applyFill="1" applyBorder="1" applyAlignment="1"/>
    <xf numFmtId="49" fontId="0" fillId="66" borderId="50" xfId="0" applyNumberFormat="1" applyFont="1" applyFill="1" applyBorder="1" applyAlignment="1">
      <alignment shrinkToFit="1"/>
    </xf>
    <xf numFmtId="0" fontId="0" fillId="67" borderId="50" xfId="0" applyNumberFormat="1" applyFont="1" applyFill="1" applyBorder="1" applyAlignment="1">
      <alignment horizontal="center"/>
    </xf>
    <xf numFmtId="0" fontId="13" fillId="69" borderId="45" xfId="0" applyFont="1" applyFill="1" applyBorder="1"/>
    <xf numFmtId="49" fontId="0" fillId="66" borderId="51" xfId="0" applyNumberFormat="1" applyFont="1" applyFill="1" applyBorder="1" applyAlignment="1">
      <alignment shrinkToFit="1"/>
    </xf>
    <xf numFmtId="49" fontId="60" fillId="70" borderId="52" xfId="0" applyNumberFormat="1" applyFont="1" applyFill="1" applyBorder="1" applyAlignment="1">
      <alignment shrinkToFit="1"/>
    </xf>
    <xf numFmtId="0" fontId="59" fillId="65" borderId="53" xfId="0" applyFont="1" applyFill="1" applyBorder="1" applyAlignment="1">
      <alignment horizontal="left"/>
    </xf>
    <xf numFmtId="0" fontId="0" fillId="71" borderId="0" xfId="0" applyFill="1"/>
    <xf numFmtId="0" fontId="0" fillId="72" borderId="0" xfId="0" applyFill="1"/>
    <xf numFmtId="4" fontId="0" fillId="0" borderId="0" xfId="0" applyNumberFormat="1"/>
    <xf numFmtId="0" fontId="0" fillId="0" borderId="54" xfId="0" applyBorder="1"/>
    <xf numFmtId="10" fontId="0" fillId="0" borderId="55" xfId="175" applyNumberFormat="1" applyFont="1" applyBorder="1"/>
    <xf numFmtId="0" fontId="0" fillId="0" borderId="56" xfId="0" applyBorder="1"/>
    <xf numFmtId="10" fontId="0" fillId="0" borderId="0" xfId="175" applyNumberFormat="1" applyFont="1" applyBorder="1"/>
    <xf numFmtId="0" fontId="0" fillId="0" borderId="57" xfId="0" applyBorder="1"/>
    <xf numFmtId="10" fontId="0" fillId="0" borderId="58" xfId="175" applyNumberFormat="1" applyFont="1" applyBorder="1"/>
    <xf numFmtId="0" fontId="0" fillId="0" borderId="59" xfId="0" applyBorder="1"/>
    <xf numFmtId="0" fontId="0" fillId="0" borderId="60" xfId="0" applyBorder="1"/>
    <xf numFmtId="0" fontId="0" fillId="0" borderId="61" xfId="0" applyBorder="1"/>
    <xf numFmtId="0" fontId="57" fillId="61" borderId="47" xfId="0" applyNumberFormat="1" applyFont="1" applyFill="1" applyBorder="1" applyAlignment="1">
      <alignment horizontal="center" vertical="center"/>
    </xf>
    <xf numFmtId="0" fontId="0" fillId="68" borderId="0" xfId="0" applyFill="1"/>
    <xf numFmtId="0" fontId="0" fillId="0" borderId="0" xfId="0" applyFill="1"/>
    <xf numFmtId="0" fontId="13" fillId="73" borderId="62" xfId="0" applyFont="1" applyFill="1" applyBorder="1" applyAlignment="1">
      <alignment wrapText="1"/>
    </xf>
    <xf numFmtId="0" fontId="13" fillId="73" borderId="63" xfId="0" applyFont="1" applyFill="1" applyBorder="1" applyAlignment="1">
      <alignment wrapText="1"/>
    </xf>
    <xf numFmtId="0" fontId="13" fillId="73" borderId="43" xfId="0" applyFont="1" applyFill="1" applyBorder="1" applyAlignment="1">
      <alignment wrapText="1"/>
    </xf>
    <xf numFmtId="0" fontId="13" fillId="75" borderId="62" xfId="0" applyFont="1" applyFill="1" applyBorder="1" applyAlignment="1">
      <alignment wrapText="1"/>
    </xf>
    <xf numFmtId="0" fontId="13" fillId="75" borderId="43" xfId="0" applyFont="1" applyFill="1" applyBorder="1" applyAlignment="1">
      <alignment wrapText="1"/>
    </xf>
    <xf numFmtId="0" fontId="13" fillId="75" borderId="63" xfId="0" applyFont="1" applyFill="1" applyBorder="1" applyAlignment="1">
      <alignment wrapText="1"/>
    </xf>
    <xf numFmtId="0" fontId="55" fillId="74" borderId="0" xfId="0" applyFont="1" applyFill="1"/>
    <xf numFmtId="10" fontId="55" fillId="74" borderId="0" xfId="0" applyNumberFormat="1" applyFont="1" applyFill="1"/>
    <xf numFmtId="0" fontId="13" fillId="73" borderId="54" xfId="0" applyFont="1" applyFill="1" applyBorder="1" applyAlignment="1">
      <alignment horizontal="center" wrapText="1"/>
    </xf>
    <xf numFmtId="0" fontId="62" fillId="0" borderId="56" xfId="0" applyFont="1" applyBorder="1" applyAlignment="1">
      <alignment horizontal="right"/>
    </xf>
    <xf numFmtId="0" fontId="16" fillId="0" borderId="56" xfId="0" applyFont="1" applyBorder="1"/>
    <xf numFmtId="0" fontId="62" fillId="0" borderId="57" xfId="0" applyFont="1" applyBorder="1" applyAlignment="1">
      <alignment horizontal="right"/>
    </xf>
    <xf numFmtId="10" fontId="16" fillId="76" borderId="60" xfId="0" applyNumberFormat="1" applyFont="1" applyFill="1" applyBorder="1" applyAlignment="1">
      <alignment horizontal="center"/>
    </xf>
    <xf numFmtId="10" fontId="0" fillId="76" borderId="60" xfId="0" applyNumberFormat="1" applyFont="1" applyFill="1" applyBorder="1" applyAlignment="1">
      <alignment horizontal="center"/>
    </xf>
    <xf numFmtId="10" fontId="0" fillId="76" borderId="61" xfId="0" applyNumberFormat="1" applyFont="1" applyFill="1" applyBorder="1" applyAlignment="1">
      <alignment horizontal="center"/>
    </xf>
    <xf numFmtId="10" fontId="63" fillId="0" borderId="59" xfId="175" applyNumberFormat="1" applyFont="1" applyBorder="1"/>
    <xf numFmtId="10" fontId="63" fillId="0" borderId="60" xfId="175" applyNumberFormat="1" applyFont="1" applyBorder="1"/>
    <xf numFmtId="10" fontId="63" fillId="0" borderId="61" xfId="175" applyNumberFormat="1" applyFont="1" applyBorder="1"/>
    <xf numFmtId="166" fontId="57" fillId="80" borderId="0" xfId="0" applyNumberFormat="1" applyFont="1" applyFill="1"/>
    <xf numFmtId="0" fontId="13" fillId="0" borderId="0" xfId="0" applyFont="1" applyFill="1" applyBorder="1"/>
    <xf numFmtId="0" fontId="16" fillId="0" borderId="0" xfId="0" applyFont="1" applyFill="1" applyBorder="1"/>
    <xf numFmtId="166" fontId="16" fillId="0" borderId="0" xfId="175" applyNumberFormat="1" applyFont="1" applyFill="1" applyBorder="1"/>
    <xf numFmtId="0" fontId="13" fillId="75" borderId="59" xfId="0" applyFont="1" applyFill="1" applyBorder="1" applyAlignment="1">
      <alignment horizontal="center" wrapText="1"/>
    </xf>
    <xf numFmtId="0" fontId="13" fillId="78" borderId="64" xfId="0" applyFont="1" applyFill="1" applyBorder="1" applyAlignment="1">
      <alignment horizontal="center"/>
    </xf>
    <xf numFmtId="10" fontId="16" fillId="77" borderId="0" xfId="0" applyNumberFormat="1" applyFont="1" applyFill="1" applyBorder="1" applyAlignment="1">
      <alignment horizontal="center"/>
    </xf>
    <xf numFmtId="10" fontId="0" fillId="77" borderId="0" xfId="0" applyNumberFormat="1" applyFont="1" applyFill="1" applyBorder="1" applyAlignment="1">
      <alignment horizontal="center"/>
    </xf>
    <xf numFmtId="10" fontId="0" fillId="77" borderId="0" xfId="0" applyNumberFormat="1" applyFill="1" applyBorder="1" applyAlignment="1">
      <alignment horizontal="center"/>
    </xf>
    <xf numFmtId="10" fontId="0" fillId="77" borderId="58" xfId="0" applyNumberFormat="1" applyFill="1" applyBorder="1" applyAlignment="1">
      <alignment horizontal="center"/>
    </xf>
    <xf numFmtId="10" fontId="16" fillId="79" borderId="60" xfId="175" applyNumberFormat="1" applyFont="1" applyFill="1" applyBorder="1" applyAlignment="1">
      <alignment horizontal="center"/>
    </xf>
    <xf numFmtId="10" fontId="0" fillId="79" borderId="60" xfId="175" applyNumberFormat="1" applyFont="1" applyFill="1" applyBorder="1" applyAlignment="1">
      <alignment horizontal="center"/>
    </xf>
    <xf numFmtId="10" fontId="0" fillId="79" borderId="61" xfId="175" applyNumberFormat="1" applyFont="1" applyFill="1" applyBorder="1" applyAlignment="1">
      <alignment horizontal="center"/>
    </xf>
    <xf numFmtId="0" fontId="64" fillId="0" borderId="61" xfId="0" applyFont="1" applyBorder="1" applyAlignment="1">
      <alignment horizontal="right"/>
    </xf>
    <xf numFmtId="0" fontId="16" fillId="0" borderId="43" xfId="0" applyFont="1" applyBorder="1"/>
    <xf numFmtId="10" fontId="16" fillId="76" borderId="43" xfId="0" applyNumberFormat="1" applyFont="1" applyFill="1" applyBorder="1" applyAlignment="1">
      <alignment horizontal="center"/>
    </xf>
    <xf numFmtId="10" fontId="16" fillId="77" borderId="63" xfId="0" applyNumberFormat="1" applyFont="1" applyFill="1" applyBorder="1" applyAlignment="1">
      <alignment horizontal="center"/>
    </xf>
    <xf numFmtId="10" fontId="16" fillId="79" borderId="43" xfId="175" applyNumberFormat="1" applyFont="1" applyFill="1" applyBorder="1" applyAlignment="1">
      <alignment horizontal="center"/>
    </xf>
    <xf numFmtId="4" fontId="0" fillId="0" borderId="0" xfId="175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0" fontId="0" fillId="0" borderId="0" xfId="0" applyNumberFormat="1" applyFill="1" applyBorder="1" applyAlignment="1">
      <alignment horizontal="center"/>
    </xf>
    <xf numFmtId="9" fontId="16" fillId="0" borderId="0" xfId="175" applyFont="1" applyFill="1" applyBorder="1" applyAlignment="1">
      <alignment horizontal="center"/>
    </xf>
    <xf numFmtId="4" fontId="16" fillId="76" borderId="43" xfId="0" applyNumberFormat="1" applyFont="1" applyFill="1" applyBorder="1" applyAlignment="1">
      <alignment horizontal="center"/>
    </xf>
    <xf numFmtId="4" fontId="16" fillId="77" borderId="63" xfId="0" applyNumberFormat="1" applyFont="1" applyFill="1" applyBorder="1" applyAlignment="1">
      <alignment horizontal="center"/>
    </xf>
    <xf numFmtId="4" fontId="16" fillId="79" borderId="43" xfId="175" applyNumberFormat="1" applyFont="1" applyFill="1" applyBorder="1" applyAlignment="1">
      <alignment horizontal="center"/>
    </xf>
    <xf numFmtId="0" fontId="0" fillId="0" borderId="0" xfId="0" applyFill="1" applyBorder="1"/>
    <xf numFmtId="0" fontId="61" fillId="80" borderId="0" xfId="0" applyFont="1" applyFill="1" applyAlignment="1">
      <alignment horizontal="center"/>
    </xf>
    <xf numFmtId="166" fontId="0" fillId="76" borderId="61" xfId="0" applyNumberFormat="1" applyFont="1" applyFill="1" applyBorder="1" applyAlignment="1">
      <alignment horizontal="center"/>
    </xf>
    <xf numFmtId="166" fontId="0" fillId="77" borderId="58" xfId="0" applyNumberFormat="1" applyFont="1" applyFill="1" applyBorder="1" applyAlignment="1">
      <alignment horizontal="center"/>
    </xf>
    <xf numFmtId="166" fontId="1" fillId="79" borderId="61" xfId="175" applyNumberFormat="1" applyFont="1" applyFill="1" applyBorder="1" applyAlignment="1">
      <alignment horizontal="center"/>
    </xf>
    <xf numFmtId="0" fontId="64" fillId="0" borderId="0" xfId="0" applyFont="1" applyFill="1" applyBorder="1" applyAlignment="1">
      <alignment horizontal="right"/>
    </xf>
    <xf numFmtId="166" fontId="0" fillId="0" borderId="0" xfId="0" applyNumberFormat="1" applyFont="1" applyFill="1" applyBorder="1" applyAlignment="1">
      <alignment horizontal="center"/>
    </xf>
    <xf numFmtId="166" fontId="1" fillId="0" borderId="0" xfId="175" applyNumberFormat="1" applyFont="1" applyFill="1" applyBorder="1" applyAlignment="1">
      <alignment horizontal="center"/>
    </xf>
    <xf numFmtId="0" fontId="16" fillId="0" borderId="59" xfId="0" applyFont="1" applyBorder="1"/>
    <xf numFmtId="10" fontId="16" fillId="76" borderId="59" xfId="0" applyNumberFormat="1" applyFont="1" applyFill="1" applyBorder="1" applyAlignment="1">
      <alignment horizontal="center"/>
    </xf>
    <xf numFmtId="10" fontId="16" fillId="77" borderId="55" xfId="0" applyNumberFormat="1" applyFont="1" applyFill="1" applyBorder="1" applyAlignment="1">
      <alignment horizontal="center"/>
    </xf>
    <xf numFmtId="10" fontId="16" fillId="79" borderId="59" xfId="175" applyNumberFormat="1" applyFont="1" applyFill="1" applyBorder="1" applyAlignment="1">
      <alignment horizontal="center"/>
    </xf>
    <xf numFmtId="0" fontId="16" fillId="0" borderId="54" xfId="0" applyFont="1" applyBorder="1"/>
    <xf numFmtId="15" fontId="0" fillId="0" borderId="0" xfId="0" applyNumberFormat="1"/>
    <xf numFmtId="10" fontId="0" fillId="68" borderId="55" xfId="175" applyNumberFormat="1" applyFont="1" applyFill="1" applyBorder="1"/>
    <xf numFmtId="10" fontId="0" fillId="68" borderId="0" xfId="175" applyNumberFormat="1" applyFont="1" applyFill="1" applyBorder="1"/>
    <xf numFmtId="10" fontId="0" fillId="68" borderId="58" xfId="175" applyNumberFormat="1" applyFont="1" applyFill="1" applyBorder="1"/>
    <xf numFmtId="14" fontId="0" fillId="0" borderId="0" xfId="0" applyNumberFormat="1" applyAlignment="1">
      <alignment horizontal="center"/>
    </xf>
    <xf numFmtId="49" fontId="0" fillId="66" borderId="45" xfId="0" applyNumberFormat="1" applyFont="1" applyFill="1" applyBorder="1" applyAlignment="1">
      <alignment horizontal="left" shrinkToFit="1"/>
    </xf>
    <xf numFmtId="0" fontId="0" fillId="66" borderId="45" xfId="0" applyNumberFormat="1" applyFont="1" applyFill="1" applyBorder="1" applyAlignment="1">
      <alignment horizontal="left" shrinkToFit="1"/>
    </xf>
    <xf numFmtId="15" fontId="0" fillId="0" borderId="0" xfId="0" applyNumberFormat="1"/>
    <xf numFmtId="15" fontId="0" fillId="0" borderId="0" xfId="0" applyNumberFormat="1"/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65" xfId="0" applyFill="1" applyBorder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66" xfId="0" applyNumberFormat="1" applyFill="1" applyBorder="1" applyAlignment="1">
      <alignment horizontal="center" vertical="center"/>
    </xf>
    <xf numFmtId="0" fontId="0" fillId="0" borderId="0" xfId="0" applyNumberFormat="1" applyFill="1"/>
    <xf numFmtId="0" fontId="0" fillId="0" borderId="0" xfId="0" applyNumberFormat="1" applyFill="1" applyBorder="1"/>
    <xf numFmtId="0" fontId="0" fillId="0" borderId="0" xfId="0" applyNumberFormat="1" applyFont="1" applyFill="1" applyBorder="1"/>
    <xf numFmtId="0" fontId="0" fillId="0" borderId="66" xfId="0" applyNumberFormat="1" applyFill="1" applyBorder="1"/>
    <xf numFmtId="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65" fillId="62" borderId="30" xfId="0" applyFont="1" applyFill="1" applyBorder="1" applyAlignment="1">
      <alignment horizontal="left"/>
    </xf>
    <xf numFmtId="0" fontId="65" fillId="0" borderId="0" xfId="0" applyFont="1" applyAlignment="1">
      <alignment horizontal="left"/>
    </xf>
    <xf numFmtId="0" fontId="65" fillId="0" borderId="0" xfId="0" applyFont="1" applyBorder="1" applyAlignment="1">
      <alignment horizontal="left"/>
    </xf>
    <xf numFmtId="10" fontId="65" fillId="0" borderId="0" xfId="156" applyNumberFormat="1" applyFont="1" applyBorder="1" applyAlignment="1">
      <alignment horizontal="left"/>
    </xf>
    <xf numFmtId="10" fontId="65" fillId="0" borderId="0" xfId="156" applyNumberFormat="1" applyFont="1" applyAlignment="1">
      <alignment horizontal="left"/>
    </xf>
    <xf numFmtId="43" fontId="65" fillId="0" borderId="0" xfId="171" applyFont="1" applyBorder="1" applyAlignment="1">
      <alignment horizontal="left"/>
    </xf>
    <xf numFmtId="43" fontId="65" fillId="0" borderId="0" xfId="171" applyFont="1" applyAlignment="1">
      <alignment horizontal="left"/>
    </xf>
    <xf numFmtId="14" fontId="0" fillId="0" borderId="0" xfId="0" applyNumberFormat="1"/>
    <xf numFmtId="0" fontId="0" fillId="67" borderId="47" xfId="0" applyNumberFormat="1" applyFill="1" applyBorder="1" applyAlignment="1">
      <alignment horizontal="center"/>
    </xf>
    <xf numFmtId="0" fontId="54" fillId="62" borderId="31" xfId="0" applyFont="1" applyFill="1" applyBorder="1" applyAlignment="1">
      <alignment horizontal="center"/>
    </xf>
    <xf numFmtId="0" fontId="54" fillId="62" borderId="34" xfId="0" applyFont="1" applyFill="1" applyBorder="1" applyAlignment="1">
      <alignment horizontal="center"/>
    </xf>
    <xf numFmtId="0" fontId="54" fillId="62" borderId="35" xfId="0" applyFont="1" applyFill="1" applyBorder="1" applyAlignment="1">
      <alignment horizontal="center"/>
    </xf>
  </cellXfs>
  <cellStyles count="176">
    <cellStyle name="=C:\WINNT35\SYSTEM32\COMMAND.COM" xfId="49"/>
    <cellStyle name="20% - Accent1" xfId="19" builtinId="30" customBuiltin="1"/>
    <cellStyle name="20% - Accent1 2" xfId="117"/>
    <cellStyle name="20% - Accent1 3" xfId="50"/>
    <cellStyle name="20% - Accent2" xfId="23" builtinId="34" customBuiltin="1"/>
    <cellStyle name="20% - Accent2 2" xfId="118"/>
    <cellStyle name="20% - Accent2 3" xfId="51"/>
    <cellStyle name="20% - Accent3" xfId="27" builtinId="38" customBuiltin="1"/>
    <cellStyle name="20% - Accent3 2" xfId="119"/>
    <cellStyle name="20% - Accent3 3" xfId="52"/>
    <cellStyle name="20% - Accent4" xfId="31" builtinId="42" customBuiltin="1"/>
    <cellStyle name="20% - Accent4 2" xfId="120"/>
    <cellStyle name="20% - Accent4 3" xfId="53"/>
    <cellStyle name="20% - Accent5" xfId="35" builtinId="46" customBuiltin="1"/>
    <cellStyle name="20% - Accent5 2" xfId="121"/>
    <cellStyle name="20% - Accent5 3" xfId="54"/>
    <cellStyle name="20% - Accent6" xfId="39" builtinId="50" customBuiltin="1"/>
    <cellStyle name="20% - Accent6 2" xfId="122"/>
    <cellStyle name="20% - Accent6 3" xfId="55"/>
    <cellStyle name="40% - Accent1" xfId="20" builtinId="31" customBuiltin="1"/>
    <cellStyle name="40% - Accent1 2" xfId="123"/>
    <cellStyle name="40% - Accent1 3" xfId="56"/>
    <cellStyle name="40% - Accent2" xfId="24" builtinId="35" customBuiltin="1"/>
    <cellStyle name="40% - Accent2 2" xfId="124"/>
    <cellStyle name="40% - Accent2 3" xfId="57"/>
    <cellStyle name="40% - Accent3" xfId="28" builtinId="39" customBuiltin="1"/>
    <cellStyle name="40% - Accent3 2" xfId="125"/>
    <cellStyle name="40% - Accent3 3" xfId="58"/>
    <cellStyle name="40% - Accent4" xfId="32" builtinId="43" customBuiltin="1"/>
    <cellStyle name="40% - Accent4 2" xfId="126"/>
    <cellStyle name="40% - Accent4 3" xfId="59"/>
    <cellStyle name="40% - Accent5" xfId="36" builtinId="47" customBuiltin="1"/>
    <cellStyle name="40% - Accent5 2" xfId="127"/>
    <cellStyle name="40% - Accent5 3" xfId="60"/>
    <cellStyle name="40% - Accent6" xfId="40" builtinId="51" customBuiltin="1"/>
    <cellStyle name="40% - Accent6 2" xfId="128"/>
    <cellStyle name="40% - Accent6 3" xfId="61"/>
    <cellStyle name="60% - Accent1" xfId="21" builtinId="32" customBuiltin="1"/>
    <cellStyle name="60% - Accent1 2" xfId="129"/>
    <cellStyle name="60% - Accent1 3" xfId="62"/>
    <cellStyle name="60% - Accent2" xfId="25" builtinId="36" customBuiltin="1"/>
    <cellStyle name="60% - Accent2 2" xfId="130"/>
    <cellStyle name="60% - Accent2 3" xfId="63"/>
    <cellStyle name="60% - Accent3" xfId="29" builtinId="40" customBuiltin="1"/>
    <cellStyle name="60% - Accent3 2" xfId="131"/>
    <cellStyle name="60% - Accent3 3" xfId="64"/>
    <cellStyle name="60% - Accent4" xfId="33" builtinId="44" customBuiltin="1"/>
    <cellStyle name="60% - Accent4 2" xfId="132"/>
    <cellStyle name="60% - Accent4 3" xfId="65"/>
    <cellStyle name="60% - Accent5" xfId="37" builtinId="48" customBuiltin="1"/>
    <cellStyle name="60% - Accent5 2" xfId="133"/>
    <cellStyle name="60% - Accent5 3" xfId="66"/>
    <cellStyle name="60% - Accent6" xfId="41" builtinId="52" customBuiltin="1"/>
    <cellStyle name="60% - Accent6 2" xfId="134"/>
    <cellStyle name="60% - Accent6 3" xfId="67"/>
    <cellStyle name="Accent1" xfId="18" builtinId="29" customBuiltin="1"/>
    <cellStyle name="Accent1 2" xfId="135"/>
    <cellStyle name="Accent1 3" xfId="68"/>
    <cellStyle name="Accent2" xfId="22" builtinId="33" customBuiltin="1"/>
    <cellStyle name="Accent2 2" xfId="136"/>
    <cellStyle name="Accent2 3" xfId="69"/>
    <cellStyle name="Accent3" xfId="26" builtinId="37" customBuiltin="1"/>
    <cellStyle name="Accent3 2" xfId="137"/>
    <cellStyle name="Accent3 3" xfId="70"/>
    <cellStyle name="Accent4" xfId="30" builtinId="41" customBuiltin="1"/>
    <cellStyle name="Accent4 2" xfId="138"/>
    <cellStyle name="Accent4 3" xfId="71"/>
    <cellStyle name="Accent5" xfId="34" builtinId="45" customBuiltin="1"/>
    <cellStyle name="Accent5 2" xfId="139"/>
    <cellStyle name="Accent5 3" xfId="72"/>
    <cellStyle name="Accent6" xfId="38" builtinId="49" customBuiltin="1"/>
    <cellStyle name="Accent6 2" xfId="140"/>
    <cellStyle name="Accent6 3" xfId="73"/>
    <cellStyle name="Bad" xfId="7" builtinId="27" customBuiltin="1"/>
    <cellStyle name="Bad 2" xfId="141"/>
    <cellStyle name="Bad 3" xfId="74"/>
    <cellStyle name="Calculation" xfId="11" builtinId="22" customBuiltin="1"/>
    <cellStyle name="Calculation 2" xfId="142"/>
    <cellStyle name="Calculation 3" xfId="75"/>
    <cellStyle name="Check Cell" xfId="13" builtinId="23" customBuiltin="1"/>
    <cellStyle name="Check Cell 2" xfId="143"/>
    <cellStyle name="Check Cell 3" xfId="76"/>
    <cellStyle name="Comma" xfId="171" builtinId="3"/>
    <cellStyle name="Comma 10" xfId="42"/>
    <cellStyle name="Comma 2" xfId="44"/>
    <cellStyle name="Comma 2 2" xfId="160"/>
    <cellStyle name="Comma 2 2 2" xfId="167"/>
    <cellStyle name="Comma 2 3" xfId="163"/>
    <cellStyle name="Comma 2 4" xfId="107"/>
    <cellStyle name="Comma 3" xfId="43"/>
    <cellStyle name="Comma 3 2" xfId="144"/>
    <cellStyle name="Comma 4" xfId="45"/>
    <cellStyle name="Comma 5" xfId="46"/>
    <cellStyle name="Comma 6" xfId="47"/>
    <cellStyle name="Comma 7" xfId="77"/>
    <cellStyle name="Comma 8" xfId="169"/>
    <cellStyle name="Comma 9" xfId="170"/>
    <cellStyle name="Date" xfId="78"/>
    <cellStyle name="Euro" xfId="108"/>
    <cellStyle name="Explanatory Text" xfId="16" builtinId="53" customBuiltin="1"/>
    <cellStyle name="Explanatory Text 2" xfId="145"/>
    <cellStyle name="Explanatory Text 3" xfId="79"/>
    <cellStyle name="Good" xfId="6" builtinId="26" customBuiltin="1"/>
    <cellStyle name="Good 2" xfId="146"/>
    <cellStyle name="Good 3" xfId="80"/>
    <cellStyle name="Heading 1" xfId="2" builtinId="16" customBuiltin="1"/>
    <cellStyle name="Heading 1 2" xfId="147"/>
    <cellStyle name="Heading 1 3" xfId="81"/>
    <cellStyle name="Heading 2" xfId="3" builtinId="17" customBuiltin="1"/>
    <cellStyle name="Heading 2 2" xfId="148"/>
    <cellStyle name="Heading 2 3" xfId="82"/>
    <cellStyle name="Heading 3" xfId="4" builtinId="18" customBuiltin="1"/>
    <cellStyle name="Heading 3 2" xfId="149"/>
    <cellStyle name="Heading 3 3" xfId="83"/>
    <cellStyle name="Heading 4" xfId="5" builtinId="19" customBuiltin="1"/>
    <cellStyle name="Heading 4 2" xfId="150"/>
    <cellStyle name="Heading 4 3" xfId="84"/>
    <cellStyle name="Heading One" xfId="109"/>
    <cellStyle name="Heading Two" xfId="102"/>
    <cellStyle name="Heading Two 2" xfId="110"/>
    <cellStyle name="Input" xfId="9" builtinId="20" customBuiltin="1"/>
    <cellStyle name="Input 2" xfId="151"/>
    <cellStyle name="Input 3" xfId="85"/>
    <cellStyle name="Inputs Minor" xfId="103"/>
    <cellStyle name="Inputs Minor 2" xfId="111"/>
    <cellStyle name="Linked Cell" xfId="12" builtinId="24" customBuiltin="1"/>
    <cellStyle name="Linked Cell 2" xfId="152"/>
    <cellStyle name="Linked Cell 3" xfId="86"/>
    <cellStyle name="LockedInfo" xfId="99"/>
    <cellStyle name="Main Title" xfId="100"/>
    <cellStyle name="Main Title 2" xfId="112"/>
    <cellStyle name="Neutral" xfId="8" builtinId="28" customBuiltin="1"/>
    <cellStyle name="Neutral 2" xfId="153"/>
    <cellStyle name="Neutral 3" xfId="87"/>
    <cellStyle name="Normal" xfId="0" builtinId="0"/>
    <cellStyle name="Normal 110" xfId="174"/>
    <cellStyle name="Normal 114" xfId="173"/>
    <cellStyle name="Normal 2" xfId="104"/>
    <cellStyle name="Normal 2 2" xfId="113"/>
    <cellStyle name="Normal 2 2 2" xfId="161"/>
    <cellStyle name="Normal 2 2 2 2" xfId="168"/>
    <cellStyle name="Normal 2 2 3" xfId="164"/>
    <cellStyle name="Normal 3" xfId="116"/>
    <cellStyle name="Normal 4" xfId="115"/>
    <cellStyle name="Normal 4 2" xfId="166"/>
    <cellStyle name="Normal 5" xfId="165"/>
    <cellStyle name="Normal 6" xfId="162"/>
    <cellStyle name="Normal 7" xfId="106"/>
    <cellStyle name="Normal 8" xfId="48"/>
    <cellStyle name="Note" xfId="15" builtinId="10" customBuiltin="1"/>
    <cellStyle name="Note 2" xfId="154"/>
    <cellStyle name="Note 3" xfId="88"/>
    <cellStyle name="Output" xfId="10" builtinId="21" customBuiltin="1"/>
    <cellStyle name="Output 2" xfId="155"/>
    <cellStyle name="Output 3" xfId="89"/>
    <cellStyle name="Percent" xfId="175" builtinId="5"/>
    <cellStyle name="Percent 2" xfId="156"/>
    <cellStyle name="Percent 3" xfId="90"/>
    <cellStyle name="Percent 4" xfId="105"/>
    <cellStyle name="Style 1" xfId="172"/>
    <cellStyle name="Sub Heading" xfId="101"/>
    <cellStyle name="Sub Heading 2" xfId="114"/>
    <cellStyle name="Title" xfId="1" builtinId="15" customBuiltin="1"/>
    <cellStyle name="Title 2" xfId="157"/>
    <cellStyle name="Title 3" xfId="91"/>
    <cellStyle name="Total" xfId="17" builtinId="25" customBuiltin="1"/>
    <cellStyle name="Total 2" xfId="158"/>
    <cellStyle name="Total 3" xfId="92"/>
    <cellStyle name="warning" xfId="93"/>
    <cellStyle name="Warning Text" xfId="14" builtinId="11" customBuiltin="1"/>
    <cellStyle name="Warning Text 2" xfId="159"/>
    <cellStyle name="Warning Text 3" xfId="94"/>
    <cellStyle name="xContent" xfId="95"/>
    <cellStyle name="xIndexContent" xfId="96"/>
    <cellStyle name="xMiddleHead" xfId="97"/>
    <cellStyle name="xTopHead" xfId="98"/>
  </cellStyles>
  <dxfs count="231">
    <dxf>
      <font>
        <b/>
      </font>
      <numFmt numFmtId="0" formatCode="General"/>
    </dxf>
    <dxf>
      <font>
        <b/>
      </font>
      <numFmt numFmtId="0" formatCode="General"/>
    </dxf>
    <dxf>
      <numFmt numFmtId="0" formatCode="General"/>
    </dxf>
    <dxf>
      <font>
        <b/>
      </font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font>
        <b/>
      </font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</font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/>
      </font>
      <numFmt numFmtId="0" formatCode="General"/>
    </dxf>
    <dxf>
      <font>
        <b/>
      </font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font>
        <b/>
        <i val="0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</font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5"/>
        </patternFill>
      </fill>
    </dxf>
    <dxf>
      <numFmt numFmtId="20" formatCode="dd\-mmm\-yy"/>
    </dxf>
    <dxf>
      <numFmt numFmtId="20" formatCode="dd\-mmm\-yy"/>
    </dxf>
    <dxf>
      <numFmt numFmtId="19" formatCode="dd/mm/yyyy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4" formatCode="0.00%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4" formatCode="0.00%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numFmt numFmtId="168" formatCode="#,##0.0000_ ;[Red]\-#,##0.0000\ "/>
      <alignment horizontal="center" vertical="center" textRotation="0" wrapText="0" indent="0" justifyLastLine="0" shrinkToFit="0" readingOrder="0"/>
    </dxf>
    <dxf>
      <numFmt numFmtId="168" formatCode="#,##0.0000_ ;[Red]\-#,##0.0000\ "/>
      <alignment horizontal="center" vertical="center" textRotation="0" wrapText="0" indent="0" justifyLastLine="0" shrinkToFit="0" readingOrder="0"/>
    </dxf>
    <dxf>
      <numFmt numFmtId="168" formatCode="#,##0.0000_ ;[Red]\-#,##0.0000\ "/>
      <alignment horizontal="center" vertical="center" textRotation="0" wrapText="0" indent="0" justifyLastLine="0" shrinkToFit="0" readingOrder="0"/>
    </dxf>
    <dxf>
      <numFmt numFmtId="168" formatCode="#,##0.0000_ ;[Red]\-#,##0.0000\ "/>
      <alignment horizontal="center" vertical="center" textRotation="0" wrapText="0" indent="0" justifyLastLine="0" shrinkToFit="0" readingOrder="0"/>
    </dxf>
    <dxf>
      <numFmt numFmtId="168" formatCode="#,##0.0000_ ;[Red]\-#,##0.0000\ "/>
      <alignment horizontal="center" vertical="center" textRotation="0" wrapText="0" indent="0" justifyLastLine="0" shrinkToFit="0" readingOrder="0"/>
    </dxf>
    <dxf>
      <numFmt numFmtId="168" formatCode="#,##0.0000_ ;[Red]\-#,##0.0000\ "/>
      <alignment horizontal="center" vertical="center" textRotation="0" wrapText="0" indent="0" justifyLastLine="0" shrinkToFit="0" readingOrder="0"/>
    </dxf>
    <dxf>
      <numFmt numFmtId="168" formatCode="#,##0.0000_ ;[Red]\-#,##0.0000\ "/>
      <alignment horizontal="center" vertical="center" textRotation="0" wrapText="0" indent="0" justifyLastLine="0" shrinkToFit="0" readingOrder="0"/>
    </dxf>
    <dxf>
      <numFmt numFmtId="168" formatCode="#,##0.0000_ ;[Red]\-#,##0.0000\ "/>
      <alignment horizontal="center" vertical="center" textRotation="0" wrapText="0" indent="0" justifyLastLine="0" shrinkToFit="0" readingOrder="0"/>
    </dxf>
    <dxf>
      <numFmt numFmtId="168" formatCode="#,##0.0000_ ;[Red]\-#,##0.0000\ "/>
      <alignment horizontal="center" vertical="center" textRotation="0" wrapText="0" indent="0" justifyLastLine="0" shrinkToFit="0" readingOrder="0"/>
    </dxf>
    <dxf>
      <numFmt numFmtId="168" formatCode="#,##0.0000_ ;[Red]\-#,##0.0000\ "/>
      <alignment horizontal="center" vertical="center" textRotation="0" wrapText="0" indent="0" justifyLastLine="0" shrinkToFit="0" readingOrder="0"/>
    </dxf>
    <dxf>
      <numFmt numFmtId="168" formatCode="#,##0.0000_ ;[Red]\-#,##0.0000\ "/>
      <alignment horizontal="center" vertical="center" textRotation="0" wrapText="0" indent="0" justifyLastLine="0" shrinkToFit="0" readingOrder="0"/>
    </dxf>
    <dxf>
      <numFmt numFmtId="168" formatCode="#,##0.0000_ ;[Red]\-#,##0.0000\ "/>
      <alignment horizontal="center" vertical="center" textRotation="0" wrapText="0" indent="0" justifyLastLine="0" shrinkToFit="0" readingOrder="0"/>
    </dxf>
    <dxf>
      <numFmt numFmtId="168" formatCode="#,##0.0000_ ;[Red]\-#,##0.0000\ "/>
      <alignment horizontal="center" vertical="center" textRotation="0" wrapText="0" indent="0" justifyLastLine="0" shrinkToFit="0" readingOrder="0"/>
    </dxf>
    <dxf>
      <numFmt numFmtId="168" formatCode="#,##0.0000_ ;[Red]\-#,##0.0000\ "/>
      <alignment horizontal="center" vertical="center" textRotation="0" wrapText="0" indent="0" justifyLastLine="0" shrinkToFit="0" readingOrder="0"/>
    </dxf>
    <dxf>
      <numFmt numFmtId="168" formatCode="#,##0.0000_ ;[Red]\-#,##0.0000\ "/>
      <alignment horizontal="center" vertical="center" textRotation="0" wrapText="0" indent="0" justifyLastLine="0" shrinkToFit="0" readingOrder="0"/>
    </dxf>
    <dxf>
      <numFmt numFmtId="168" formatCode="#,##0.0000_ ;[Red]\-#,##0.0000\ "/>
      <alignment horizontal="center" vertical="center" textRotation="0" wrapText="0" indent="0" justifyLastLine="0" shrinkToFit="0" readingOrder="0"/>
    </dxf>
    <dxf>
      <numFmt numFmtId="20" formatCode="dd\-mmm\-yy"/>
      <alignment horizontal="center" vertical="center" textRotation="0" wrapText="0" indent="0" justifyLastLine="0" shrinkToFit="1" readingOrder="0"/>
    </dxf>
    <dxf>
      <numFmt numFmtId="20" formatCode="dd\-mmm\-yy"/>
      <alignment horizontal="center" vertical="center" textRotation="0" wrapText="0" indent="0" justifyLastLine="0" shrinkToFit="1" readingOrder="0"/>
    </dxf>
    <dxf>
      <numFmt numFmtId="30" formatCode="@"/>
      <alignment horizontal="center" vertical="bottom" textRotation="0" wrapText="0" indent="0" justifyLastLine="0" shrinkToFit="1" readingOrder="0"/>
    </dxf>
    <dxf>
      <numFmt numFmtId="30" formatCode="@"/>
      <alignment horizontal="center" vertical="bottom" textRotation="0" wrapText="0" indent="0" justifyLastLine="0" shrinkToFit="1" readingOrder="0"/>
    </dxf>
    <dxf>
      <numFmt numFmtId="30" formatCode="@"/>
      <alignment horizontal="center" vertical="bottom" textRotation="0" wrapText="0" indent="0" justifyLastLine="0" shrinkToFit="1" readingOrder="0"/>
    </dxf>
    <dxf>
      <numFmt numFmtId="30" formatCode="@"/>
      <alignment horizontal="center" vertical="center" textRotation="0" wrapText="0" indent="0" justifyLastLine="0" shrinkToFit="1" readingOrder="0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30" formatCode="@"/>
    </dxf>
    <dxf>
      <numFmt numFmtId="20" formatCode="dd\-mmm\-yy"/>
    </dxf>
    <dxf>
      <numFmt numFmtId="20" formatCode="dd\-mmm\-yy"/>
    </dxf>
    <dxf>
      <numFmt numFmtId="0" formatCode="General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4" formatCode="#,##0.00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66" formatCode="0.0000%"/>
    </dxf>
    <dxf>
      <numFmt numFmtId="14" formatCode="0.00%"/>
    </dxf>
    <dxf>
      <numFmt numFmtId="4" formatCode="#,##0.00"/>
    </dxf>
    <dxf>
      <numFmt numFmtId="166" formatCode="0.00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alignment horizontal="general" vertical="bottom" textRotation="0" wrapText="0" indent="0" justifyLastLine="0" shrinkToFit="1" readingOrder="0"/>
    </dxf>
    <dxf>
      <numFmt numFmtId="30" formatCode="@"/>
      <alignment horizontal="general" vertical="bottom" textRotation="0" wrapText="0" indent="0" justifyLastLine="0" shrinkToFit="1" readingOrder="0"/>
    </dxf>
    <dxf>
      <numFmt numFmtId="30" formatCode="@"/>
      <alignment horizontal="general" vertical="bottom" textRotation="0" wrapText="0" indent="0" justifyLastLine="0" shrinkToFit="1" readingOrder="0"/>
    </dxf>
    <dxf>
      <numFmt numFmtId="30" formatCode="@"/>
      <alignment horizontal="general" vertical="bottom" textRotation="0" wrapText="0" indent="0" justifyLastLine="0" shrinkToFit="1" readingOrder="0"/>
    </dxf>
    <dxf>
      <numFmt numFmtId="30" formatCode="@"/>
      <alignment horizontal="general" vertical="bottom" textRotation="0" wrapText="0" indent="0" justifyLastLine="0" shrinkToFit="1" readingOrder="0"/>
    </dxf>
    <dxf>
      <numFmt numFmtId="30" formatCode="@"/>
      <alignment horizontal="general" vertical="bottom" textRotation="0" wrapText="0" indent="0" justifyLastLine="0" shrinkToFit="1" readingOrder="0"/>
    </dxf>
    <dxf>
      <numFmt numFmtId="30" formatCode="@"/>
      <alignment horizontal="general" vertical="bottom" textRotation="0" wrapText="0" indent="0" justifyLastLine="0" shrinkToFit="1" readingOrder="0"/>
    </dxf>
    <dxf>
      <numFmt numFmtId="30" formatCode="@"/>
      <alignment horizontal="general" vertical="bottom" textRotation="0" wrapText="0" indent="0" justifyLastLine="0" shrinkToFit="1" readingOrder="0"/>
    </dxf>
    <dxf>
      <numFmt numFmtId="30" formatCode="@"/>
      <alignment horizontal="general" vertical="bottom" textRotation="0" wrapText="0" indent="0" justifyLastLine="0" shrinkToFit="1" readingOrder="0"/>
    </dxf>
    <dxf>
      <numFmt numFmtId="30" formatCode="@"/>
      <alignment horizontal="general" vertical="bottom" textRotation="0" wrapText="0" indent="0" justifyLastLine="0" shrinkToFit="1" readingOrder="0"/>
    </dxf>
    <dxf>
      <numFmt numFmtId="30" formatCode="@"/>
      <alignment horizontal="general" vertical="bottom" textRotation="0" wrapText="0" indent="0" justifyLastLine="0" shrinkToFit="1" readingOrder="0"/>
    </dxf>
    <dxf>
      <numFmt numFmtId="0" formatCode="General"/>
      <fill>
        <patternFill patternType="solid">
          <fgColor theme="4" tint="0.79998168889431442"/>
          <bgColor rgb="FFADDB7B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3" tint="0.59996337778862885"/>
        </left>
        <right style="thin">
          <color theme="3" tint="0.59996337778862885"/>
        </right>
        <top style="thin">
          <color theme="3" tint="0.59996337778862885"/>
        </top>
        <bottom style="thin">
          <color theme="3" tint="0.59996337778862885"/>
        </bottom>
      </border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3" tint="0.59996337778862885"/>
      </font>
    </dxf>
    <dxf>
      <font>
        <color theme="9" tint="0.59996337778862885"/>
      </font>
    </dxf>
    <dxf>
      <font>
        <color theme="5" tint="0.39994506668294322"/>
      </font>
    </dxf>
    <dxf>
      <font>
        <color theme="3" tint="0.59996337778862885"/>
      </font>
    </dxf>
    <dxf>
      <font>
        <color theme="9" tint="0.59996337778862885"/>
      </font>
    </dxf>
    <dxf>
      <font>
        <color theme="5" tint="0.39994506668294322"/>
      </font>
    </dxf>
    <dxf>
      <font>
        <color theme="3" tint="0.59996337778862885"/>
      </font>
    </dxf>
    <dxf>
      <font>
        <color theme="9" tint="0.59996337778862885"/>
      </font>
    </dxf>
    <dxf>
      <font>
        <color theme="5" tint="0.39994506668294322"/>
      </font>
    </dxf>
    <dxf>
      <font>
        <color theme="3" tint="0.59996337778862885"/>
      </font>
    </dxf>
    <dxf>
      <font>
        <color theme="9" tint="0.59996337778862885"/>
      </font>
    </dxf>
    <dxf>
      <font>
        <color theme="5" tint="0.39994506668294322"/>
      </font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numFmt numFmtId="0" formatCode="General"/>
      <alignment horizontal="general" vertical="bottom" textRotation="0" wrapText="0" indent="0" justifyLastLine="0" shrinkToFit="1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</dxf>
    <dxf>
      <fill>
        <patternFill>
          <bgColor rgb="FF5D0707"/>
        </patternFill>
      </fill>
    </dxf>
    <dxf>
      <fill>
        <patternFill>
          <bgColor rgb="FF880A0A"/>
        </patternFill>
      </fill>
    </dxf>
    <dxf>
      <fill>
        <gradientFill degree="90">
          <stop position="0">
            <color rgb="FF5D0707"/>
          </stop>
          <stop position="0.5">
            <color rgb="FFA80C0C"/>
          </stop>
          <stop position="1">
            <color rgb="FF5D0707"/>
          </stop>
        </gradientFill>
      </fill>
    </dxf>
    <dxf>
      <font>
        <strike val="0"/>
        <color theme="0"/>
      </font>
    </dxf>
    <dxf>
      <fill>
        <patternFill>
          <bgColor rgb="FF004760"/>
        </patternFill>
      </fill>
    </dxf>
    <dxf>
      <fill>
        <patternFill>
          <bgColor rgb="FF005776"/>
        </patternFill>
      </fill>
    </dxf>
    <dxf>
      <fill>
        <gradientFill degree="90">
          <stop position="0">
            <color rgb="FF003548"/>
          </stop>
          <stop position="0.5">
            <color rgb="FF006C92"/>
          </stop>
          <stop position="1">
            <color rgb="FF003548"/>
          </stop>
        </gradientFill>
      </fill>
    </dxf>
    <dxf>
      <font>
        <strike val="0"/>
        <color theme="0"/>
      </font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border>
        <bottom style="thin">
          <color auto="1"/>
        </bottom>
      </border>
    </dxf>
  </dxfs>
  <tableStyles count="3" defaultTableStyle="TableStyleMedium2" defaultPivotStyle="PivotStyleLight16">
    <tableStyle name="InputTableLightBlue" pivot="0" count="3">
      <tableStyleElement type="wholeTable" dxfId="230"/>
      <tableStyleElement type="firstRowStripe" dxfId="229"/>
      <tableStyleElement type="secondRowStripe" dxfId="228"/>
    </tableStyle>
    <tableStyle name="LGIM Blue" pivot="0" count="4">
      <tableStyleElement type="wholeTable" dxfId="227"/>
      <tableStyleElement type="headerRow" dxfId="226"/>
      <tableStyleElement type="firstRowStripe" dxfId="225"/>
      <tableStyleElement type="secondRowStripe" dxfId="224"/>
    </tableStyle>
    <tableStyle name="LGIM Red" pivot="0" count="4">
      <tableStyleElement type="wholeTable" dxfId="223"/>
      <tableStyleElement type="headerRow" dxfId="222"/>
      <tableStyleElement type="firstRowStripe" dxfId="221"/>
      <tableStyleElement type="secondRowStripe" dxfId="220"/>
    </tableStyle>
  </tableStyles>
  <colors>
    <mruColors>
      <color rgb="FFFFD85B"/>
      <color rgb="FFADDB7B"/>
      <color rgb="FFFF939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90096</xdr:colOff>
      <xdr:row>4</xdr:row>
      <xdr:rowOff>34604</xdr:rowOff>
    </xdr:from>
    <xdr:to>
      <xdr:col>2</xdr:col>
      <xdr:colOff>486361</xdr:colOff>
      <xdr:row>6</xdr:row>
      <xdr:rowOff>135354</xdr:rowOff>
    </xdr:to>
    <xdr:sp macro="[0]!shtControl.sbrExportForFIA" textlink="">
      <xdr:nvSpPr>
        <xdr:cNvPr id="4" name="Rounded Rectangle 3"/>
        <xdr:cNvSpPr/>
      </xdr:nvSpPr>
      <xdr:spPr>
        <a:xfrm>
          <a:off x="90096" y="820923"/>
          <a:ext cx="1612222" cy="49796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Export data to FIA Master Template</a:t>
          </a:r>
        </a:p>
      </xdr:txBody>
    </xdr:sp>
    <xdr:clientData/>
  </xdr:twoCellAnchor>
  <xdr:twoCellAnchor>
    <xdr:from>
      <xdr:col>0</xdr:col>
      <xdr:colOff>89370</xdr:colOff>
      <xdr:row>1</xdr:row>
      <xdr:rowOff>25659</xdr:rowOff>
    </xdr:from>
    <xdr:to>
      <xdr:col>2</xdr:col>
      <xdr:colOff>481399</xdr:colOff>
      <xdr:row>3</xdr:row>
      <xdr:rowOff>154497</xdr:rowOff>
    </xdr:to>
    <xdr:sp macro="[0]!shtControl.getAllDataAndCalculate" textlink="">
      <xdr:nvSpPr>
        <xdr:cNvPr id="6" name="Rounded Rectangle 5"/>
        <xdr:cNvSpPr/>
      </xdr:nvSpPr>
      <xdr:spPr>
        <a:xfrm>
          <a:off x="89370" y="224818"/>
          <a:ext cx="1612961" cy="52715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Get in All Data</a:t>
          </a:r>
        </a:p>
      </xdr:txBody>
    </xdr:sp>
    <xdr:clientData/>
  </xdr:twoCellAnchor>
  <xdr:twoCellAnchor>
    <xdr:from>
      <xdr:col>0</xdr:col>
      <xdr:colOff>69354</xdr:colOff>
      <xdr:row>10</xdr:row>
      <xdr:rowOff>14087</xdr:rowOff>
    </xdr:from>
    <xdr:to>
      <xdr:col>2</xdr:col>
      <xdr:colOff>486104</xdr:colOff>
      <xdr:row>12</xdr:row>
      <xdr:rowOff>147437</xdr:rowOff>
    </xdr:to>
    <xdr:sp macro="[0]!shtControl.srtExportCDSforFIA" textlink="">
      <xdr:nvSpPr>
        <xdr:cNvPr id="7" name="Rounded Rectangle 6"/>
        <xdr:cNvSpPr/>
      </xdr:nvSpPr>
      <xdr:spPr>
        <a:xfrm>
          <a:off x="69354" y="1951932"/>
          <a:ext cx="1638578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Prepare CDS for FIA template</a:t>
          </a:r>
        </a:p>
      </xdr:txBody>
    </xdr:sp>
    <xdr:clientData/>
  </xdr:twoCellAnchor>
  <xdr:twoCellAnchor>
    <xdr:from>
      <xdr:col>0</xdr:col>
      <xdr:colOff>81944</xdr:colOff>
      <xdr:row>19</xdr:row>
      <xdr:rowOff>22977</xdr:rowOff>
    </xdr:from>
    <xdr:to>
      <xdr:col>2</xdr:col>
      <xdr:colOff>510569</xdr:colOff>
      <xdr:row>21</xdr:row>
      <xdr:rowOff>156327</xdr:rowOff>
    </xdr:to>
    <xdr:sp macro="[0]!shtControl.sbrClearAllTables" textlink="">
      <xdr:nvSpPr>
        <xdr:cNvPr id="5" name="Rounded Rectangle 4"/>
        <xdr:cNvSpPr/>
      </xdr:nvSpPr>
      <xdr:spPr>
        <a:xfrm>
          <a:off x="81944" y="3642477"/>
          <a:ext cx="1645966" cy="514350"/>
        </a:xfrm>
        <a:prstGeom prst="roundRect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Clear All tables</a:t>
          </a:r>
        </a:p>
      </xdr:txBody>
    </xdr:sp>
    <xdr:clientData/>
  </xdr:twoCellAnchor>
  <xdr:twoCellAnchor>
    <xdr:from>
      <xdr:col>0</xdr:col>
      <xdr:colOff>80958</xdr:colOff>
      <xdr:row>7</xdr:row>
      <xdr:rowOff>2978</xdr:rowOff>
    </xdr:from>
    <xdr:to>
      <xdr:col>2</xdr:col>
      <xdr:colOff>484370</xdr:colOff>
      <xdr:row>9</xdr:row>
      <xdr:rowOff>136328</xdr:rowOff>
    </xdr:to>
    <xdr:sp macro="[0]!shtControl.sbrPrintResiduals" textlink="">
      <xdr:nvSpPr>
        <xdr:cNvPr id="8" name="Rounded Rectangle 7"/>
        <xdr:cNvSpPr/>
      </xdr:nvSpPr>
      <xdr:spPr>
        <a:xfrm>
          <a:off x="80958" y="1377010"/>
          <a:ext cx="1619369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Print</a:t>
          </a:r>
          <a:r>
            <a:rPr lang="en-GB" sz="1100" baseline="0"/>
            <a:t> daily residuals</a:t>
          </a:r>
          <a:endParaRPr lang="en-GB" sz="1100"/>
        </a:p>
      </xdr:txBody>
    </xdr:sp>
    <xdr:clientData/>
  </xdr:twoCellAnchor>
  <xdr:twoCellAnchor>
    <xdr:from>
      <xdr:col>0</xdr:col>
      <xdr:colOff>79292</xdr:colOff>
      <xdr:row>16</xdr:row>
      <xdr:rowOff>22436</xdr:rowOff>
    </xdr:from>
    <xdr:to>
      <xdr:col>2</xdr:col>
      <xdr:colOff>507917</xdr:colOff>
      <xdr:row>18</xdr:row>
      <xdr:rowOff>155786</xdr:rowOff>
    </xdr:to>
    <xdr:sp macro="[0]!shtControl.sbrTestiPasConnection" textlink="">
      <xdr:nvSpPr>
        <xdr:cNvPr id="9" name="Rounded Rectangle 8"/>
        <xdr:cNvSpPr/>
      </xdr:nvSpPr>
      <xdr:spPr>
        <a:xfrm>
          <a:off x="79292" y="3124865"/>
          <a:ext cx="1647825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Test iPas</a:t>
          </a:r>
          <a:r>
            <a:rPr lang="en-GB" sz="1100" baseline="0"/>
            <a:t> Connection</a:t>
          </a:r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666749</xdr:colOff>
      <xdr:row>9</xdr:row>
      <xdr:rowOff>47624</xdr:rowOff>
    </xdr:from>
    <xdr:to>
      <xdr:col>6</xdr:col>
      <xdr:colOff>942975</xdr:colOff>
      <xdr:row>11</xdr:row>
      <xdr:rowOff>19049</xdr:rowOff>
    </xdr:to>
    <xdr:sp macro="[0]!shtChecks.sbrCleartblFundChecks" textlink="">
      <xdr:nvSpPr>
        <xdr:cNvPr id="2" name="Rounded Rectangle 1"/>
        <xdr:cNvSpPr/>
      </xdr:nvSpPr>
      <xdr:spPr>
        <a:xfrm>
          <a:off x="7648574" y="1762124"/>
          <a:ext cx="1285876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i="1"/>
            <a:t>Clear BOne Tables</a:t>
          </a:r>
        </a:p>
      </xdr:txBody>
    </xdr:sp>
    <xdr:clientData/>
  </xdr:twoCellAnchor>
  <xdr:twoCellAnchor>
    <xdr:from>
      <xdr:col>5</xdr:col>
      <xdr:colOff>657225</xdr:colOff>
      <xdr:row>6</xdr:row>
      <xdr:rowOff>161925</xdr:rowOff>
    </xdr:from>
    <xdr:to>
      <xdr:col>6</xdr:col>
      <xdr:colOff>904875</xdr:colOff>
      <xdr:row>8</xdr:row>
      <xdr:rowOff>123825</xdr:rowOff>
    </xdr:to>
    <xdr:sp macro="[0]!shtChecks.sbrPrintFundDetails" textlink="">
      <xdr:nvSpPr>
        <xdr:cNvPr id="3" name="Rounded Rectangle 2"/>
        <xdr:cNvSpPr/>
      </xdr:nvSpPr>
      <xdr:spPr>
        <a:xfrm>
          <a:off x="6515100" y="1304925"/>
          <a:ext cx="1257300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Get</a:t>
          </a:r>
          <a:r>
            <a:rPr lang="en-GB" sz="1100" baseline="0"/>
            <a:t> BOne Details</a:t>
          </a:r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47625</xdr:rowOff>
    </xdr:from>
    <xdr:to>
      <xdr:col>1</xdr:col>
      <xdr:colOff>1304925</xdr:colOff>
      <xdr:row>4</xdr:row>
      <xdr:rowOff>171450</xdr:rowOff>
    </xdr:to>
    <xdr:sp macro="[0]!shtCalculation.getBOneSEDOLsForCalculation" textlink="">
      <xdr:nvSpPr>
        <xdr:cNvPr id="2" name="Rounded Rectangle 1"/>
        <xdr:cNvSpPr/>
      </xdr:nvSpPr>
      <xdr:spPr>
        <a:xfrm>
          <a:off x="361950" y="428625"/>
          <a:ext cx="1304925" cy="5048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Prepare Table</a:t>
          </a:r>
        </a:p>
      </xdr:txBody>
    </xdr:sp>
    <xdr:clientData/>
  </xdr:twoCellAnchor>
  <xdr:twoCellAnchor>
    <xdr:from>
      <xdr:col>1</xdr:col>
      <xdr:colOff>19050</xdr:colOff>
      <xdr:row>9</xdr:row>
      <xdr:rowOff>19050</xdr:rowOff>
    </xdr:from>
    <xdr:to>
      <xdr:col>1</xdr:col>
      <xdr:colOff>1323976</xdr:colOff>
      <xdr:row>11</xdr:row>
      <xdr:rowOff>142875</xdr:rowOff>
    </xdr:to>
    <xdr:sp macro="[0]!shtCalculation.sbrClearTblCalculation" textlink="">
      <xdr:nvSpPr>
        <xdr:cNvPr id="3" name="Rounded Rectangle 2"/>
        <xdr:cNvSpPr/>
      </xdr:nvSpPr>
      <xdr:spPr>
        <a:xfrm>
          <a:off x="381000" y="1733550"/>
          <a:ext cx="1304926" cy="5048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Clear</a:t>
          </a:r>
          <a:r>
            <a:rPr lang="en-GB" sz="1100" baseline="0"/>
            <a:t> Table</a:t>
          </a:r>
        </a:p>
      </xdr:txBody>
    </xdr:sp>
    <xdr:clientData/>
  </xdr:twoCellAnchor>
  <xdr:twoCellAnchor>
    <xdr:from>
      <xdr:col>1</xdr:col>
      <xdr:colOff>9524</xdr:colOff>
      <xdr:row>5</xdr:row>
      <xdr:rowOff>114300</xdr:rowOff>
    </xdr:from>
    <xdr:to>
      <xdr:col>1</xdr:col>
      <xdr:colOff>1266825</xdr:colOff>
      <xdr:row>8</xdr:row>
      <xdr:rowOff>47625</xdr:rowOff>
    </xdr:to>
    <xdr:sp macro="[0]!shtCalculation.sbrConvertToValuesCalculation" textlink="">
      <xdr:nvSpPr>
        <xdr:cNvPr id="4" name="Rounded Rectangle 3"/>
        <xdr:cNvSpPr/>
      </xdr:nvSpPr>
      <xdr:spPr>
        <a:xfrm>
          <a:off x="371474" y="1066800"/>
          <a:ext cx="1257301" cy="5048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aseline="0"/>
            <a:t>Convert to values only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3</xdr:row>
      <xdr:rowOff>142875</xdr:rowOff>
    </xdr:from>
    <xdr:to>
      <xdr:col>2</xdr:col>
      <xdr:colOff>571500</xdr:colOff>
      <xdr:row>6</xdr:row>
      <xdr:rowOff>123825</xdr:rowOff>
    </xdr:to>
    <xdr:sp macro="[0]!shtBOneData.btn_Grab_B1_Agg_Data" textlink="">
      <xdr:nvSpPr>
        <xdr:cNvPr id="2" name="Rounded Rectangle 1"/>
        <xdr:cNvSpPr/>
      </xdr:nvSpPr>
      <xdr:spPr>
        <a:xfrm>
          <a:off x="285750" y="714375"/>
          <a:ext cx="1504950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Get </a:t>
          </a:r>
          <a:r>
            <a:rPr lang="en-GB" sz="1100" i="1" u="sng"/>
            <a:t>aggrageted</a:t>
          </a:r>
          <a:r>
            <a:rPr lang="en-GB" sz="1100"/>
            <a:t> BOne FIA results</a:t>
          </a:r>
        </a:p>
      </xdr:txBody>
    </xdr:sp>
    <xdr:clientData/>
  </xdr:twoCellAnchor>
  <xdr:twoCellAnchor>
    <xdr:from>
      <xdr:col>0</xdr:col>
      <xdr:colOff>266700</xdr:colOff>
      <xdr:row>7</xdr:row>
      <xdr:rowOff>171450</xdr:rowOff>
    </xdr:from>
    <xdr:to>
      <xdr:col>2</xdr:col>
      <xdr:colOff>552450</xdr:colOff>
      <xdr:row>10</xdr:row>
      <xdr:rowOff>152400</xdr:rowOff>
    </xdr:to>
    <xdr:sp macro="[0]!shtBOneData.btn_Grab_B1_UnAgg_Data" textlink="">
      <xdr:nvSpPr>
        <xdr:cNvPr id="3" name="Rounded Rectangle 2"/>
        <xdr:cNvSpPr/>
      </xdr:nvSpPr>
      <xdr:spPr>
        <a:xfrm>
          <a:off x="266700" y="1504950"/>
          <a:ext cx="1504950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Get </a:t>
          </a:r>
          <a:r>
            <a:rPr lang="en-GB" sz="1100" i="1" u="sng"/>
            <a:t>unaggrageted</a:t>
          </a:r>
          <a:r>
            <a:rPr lang="en-GB" sz="1100"/>
            <a:t> BOne FIA results</a:t>
          </a:r>
        </a:p>
      </xdr:txBody>
    </xdr:sp>
    <xdr:clientData/>
  </xdr:twoCellAnchor>
  <xdr:twoCellAnchor>
    <xdr:from>
      <xdr:col>0</xdr:col>
      <xdr:colOff>238125</xdr:colOff>
      <xdr:row>12</xdr:row>
      <xdr:rowOff>9525</xdr:rowOff>
    </xdr:from>
    <xdr:to>
      <xdr:col>2</xdr:col>
      <xdr:colOff>523875</xdr:colOff>
      <xdr:row>14</xdr:row>
      <xdr:rowOff>180975</xdr:rowOff>
    </xdr:to>
    <xdr:sp macro="[0]!shtBOneData.sbrClearTblBOneExport" textlink="">
      <xdr:nvSpPr>
        <xdr:cNvPr id="4" name="Rounded Rectangle 3"/>
        <xdr:cNvSpPr/>
      </xdr:nvSpPr>
      <xdr:spPr>
        <a:xfrm>
          <a:off x="238125" y="2295525"/>
          <a:ext cx="1504950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Clear this</a:t>
          </a:r>
          <a:r>
            <a:rPr lang="en-GB" sz="1100" baseline="0"/>
            <a:t> table</a:t>
          </a:r>
          <a:endParaRPr lang="en-GB" sz="1100"/>
        </a:p>
      </xdr:txBody>
    </xdr:sp>
    <xdr:clientData/>
  </xdr:twoCellAnchor>
  <xdr:twoCellAnchor>
    <xdr:from>
      <xdr:col>0</xdr:col>
      <xdr:colOff>250031</xdr:colOff>
      <xdr:row>16</xdr:row>
      <xdr:rowOff>35719</xdr:rowOff>
    </xdr:from>
    <xdr:to>
      <xdr:col>2</xdr:col>
      <xdr:colOff>535781</xdr:colOff>
      <xdr:row>19</xdr:row>
      <xdr:rowOff>16669</xdr:rowOff>
    </xdr:to>
    <xdr:sp macro="[0]!shtBOneData.sbrFixCDSNamesinBOneExport" textlink="">
      <xdr:nvSpPr>
        <xdr:cNvPr id="5" name="Rounded Rectangle 4"/>
        <xdr:cNvSpPr/>
      </xdr:nvSpPr>
      <xdr:spPr>
        <a:xfrm>
          <a:off x="250031" y="3083719"/>
          <a:ext cx="1738313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Fix CDS Names and ISINs</a:t>
          </a:r>
        </a:p>
      </xdr:txBody>
    </xdr:sp>
    <xdr:clientData/>
  </xdr:twoCellAnchor>
  <xdr:twoCellAnchor>
    <xdr:from>
      <xdr:col>0</xdr:col>
      <xdr:colOff>238125</xdr:colOff>
      <xdr:row>20</xdr:row>
      <xdr:rowOff>0</xdr:rowOff>
    </xdr:from>
    <xdr:to>
      <xdr:col>2</xdr:col>
      <xdr:colOff>523875</xdr:colOff>
      <xdr:row>22</xdr:row>
      <xdr:rowOff>171450</xdr:rowOff>
    </xdr:to>
    <xdr:sp macro="[0]!shtBOneData.sbrPrepareCDSMapping" textlink="">
      <xdr:nvSpPr>
        <xdr:cNvPr id="6" name="Rounded Rectangle 5"/>
        <xdr:cNvSpPr/>
      </xdr:nvSpPr>
      <xdr:spPr>
        <a:xfrm>
          <a:off x="238125" y="3810000"/>
          <a:ext cx="1738313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Prepare CDS Mapping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3</xdr:row>
      <xdr:rowOff>57150</xdr:rowOff>
    </xdr:from>
    <xdr:to>
      <xdr:col>1</xdr:col>
      <xdr:colOff>797952</xdr:colOff>
      <xdr:row>5</xdr:row>
      <xdr:rowOff>72619</xdr:rowOff>
    </xdr:to>
    <xdr:sp macro="[0]!shtB1Returns.sbrGetBOneReturns" textlink="">
      <xdr:nvSpPr>
        <xdr:cNvPr id="2" name="Rounded Rectangle 1"/>
        <xdr:cNvSpPr/>
      </xdr:nvSpPr>
      <xdr:spPr>
        <a:xfrm>
          <a:off x="171450" y="628650"/>
          <a:ext cx="1617102" cy="39646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Get BOne</a:t>
          </a:r>
          <a:r>
            <a:rPr lang="en-GB" sz="1100" baseline="0"/>
            <a:t> returns</a:t>
          </a:r>
          <a:endParaRPr lang="en-GB" sz="1100"/>
        </a:p>
      </xdr:txBody>
    </xdr:sp>
    <xdr:clientData/>
  </xdr:twoCellAnchor>
  <xdr:twoCellAnchor>
    <xdr:from>
      <xdr:col>0</xdr:col>
      <xdr:colOff>154548</xdr:colOff>
      <xdr:row>6</xdr:row>
      <xdr:rowOff>3581</xdr:rowOff>
    </xdr:from>
    <xdr:to>
      <xdr:col>1</xdr:col>
      <xdr:colOff>781050</xdr:colOff>
      <xdr:row>8</xdr:row>
      <xdr:rowOff>19050</xdr:rowOff>
    </xdr:to>
    <xdr:sp macro="[0]!shtB1Returns.sbrClearTblBOneReturns" textlink="">
      <xdr:nvSpPr>
        <xdr:cNvPr id="3" name="Rounded Rectangle 2"/>
        <xdr:cNvSpPr/>
      </xdr:nvSpPr>
      <xdr:spPr>
        <a:xfrm>
          <a:off x="154548" y="1146581"/>
          <a:ext cx="1617102" cy="39646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Clear returns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</xdr:row>
      <xdr:rowOff>85725</xdr:rowOff>
    </xdr:from>
    <xdr:to>
      <xdr:col>1</xdr:col>
      <xdr:colOff>638175</xdr:colOff>
      <xdr:row>5</xdr:row>
      <xdr:rowOff>161925</xdr:rowOff>
    </xdr:to>
    <xdr:sp macro="[0]!shtDTS.Import_AccessData" textlink="">
      <xdr:nvSpPr>
        <xdr:cNvPr id="2" name="Rounded Rectangle 1"/>
        <xdr:cNvSpPr/>
      </xdr:nvSpPr>
      <xdr:spPr>
        <a:xfrm>
          <a:off x="266700" y="666750"/>
          <a:ext cx="1228725" cy="457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Get DTS Data</a:t>
          </a:r>
        </a:p>
      </xdr:txBody>
    </xdr:sp>
    <xdr:clientData/>
  </xdr:twoCellAnchor>
  <xdr:twoCellAnchor>
    <xdr:from>
      <xdr:col>0</xdr:col>
      <xdr:colOff>285750</xdr:colOff>
      <xdr:row>7</xdr:row>
      <xdr:rowOff>19050</xdr:rowOff>
    </xdr:from>
    <xdr:to>
      <xdr:col>1</xdr:col>
      <xdr:colOff>657225</xdr:colOff>
      <xdr:row>9</xdr:row>
      <xdr:rowOff>76200</xdr:rowOff>
    </xdr:to>
    <xdr:sp macro="[0]!shtDTS.sbrClearTblDTS" textlink="">
      <xdr:nvSpPr>
        <xdr:cNvPr id="3" name="Rounded Rectangle 2"/>
        <xdr:cNvSpPr/>
      </xdr:nvSpPr>
      <xdr:spPr>
        <a:xfrm>
          <a:off x="285750" y="1066800"/>
          <a:ext cx="122872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Clear</a:t>
          </a:r>
          <a:r>
            <a:rPr lang="en-GB" sz="1100" baseline="0"/>
            <a:t> This Table</a:t>
          </a:r>
          <a:endParaRPr lang="en-GB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4</xdr:row>
      <xdr:rowOff>66675</xdr:rowOff>
    </xdr:from>
    <xdr:to>
      <xdr:col>2</xdr:col>
      <xdr:colOff>0</xdr:colOff>
      <xdr:row>7</xdr:row>
      <xdr:rowOff>57150</xdr:rowOff>
    </xdr:to>
    <xdr:sp macro="[0]!shtFiaStaticData.RefreshIPasData" textlink="">
      <xdr:nvSpPr>
        <xdr:cNvPr id="2" name="Rounded Rectangle 1"/>
        <xdr:cNvSpPr/>
      </xdr:nvSpPr>
      <xdr:spPr>
        <a:xfrm>
          <a:off x="152400" y="1019175"/>
          <a:ext cx="1543050" cy="561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Get FIA Static Data</a:t>
          </a:r>
        </a:p>
      </xdr:txBody>
    </xdr:sp>
    <xdr:clientData/>
  </xdr:twoCellAnchor>
  <xdr:twoCellAnchor>
    <xdr:from>
      <xdr:col>0</xdr:col>
      <xdr:colOff>163285</xdr:colOff>
      <xdr:row>8</xdr:row>
      <xdr:rowOff>95250</xdr:rowOff>
    </xdr:from>
    <xdr:to>
      <xdr:col>2</xdr:col>
      <xdr:colOff>0</xdr:colOff>
      <xdr:row>11</xdr:row>
      <xdr:rowOff>85725</xdr:rowOff>
    </xdr:to>
    <xdr:sp macro="[0]!shtFiaStaticData.sbrClearTblGetStaticData" textlink="">
      <xdr:nvSpPr>
        <xdr:cNvPr id="3" name="Rounded Rectangle 2"/>
        <xdr:cNvSpPr/>
      </xdr:nvSpPr>
      <xdr:spPr>
        <a:xfrm>
          <a:off x="163285" y="1619250"/>
          <a:ext cx="1929493" cy="561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Clear this sheet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10</xdr:row>
      <xdr:rowOff>47625</xdr:rowOff>
    </xdr:from>
    <xdr:to>
      <xdr:col>2</xdr:col>
      <xdr:colOff>581025</xdr:colOff>
      <xdr:row>12</xdr:row>
      <xdr:rowOff>161925</xdr:rowOff>
    </xdr:to>
    <xdr:sp macro="[0]!shtBbergData.sbrCommitDataToIPas" textlink="">
      <xdr:nvSpPr>
        <xdr:cNvPr id="2" name="Rounded Rectangle 1"/>
        <xdr:cNvSpPr/>
      </xdr:nvSpPr>
      <xdr:spPr>
        <a:xfrm>
          <a:off x="114300" y="1952625"/>
          <a:ext cx="1685925" cy="495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Commit this data to iPas</a:t>
          </a:r>
        </a:p>
      </xdr:txBody>
    </xdr:sp>
    <xdr:clientData/>
  </xdr:twoCellAnchor>
  <xdr:twoCellAnchor>
    <xdr:from>
      <xdr:col>0</xdr:col>
      <xdr:colOff>104775</xdr:colOff>
      <xdr:row>4</xdr:row>
      <xdr:rowOff>0</xdr:rowOff>
    </xdr:from>
    <xdr:to>
      <xdr:col>2</xdr:col>
      <xdr:colOff>571500</xdr:colOff>
      <xdr:row>6</xdr:row>
      <xdr:rowOff>104775</xdr:rowOff>
    </xdr:to>
    <xdr:sp macro="[0]!shtBbergData.sbrInsertBBformula" textlink="">
      <xdr:nvSpPr>
        <xdr:cNvPr id="3" name="Rounded Rectangle 2"/>
        <xdr:cNvSpPr/>
      </xdr:nvSpPr>
      <xdr:spPr>
        <a:xfrm>
          <a:off x="104775" y="762000"/>
          <a:ext cx="1685925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Insert Bloomberg</a:t>
          </a:r>
          <a:r>
            <a:rPr lang="en-GB" sz="1100" baseline="0"/>
            <a:t>  formulas</a:t>
          </a:r>
        </a:p>
        <a:p>
          <a:pPr algn="ctr"/>
          <a:endParaRPr lang="en-GB" sz="1100"/>
        </a:p>
      </xdr:txBody>
    </xdr:sp>
    <xdr:clientData/>
  </xdr:twoCellAnchor>
  <xdr:twoCellAnchor>
    <xdr:from>
      <xdr:col>0</xdr:col>
      <xdr:colOff>95249</xdr:colOff>
      <xdr:row>13</xdr:row>
      <xdr:rowOff>85725</xdr:rowOff>
    </xdr:from>
    <xdr:to>
      <xdr:col>2</xdr:col>
      <xdr:colOff>609600</xdr:colOff>
      <xdr:row>16</xdr:row>
      <xdr:rowOff>19050</xdr:rowOff>
    </xdr:to>
    <xdr:sp macro="[0]!shtBbergData.sbrClearBBData" textlink="">
      <xdr:nvSpPr>
        <xdr:cNvPr id="4" name="Rounded Rectangle 3"/>
        <xdr:cNvSpPr/>
      </xdr:nvSpPr>
      <xdr:spPr>
        <a:xfrm>
          <a:off x="95249" y="2562225"/>
          <a:ext cx="1733551" cy="5048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Clear Data</a:t>
          </a:r>
          <a:endParaRPr lang="en-GB" sz="1100" baseline="0"/>
        </a:p>
      </xdr:txBody>
    </xdr:sp>
    <xdr:clientData/>
  </xdr:twoCellAnchor>
  <xdr:twoCellAnchor>
    <xdr:from>
      <xdr:col>0</xdr:col>
      <xdr:colOff>104774</xdr:colOff>
      <xdr:row>7</xdr:row>
      <xdr:rowOff>9525</xdr:rowOff>
    </xdr:from>
    <xdr:to>
      <xdr:col>2</xdr:col>
      <xdr:colOff>571499</xdr:colOff>
      <xdr:row>9</xdr:row>
      <xdr:rowOff>123825</xdr:rowOff>
    </xdr:to>
    <xdr:sp macro="[0]!shtBbergData.sbrConvertToValues" textlink="">
      <xdr:nvSpPr>
        <xdr:cNvPr id="5" name="Rounded Rectangle 4"/>
        <xdr:cNvSpPr/>
      </xdr:nvSpPr>
      <xdr:spPr>
        <a:xfrm>
          <a:off x="104774" y="1343025"/>
          <a:ext cx="1685925" cy="495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Convert the data</a:t>
          </a:r>
          <a:r>
            <a:rPr lang="en-GB" sz="1100" baseline="0"/>
            <a:t> to values only</a:t>
          </a:r>
        </a:p>
        <a:p>
          <a:pPr algn="ctr"/>
          <a:endParaRPr lang="en-GB" sz="1100"/>
        </a:p>
      </xdr:txBody>
    </xdr:sp>
    <xdr:clientData/>
  </xdr:twoCellAnchor>
  <xdr:twoCellAnchor>
    <xdr:from>
      <xdr:col>0</xdr:col>
      <xdr:colOff>85725</xdr:colOff>
      <xdr:row>0</xdr:row>
      <xdr:rowOff>180975</xdr:rowOff>
    </xdr:from>
    <xdr:to>
      <xdr:col>2</xdr:col>
      <xdr:colOff>590550</xdr:colOff>
      <xdr:row>3</xdr:row>
      <xdr:rowOff>95250</xdr:rowOff>
    </xdr:to>
    <xdr:sp macro="[0]!shtBbergData.getISINs" textlink="">
      <xdr:nvSpPr>
        <xdr:cNvPr id="6" name="Rounded Rectangle 5"/>
        <xdr:cNvSpPr/>
      </xdr:nvSpPr>
      <xdr:spPr>
        <a:xfrm>
          <a:off x="85725" y="180975"/>
          <a:ext cx="1724025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aseline="0"/>
            <a:t>Get ISINs</a:t>
          </a:r>
        </a:p>
      </xdr:txBody>
    </xdr:sp>
    <xdr:clientData/>
  </xdr:twoCellAnchor>
  <xdr:twoCellAnchor>
    <xdr:from>
      <xdr:col>0</xdr:col>
      <xdr:colOff>123825</xdr:colOff>
      <xdr:row>17</xdr:row>
      <xdr:rowOff>180975</xdr:rowOff>
    </xdr:from>
    <xdr:to>
      <xdr:col>2</xdr:col>
      <xdr:colOff>638176</xdr:colOff>
      <xdr:row>20</xdr:row>
      <xdr:rowOff>114300</xdr:rowOff>
    </xdr:to>
    <xdr:sp macro="[0]!shtBbergData.sbrDMO_InstrumentSet" textlink="">
      <xdr:nvSpPr>
        <xdr:cNvPr id="8" name="Rounded Rectangle 7"/>
        <xdr:cNvSpPr/>
      </xdr:nvSpPr>
      <xdr:spPr>
        <a:xfrm>
          <a:off x="123825" y="3419475"/>
          <a:ext cx="1733551" cy="504825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aseline="0"/>
            <a:t>DMO Instrument Download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8</xdr:row>
      <xdr:rowOff>28575</xdr:rowOff>
    </xdr:from>
    <xdr:to>
      <xdr:col>2</xdr:col>
      <xdr:colOff>266700</xdr:colOff>
      <xdr:row>10</xdr:row>
      <xdr:rowOff>161925</xdr:rowOff>
    </xdr:to>
    <xdr:sp macro="[0]!shtISINStaticDataCleaning.getStaticData" textlink="">
      <xdr:nvSpPr>
        <xdr:cNvPr id="2" name="Rounded Rectangle 1"/>
        <xdr:cNvSpPr/>
      </xdr:nvSpPr>
      <xdr:spPr>
        <a:xfrm>
          <a:off x="209550" y="1552575"/>
          <a:ext cx="1276350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Get</a:t>
          </a:r>
          <a:r>
            <a:rPr lang="en-GB" sz="1100" baseline="0"/>
            <a:t> Static Data</a:t>
          </a:r>
          <a:endParaRPr lang="en-GB" sz="1100"/>
        </a:p>
      </xdr:txBody>
    </xdr:sp>
    <xdr:clientData/>
  </xdr:twoCellAnchor>
  <xdr:twoCellAnchor>
    <xdr:from>
      <xdr:col>0</xdr:col>
      <xdr:colOff>228600</xdr:colOff>
      <xdr:row>11</xdr:row>
      <xdr:rowOff>104775</xdr:rowOff>
    </xdr:from>
    <xdr:to>
      <xdr:col>2</xdr:col>
      <xdr:colOff>285750</xdr:colOff>
      <xdr:row>14</xdr:row>
      <xdr:rowOff>47625</xdr:rowOff>
    </xdr:to>
    <xdr:sp macro="[0]!shtISINStaticDataCleaning.sbrInsertStaticDataChecks" textlink="">
      <xdr:nvSpPr>
        <xdr:cNvPr id="3" name="Rounded Rectangle 2"/>
        <xdr:cNvSpPr/>
      </xdr:nvSpPr>
      <xdr:spPr>
        <a:xfrm>
          <a:off x="228600" y="2200275"/>
          <a:ext cx="1276350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Insert Checks</a:t>
          </a:r>
        </a:p>
      </xdr:txBody>
    </xdr:sp>
    <xdr:clientData/>
  </xdr:twoCellAnchor>
  <xdr:twoCellAnchor>
    <xdr:from>
      <xdr:col>0</xdr:col>
      <xdr:colOff>219075</xdr:colOff>
      <xdr:row>14</xdr:row>
      <xdr:rowOff>171450</xdr:rowOff>
    </xdr:from>
    <xdr:to>
      <xdr:col>2</xdr:col>
      <xdr:colOff>276225</xdr:colOff>
      <xdr:row>17</xdr:row>
      <xdr:rowOff>114300</xdr:rowOff>
    </xdr:to>
    <xdr:sp macro="[0]!shtISINStaticDataCleaning.sbrClearTICKERClassificationLink" textlink="">
      <xdr:nvSpPr>
        <xdr:cNvPr id="4" name="Rounded Rectangle 3"/>
        <xdr:cNvSpPr/>
      </xdr:nvSpPr>
      <xdr:spPr>
        <a:xfrm>
          <a:off x="219075" y="2838450"/>
          <a:ext cx="1276350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Clear</a:t>
          </a:r>
          <a:r>
            <a:rPr lang="en-GB" sz="1100" baseline="0"/>
            <a:t> this table</a:t>
          </a:r>
          <a:endParaRPr lang="en-GB" sz="1100"/>
        </a:p>
      </xdr:txBody>
    </xdr:sp>
    <xdr:clientData/>
  </xdr:twoCellAnchor>
  <xdr:twoCellAnchor>
    <xdr:from>
      <xdr:col>0</xdr:col>
      <xdr:colOff>219075</xdr:colOff>
      <xdr:row>18</xdr:row>
      <xdr:rowOff>66675</xdr:rowOff>
    </xdr:from>
    <xdr:to>
      <xdr:col>2</xdr:col>
      <xdr:colOff>276225</xdr:colOff>
      <xdr:row>21</xdr:row>
      <xdr:rowOff>9525</xdr:rowOff>
    </xdr:to>
    <xdr:sp macro="[0]!shtISINStaticDataCleaning.sbrCommitDataToIPas" textlink="">
      <xdr:nvSpPr>
        <xdr:cNvPr id="5" name="Rounded Rectangle 4"/>
        <xdr:cNvSpPr/>
      </xdr:nvSpPr>
      <xdr:spPr>
        <a:xfrm>
          <a:off x="219075" y="3495675"/>
          <a:ext cx="1276350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Save</a:t>
          </a:r>
          <a:r>
            <a:rPr lang="en-GB" sz="1100" baseline="0"/>
            <a:t> to iPas</a:t>
          </a:r>
          <a:endParaRPr lang="en-GB" sz="1100"/>
        </a:p>
      </xdr:txBody>
    </xdr:sp>
    <xdr:clientData/>
  </xdr:twoCellAnchor>
  <xdr:twoCellAnchor>
    <xdr:from>
      <xdr:col>0</xdr:col>
      <xdr:colOff>228600</xdr:colOff>
      <xdr:row>21</xdr:row>
      <xdr:rowOff>161925</xdr:rowOff>
    </xdr:from>
    <xdr:to>
      <xdr:col>2</xdr:col>
      <xdr:colOff>285750</xdr:colOff>
      <xdr:row>24</xdr:row>
      <xdr:rowOff>104775</xdr:rowOff>
    </xdr:to>
    <xdr:sp macro="[0]!shtISINStaticDataCleaning.sbrConvertToValuesStaticData" textlink="">
      <xdr:nvSpPr>
        <xdr:cNvPr id="6" name="Rounded Rectangle 5"/>
        <xdr:cNvSpPr/>
      </xdr:nvSpPr>
      <xdr:spPr>
        <a:xfrm>
          <a:off x="228600" y="4162425"/>
          <a:ext cx="1276350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Convert</a:t>
          </a:r>
          <a:r>
            <a:rPr lang="en-GB" sz="1100" baseline="0"/>
            <a:t> to values</a:t>
          </a:r>
          <a:endParaRPr lang="en-GB" sz="1100"/>
        </a:p>
      </xdr:txBody>
    </xdr:sp>
    <xdr:clientData/>
  </xdr:twoCellAnchor>
  <xdr:twoCellAnchor>
    <xdr:from>
      <xdr:col>0</xdr:col>
      <xdr:colOff>222250</xdr:colOff>
      <xdr:row>4</xdr:row>
      <xdr:rowOff>127000</xdr:rowOff>
    </xdr:from>
    <xdr:to>
      <xdr:col>2</xdr:col>
      <xdr:colOff>279400</xdr:colOff>
      <xdr:row>7</xdr:row>
      <xdr:rowOff>69850</xdr:rowOff>
    </xdr:to>
    <xdr:sp macro="[0]!shtISINStaticDataCleaning.getStaticDataNewInstruments" textlink="">
      <xdr:nvSpPr>
        <xdr:cNvPr id="7" name="Rounded Rectangle 6"/>
        <xdr:cNvSpPr/>
      </xdr:nvSpPr>
      <xdr:spPr>
        <a:xfrm>
          <a:off x="222250" y="889000"/>
          <a:ext cx="1284817" cy="514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Get</a:t>
          </a:r>
          <a:r>
            <a:rPr lang="en-GB" sz="1100" baseline="0"/>
            <a:t> Static Data New Instruments</a:t>
          </a:r>
          <a:endParaRPr lang="en-GB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8</xdr:row>
      <xdr:rowOff>57150</xdr:rowOff>
    </xdr:from>
    <xdr:to>
      <xdr:col>2</xdr:col>
      <xdr:colOff>409575</xdr:colOff>
      <xdr:row>11</xdr:row>
      <xdr:rowOff>9525</xdr:rowOff>
    </xdr:to>
    <xdr:sp macro="[0]!shtClassCln.getISINandB1Levels" textlink="">
      <xdr:nvSpPr>
        <xdr:cNvPr id="2" name="Rounded Rectangle 1"/>
        <xdr:cNvSpPr/>
      </xdr:nvSpPr>
      <xdr:spPr>
        <a:xfrm>
          <a:off x="285750" y="1581150"/>
          <a:ext cx="1343025" cy="523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Get ISIN</a:t>
          </a:r>
          <a:r>
            <a:rPr lang="en-GB" sz="1100" baseline="0"/>
            <a:t> and B-One Levels</a:t>
          </a:r>
          <a:endParaRPr lang="en-GB" sz="1100"/>
        </a:p>
      </xdr:txBody>
    </xdr:sp>
    <xdr:clientData/>
  </xdr:twoCellAnchor>
  <xdr:twoCellAnchor>
    <xdr:from>
      <xdr:col>0</xdr:col>
      <xdr:colOff>304800</xdr:colOff>
      <xdr:row>11</xdr:row>
      <xdr:rowOff>114300</xdr:rowOff>
    </xdr:from>
    <xdr:to>
      <xdr:col>2</xdr:col>
      <xdr:colOff>428625</xdr:colOff>
      <xdr:row>14</xdr:row>
      <xdr:rowOff>66675</xdr:rowOff>
    </xdr:to>
    <xdr:sp macro="[0]!shtClassCln.sbrInsertClassificationChecks" textlink="">
      <xdr:nvSpPr>
        <xdr:cNvPr id="3" name="Rounded Rectangle 2"/>
        <xdr:cNvSpPr/>
      </xdr:nvSpPr>
      <xdr:spPr>
        <a:xfrm>
          <a:off x="304800" y="2209800"/>
          <a:ext cx="1343025" cy="523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Insert Classification</a:t>
          </a:r>
          <a:r>
            <a:rPr lang="en-GB" sz="1100" baseline="0"/>
            <a:t> Checks</a:t>
          </a:r>
          <a:endParaRPr lang="en-GB" sz="1100"/>
        </a:p>
      </xdr:txBody>
    </xdr:sp>
    <xdr:clientData/>
  </xdr:twoCellAnchor>
  <xdr:twoCellAnchor>
    <xdr:from>
      <xdr:col>0</xdr:col>
      <xdr:colOff>295275</xdr:colOff>
      <xdr:row>15</xdr:row>
      <xdr:rowOff>47625</xdr:rowOff>
    </xdr:from>
    <xdr:to>
      <xdr:col>2</xdr:col>
      <xdr:colOff>419100</xdr:colOff>
      <xdr:row>18</xdr:row>
      <xdr:rowOff>0</xdr:rowOff>
    </xdr:to>
    <xdr:sp macro="[0]!shtClassCln.sbrStoreClassificationsToiPas" textlink="">
      <xdr:nvSpPr>
        <xdr:cNvPr id="5" name="Rounded Rectangle 4"/>
        <xdr:cNvSpPr/>
      </xdr:nvSpPr>
      <xdr:spPr>
        <a:xfrm>
          <a:off x="295275" y="2905125"/>
          <a:ext cx="1647825" cy="523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Store Levels</a:t>
          </a:r>
          <a:r>
            <a:rPr lang="en-GB" sz="1100" baseline="0"/>
            <a:t> to</a:t>
          </a:r>
          <a:r>
            <a:rPr lang="en-GB" sz="1100"/>
            <a:t> iPas</a:t>
          </a:r>
        </a:p>
      </xdr:txBody>
    </xdr:sp>
    <xdr:clientData/>
  </xdr:twoCellAnchor>
  <xdr:twoCellAnchor>
    <xdr:from>
      <xdr:col>0</xdr:col>
      <xdr:colOff>304800</xdr:colOff>
      <xdr:row>18</xdr:row>
      <xdr:rowOff>171450</xdr:rowOff>
    </xdr:from>
    <xdr:to>
      <xdr:col>2</xdr:col>
      <xdr:colOff>428625</xdr:colOff>
      <xdr:row>21</xdr:row>
      <xdr:rowOff>123825</xdr:rowOff>
    </xdr:to>
    <xdr:sp macro="[0]!shtClassCln.sbrCleartblISINClassificationLink" textlink="">
      <xdr:nvSpPr>
        <xdr:cNvPr id="6" name="Rounded Rectangle 5"/>
        <xdr:cNvSpPr/>
      </xdr:nvSpPr>
      <xdr:spPr>
        <a:xfrm>
          <a:off x="304800" y="3600450"/>
          <a:ext cx="1647825" cy="523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Clear</a:t>
          </a:r>
          <a:r>
            <a:rPr lang="en-GB" sz="1100" baseline="0"/>
            <a:t> this table</a:t>
          </a:r>
        </a:p>
      </xdr:txBody>
    </xdr:sp>
    <xdr:clientData/>
  </xdr:twoCellAnchor>
  <xdr:twoCellAnchor>
    <xdr:from>
      <xdr:col>0</xdr:col>
      <xdr:colOff>262722</xdr:colOff>
      <xdr:row>4</xdr:row>
      <xdr:rowOff>162239</xdr:rowOff>
    </xdr:from>
    <xdr:to>
      <xdr:col>2</xdr:col>
      <xdr:colOff>386547</xdr:colOff>
      <xdr:row>7</xdr:row>
      <xdr:rowOff>114614</xdr:rowOff>
    </xdr:to>
    <xdr:sp macro="[0]!shtClassCln.getISINandB1LevelsNewInstruments" textlink="">
      <xdr:nvSpPr>
        <xdr:cNvPr id="7" name="Rounded Rectangle 6"/>
        <xdr:cNvSpPr/>
      </xdr:nvSpPr>
      <xdr:spPr>
        <a:xfrm>
          <a:off x="262722" y="924239"/>
          <a:ext cx="1647825" cy="523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Get ISIN</a:t>
          </a:r>
          <a:r>
            <a:rPr lang="en-GB" sz="1100" baseline="0"/>
            <a:t> and B-One Levels New Instruments</a:t>
          </a:r>
          <a:endParaRPr lang="en-GB" sz="1100"/>
        </a:p>
      </xdr:txBody>
    </xdr:sp>
    <xdr:clientData/>
  </xdr:twoCellAnchor>
</xdr:wsDr>
</file>

<file path=xl/tables/table1.xml><?xml version="1.0" encoding="utf-8"?>
<table xmlns="http://schemas.openxmlformats.org/spreadsheetml/2006/main" id="9" name="tblFund_Code" displayName="tblFund_Code" ref="C1:F78" totalsRowShown="0" dataDxfId="219">
  <autoFilter ref="C1:F78"/>
  <sortState ref="C2:F78">
    <sortCondition ref="F1:F78"/>
  </sortState>
  <tableColumns count="4">
    <tableColumn id="1" name="BOne_Fund" dataDxfId="218"/>
    <tableColumn id="3" name="Main Code" dataDxfId="217"/>
    <tableColumn id="2" name="Fund Name" dataDxfId="216"/>
    <tableColumn id="4" name="Fund Code/Name" dataDxfId="215">
      <calculatedColumnFormula>tblFund_Code[[#This Row],[Main Code]]&amp;" - "&amp;tblFund_Code[[#This Row],[Fund Name]]</calculatedColumnFormula>
    </tableColumn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11" name="tblFundChecks1" displayName="tblFundChecks1" ref="A17:D20" totalsRowShown="0">
  <autoFilter ref="A17:D20"/>
  <tableColumns count="4">
    <tableColumn id="1" name="PORTF_CODE" dataDxfId="172"/>
    <tableColumn id="2" name="SOVEREIGN_CURVE"/>
    <tableColumn id="3" name="SWAP_CURVE"/>
    <tableColumn id="4" name="Pass (0) / Fail (1)" dataDxfId="171">
      <calculatedColumnFormula>ISNUMBER(SEARCH("Key",tblFundChecks1[[#This Row],[SWAP_CURVE]]))+ISNUMBER(SEARCH("Key",tblFundChecks1[[#This Row],[SOVEREIGN_CURVE]]))-2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0" name="tblFundChecks2" displayName="tblFundChecks2" ref="F17:O18" totalsRowShown="0" dataDxfId="170">
  <autoFilter ref="F17:O18"/>
  <tableColumns count="10">
    <tableColumn id="7" name="PORTF_CODE" dataDxfId="169"/>
    <tableColumn id="1" name="VALUATED_ON_WEEKENDS" dataDxfId="168"/>
    <tableColumn id="2" name="PORTF_CURRENCY" dataDxfId="167"/>
    <tableColumn id="3" name="PORTF_NAME" dataDxfId="166"/>
    <tableColumn id="4" name="BONE_NAME" dataDxfId="165"/>
    <tableColumn id="5" name="BDEF_BEGIN_DATE" dataDxfId="164"/>
    <tableColumn id="6" name="INDEX_WEIGHTING" dataDxfId="163"/>
    <tableColumn id="8" name="INDEX_NAME" dataDxfId="162"/>
    <tableColumn id="9" name="PROVIDER" dataDxfId="161"/>
    <tableColumn id="10" name="Check" dataDxfId="16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blCalculation" displayName="tblCalculation" ref="E1:AN254" totalsRowShown="0">
  <autoFilter ref="E1:AN254"/>
  <tableColumns count="36">
    <tableColumn id="1" name="INSTRUMENT_CODE" dataDxfId="159">
      <calculatedColumnFormula>tblBOneExport[[#This Row],[INSTRUMENT_CODE]]</calculatedColumnFormula>
    </tableColumn>
    <tableColumn id="2" name="INSTRUMENT" dataDxfId="158">
      <calculatedColumnFormula>tblBOneExport[[#This Row],[INSTRUMENT]]</calculatedColumnFormula>
    </tableColumn>
    <tableColumn id="38" name="ISIN" dataDxfId="157">
      <calculatedColumnFormula>IF(tblBOneExport[[#This Row],[ISIN]]&lt;&gt;"", tblBOneExport[[#This Row],[ISIN]],"")</calculatedColumnFormula>
    </tableColumn>
    <tableColumn id="43" name="Ticker" dataDxfId="156">
      <calculatedColumnFormula>IF(tblCalculation[[#This Row],[B1Level2]]="CDS",tblBOneExport[[#This Row],[B1_TICKER]],IF(tblCalculation[[#This Row],[ISIN]]="","",INDEX(tblGetStaticData[Ticker],MATCH(tblCalculation[[#This Row],[ISIN]],tblGetStaticData[ISIN],0))))</calculatedColumnFormula>
    </tableColumn>
    <tableColumn id="40" name="B1Level2" dataDxfId="155">
      <calculatedColumnFormula>IF(tblBOneExport[[#This Row],[INSTRUMENT_TYPE]]="Forward Contract","Forward Contract",tblBOneExport[LEVEL2])</calculatedColumnFormula>
    </tableColumn>
    <tableColumn id="37" name="B1Level3" dataDxfId="154">
      <calculatedColumnFormula>IF(tblBOneExport[[#This Row],[INSTRUMENT_TYPE]]="Forward Contract","Forward Contract",tblBOneExport[[#This Row],[LEVEL3]])</calculatedColumnFormula>
    </tableColumn>
    <tableColumn id="46" name="Level2" dataDxfId="153">
      <calculatedColumnFormula>INDEX(tblLvl2Mapping[],MATCH(tblCalculation[[#This Row],[B1Level2]]&amp;"_"&amp;tblCalculation[[#This Row],[B1Level3]],tblLvl2Mapping[B1Level2_B1Level3],0),2)</calculatedColumnFormula>
    </tableColumn>
    <tableColumn id="47" name="Level3" dataDxfId="152">
      <calculatedColumnFormula>IF(tblCalculation[[#This Row],[Level2]]="Sovereigns",IF(ISERROR(MATCH(tblCalculation[[#This Row],[Ticker]],tblRiskFreeTickers[RiskFreeTickers],0)),"Other Sovereign","Sovereigns"),tblCalculation[[#This Row],[Level2]])</calculatedColumnFormula>
    </tableColumn>
    <tableColumn id="36" name="FIAttributable" dataDxfId="151">
      <calculatedColumnFormula>INDEX(tblAttributable[],MATCH(tblCalculation[[#This Row],[Level3]],tblAttributable[Level3],0),2)</calculatedColumnFormula>
    </tableColumn>
    <tableColumn id="3" name="PtfWeight" dataDxfId="150">
      <calculatedColumnFormula>tblBOneExport[[#This Row],[PTF_WEIGHT]]</calculatedColumnFormula>
    </tableColumn>
    <tableColumn id="32" name="PtfDTS" dataDxfId="149">
      <calculatedColumnFormula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calculatedColumnFormula>
    </tableColumn>
    <tableColumn id="34" name="PtfDTSWeight" dataDxfId="148">
      <calculatedColumnFormula>tblCalculation[[#This Row],[PtfDTS]]/SUM(tblCalculation[PtfDTS])</calculatedColumnFormula>
    </tableColumn>
    <tableColumn id="4" name="PtfContributionBase" dataDxfId="147">
      <calculatedColumnFormula>tblBOneExport[[#This Row],[PTF_CONTRIBUTION]]</calculatedColumnFormula>
    </tableColumn>
    <tableColumn id="5" name="PtfContributionLocal" dataDxfId="146">
      <calculatedColumnFormula>tblCalculation[[#This Row],[PtfContributionBase]]-tblCalculation[[#This Row],[PtfCurrencyReturn]]</calculatedColumnFormula>
    </tableColumn>
    <tableColumn id="48" name="PtfNonCreditCarry" dataDxfId="145">
      <calculatedColumnFormula>IF(tblBOneExport[[#This Row],[LEVEL1]]="Bonds",tblBOneExport[[#This Row],[PTF_GOV_CARRY]],"")</calculatedColumnFormula>
    </tableColumn>
    <tableColumn id="6" name="PtfCreditCarry" dataDxfId="144">
      <calculatedColumnFormula>tblCalculation[[#This Row],[FIAttributable]]*tblBOneExport[[#This Row],[PTF_CREDIT_CARRY]]</calculatedColumnFormula>
    </tableColumn>
    <tableColumn id="7" name="PtfCurve" dataDxfId="143">
      <calculatedColumnFormula>tblCalculation[[#This Row],[FIAttributable]]*tblBOneExport[[#This Row],[PTF_TOTAL_CURVE]]</calculatedColumnFormula>
    </tableColumn>
    <tableColumn id="10" name="PtfSpread" dataDxfId="142">
      <calculatedColumnFormula>IF(tblCalculation[[#This Row],[B1Level2]]="CDS",tblCalculation[[#This Row],[PtfContributionLocal]],tblCalculation[[#This Row],[FIAttributable]]*(tblBOneExport[[#This Row],[PTF_TOTAL_SPREAD]])+PTF_Credit_Adj*tblCalculation[[#This Row],[PtfDTSWeight]])</calculatedColumnFormula>
    </tableColumn>
    <tableColumn id="8" name="PtfCostofHedging" dataDxfId="141">
      <calculatedColumnFormula>IF(AND(tblCalculation[[#This Row],[Level3]]="Forward Contracts",tblBOneExport[[#This Row],[PTF_COST_OF_CARRY]]=0),tblBOneExport[[#This Row],[PTF_VALUATION]],0)</calculatedColumnFormula>
    </tableColumn>
    <tableColumn id="11" name="PtfRes" dataDxfId="140">
      <calculatedColumnFormula>SUM(tblCalculation[[#This Row],[PtfTrading]:[PtfModelRes]])</calculatedColumnFormula>
    </tableColumn>
    <tableColumn id="12" name="PtfTrading" dataDxfId="139">
      <calculatedColumnFormula>tblCalculation[[#This Row],[FIAttributable]]*tblBOneExport[[#This Row],[PTF_TRADING]]</calculatedColumnFormula>
    </tableColumn>
    <tableColumn id="13" name="PtfValuation" dataDxfId="138">
      <calculatedColumnFormula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calculatedColumnFormula>
    </tableColumn>
    <tableColumn id="15" name="PtfModelRes" dataDxfId="137">
      <calculatedColumnFormula>tblCalculation[[#This Row],[FIAttributable]]*tblBOneExport[[#This Row],[PTF_MODEL_RESIDUAL]]-PTF_Credit_Adj*tblCalculation[[#This Row],[PtfDTSWeight]]</calculatedColumnFormula>
    </tableColumn>
    <tableColumn id="14" name="PtfCurrencyReturn" dataDxfId="136">
      <calculatedColumnFormula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calculatedColumnFormula>
    </tableColumn>
    <tableColumn id="19" name="BMKWeight" dataDxfId="135">
      <calculatedColumnFormula>tblBOneExport[[#This Row],[BMK_WEIGHT]]</calculatedColumnFormula>
    </tableColumn>
    <tableColumn id="33" name="BMKDTS" dataDxfId="134">
      <calculatedColumnFormula>tblCalculation[[#This Row],[FIAttributable]]*SUMIFS(tblDTS[DTSContribution_BM],tblDTS[ISIN],tblCalculation[[#This Row],[ISIN]])</calculatedColumnFormula>
    </tableColumn>
    <tableColumn id="35" name="BmkDTSWeight" dataDxfId="133">
      <calculatedColumnFormula>IF(SUM(tblCalculation[BMKDTS])=0,0,tblCalculation[[#This Row],[BMKDTS]]/SUM(tblCalculation[BMKDTS]))</calculatedColumnFormula>
    </tableColumn>
    <tableColumn id="20" name="BMKContributionBase" dataDxfId="132">
      <calculatedColumnFormula>tblBOneExport[[#This Row],[BMK_CONTRIBUTION]]</calculatedColumnFormula>
    </tableColumn>
    <tableColumn id="21" name="BMKContributionLocal" dataDxfId="131">
      <calculatedColumnFormula>tblCalculation[[#This Row],[BMKContributionBase]]-tblBOneExport[BMK_SPOT_CCY_RETURN]-tblBOneExport[[#This Row],[BMK_CROSS_EFFECT]]</calculatedColumnFormula>
    </tableColumn>
    <tableColumn id="26" name="BMKNonCreditCarry" dataDxfId="130">
      <calculatedColumnFormula>tblCalculation[[#This Row],[FIAttributable]]*(tblBOneExport[[#This Row],[BMK_RETURN_GOV_CARRY]])</calculatedColumnFormula>
    </tableColumn>
    <tableColumn id="24" name="BMKCreditCarry" dataDxfId="129">
      <calculatedColumnFormula>tblCalculation[[#This Row],[FIAttributable]]*tblBOneExport[[#This Row],[BMK_CREDIT_CARRY]]</calculatedColumnFormula>
    </tableColumn>
    <tableColumn id="25" name="BMKCurve" dataDxfId="128">
      <calculatedColumnFormula>tblCalculation[[#This Row],[FIAttributable]]*tblBOneExport[[#This Row],[BMK_TOTAL_CURVE]]</calculatedColumnFormula>
    </tableColumn>
    <tableColumn id="23" name="BMKSpread" dataDxfId="127">
      <calculatedColumnFormula>tblCalculation[[#This Row],[FIAttributable]]*(tblBOneExport[[#This Row],[BMK_TOTAL_SPREAD]]+BMK_Credit_Adj*tblCalculation[[#This Row],[BmkDTSWeight]])</calculatedColumnFormula>
    </tableColumn>
    <tableColumn id="29" name="BMKModelRes" dataDxfId="126">
      <calculatedColumnFormula>tblCalculation[[#This Row],[FIAttributable]]*tblBOneExport[[#This Row],[BMK_MODEL_RESIDUAL]]-BMK_Credit_Adj*tblCalculation[[#This Row],[BmkDTSWeight]]</calculatedColumnFormula>
    </tableColumn>
    <tableColumn id="9" name="BMKCostofHedging" dataDxfId="125">
      <calculatedColumnFormula>IF(tblCalculation[[#This Row],[Level3]]="Forward Contracts",tblCalculation[[#This Row],[BMKContributionLocal]],0)</calculatedColumnFormula>
    </tableColumn>
    <tableColumn id="28" name="BMKCurrencyReturn" dataDxfId="124">
      <calculatedColumnFormula>tblBOneExport[[#This Row],[BMK_SPOT_CCY_RETURN]]+tblBOneExport[[#This Row],[BMK_CROSS_EFFECT]]</calculatedColumnFormula>
    </tableColumn>
  </tableColumns>
  <tableStyleInfo name="TableStyleMedium17" showFirstColumn="0" showLastColumn="0" showRowStripes="1" showColumnStripes="0"/>
</table>
</file>

<file path=xl/tables/table5.xml><?xml version="1.0" encoding="utf-8"?>
<table xmlns="http://schemas.openxmlformats.org/spreadsheetml/2006/main" id="8" name="tblBOneExport" displayName="tblBOneExport" ref="E1:BM254">
  <autoFilter ref="E1:BM254"/>
  <sortState ref="E2:BM252">
    <sortCondition ref="P1:P254"/>
  </sortState>
  <tableColumns count="61">
    <tableColumn id="1" name="CountISINs" dataDxfId="123">
      <calculatedColumnFormula>COUNTIFS(tblBOneExport[ISIN],tblBOneExport[[#This Row],[ISIN]],tblBOneExport[LEVEL1],"Bonds")</calculatedColumnFormula>
    </tableColumn>
    <tableColumn id="2" name="PORTF_CODE"/>
    <tableColumn id="3" name="BEGIN_DATE" dataDxfId="122"/>
    <tableColumn id="4" name="END_DATE" dataDxfId="121"/>
    <tableColumn id="5" name="INSTRUMENT"/>
    <tableColumn id="6" name="INSTR_ID"/>
    <tableColumn id="7" name="INSTRUMENT_CODE" dataDxfId="120"/>
    <tableColumn id="8" name="ISIN"/>
    <tableColumn id="9" name="B1_TICKER"/>
    <tableColumn id="10" name="CONFIGURATION"/>
    <tableColumn id="11" name="INSTRUMENT_TYPE"/>
    <tableColumn id="12" name="LEVEL1"/>
    <tableColumn id="13" name="LEVEL2"/>
    <tableColumn id="14" name="LEVEL3"/>
    <tableColumn id="15" name="LEVEL4"/>
    <tableColumn id="16" name="LEVEL5"/>
    <tableColumn id="17" name="LEVEL6"/>
    <tableColumn id="18" name="AVERAGE_RATING"/>
    <tableColumn id="19" name="INSTRUMENT_CURRENCY_CODE"/>
    <tableColumn id="20" name="TIERING"/>
    <tableColumn id="21" name="MATURITY_DATE"/>
    <tableColumn id="60" name="CALL_DATE"/>
    <tableColumn id="22" name="COUNTRY_DOMICILE"/>
    <tableColumn id="23" name="COUNTRY_ISO_CODE"/>
    <tableColumn id="24" name="PTF_WEIGHT"/>
    <tableColumn id="25" name="PTF_PERFORMANCE" dataDxfId="119"/>
    <tableColumn id="26" name="PTF_CONTRIBUTION" dataDxfId="118"/>
    <tableColumn id="27" name="BMK_WEIGHT" dataDxfId="117"/>
    <tableColumn id="28" name="BMK_PERFORMANCE" dataDxfId="116"/>
    <tableColumn id="29" name="BMK_CONTRIBUTION" dataDxfId="115"/>
    <tableColumn id="30" name="PTF_TOTAL_CARRY" dataDxfId="114"/>
    <tableColumn id="31" name="PTF_GOV_CARRY" dataDxfId="113"/>
    <tableColumn id="32" name="PTF_CREDIT_CARRY" dataDxfId="112"/>
    <tableColumn id="33" name="PTF_TOTAL_CURVE" dataDxfId="111"/>
    <tableColumn id="34" name="PTF_TREASURY_ROLLDOWN" dataDxfId="110"/>
    <tableColumn id="35" name="PTF_TOTAL_SPREAD" dataDxfId="109"/>
    <tableColumn id="36" name="PTF_MODEL_RESIDUAL" dataDxfId="108"/>
    <tableColumn id="37" name="PTF_CURRENCY_RETURN" dataDxfId="107"/>
    <tableColumn id="38" name="PTF_SPOT_CURRENCY" dataDxfId="106"/>
    <tableColumn id="39" name="PTF_COST_OF_CARRY" dataDxfId="105"/>
    <tableColumn id="40" name="PTF_HEDGE_CURRENCY" dataDxfId="104"/>
    <tableColumn id="41" name="PTF_CROSS_EFFECT" dataDxfId="103"/>
    <tableColumn id="42" name="PTF_VALUATION" dataDxfId="102"/>
    <tableColumn id="43" name="PTF_TRADING" dataDxfId="101"/>
    <tableColumn id="44" name="PTF_LOCAL_TRADING" dataDxfId="100"/>
    <tableColumn id="62" name="PTF_LOCAL_CCY_TRADING" dataDxfId="99"/>
    <tableColumn id="61" name="BMK_TOTAL_CARRY" dataDxfId="98"/>
    <tableColumn id="45" name="BMK_RETURN_GOV_CARRY" dataDxfId="97"/>
    <tableColumn id="46" name="BMK_CREDIT_CARRY" dataDxfId="96"/>
    <tableColumn id="47" name="BMK_TOTAL_CURVE" dataDxfId="95"/>
    <tableColumn id="48" name="BMK_TREASURY_ROLLDOWN" dataDxfId="94"/>
    <tableColumn id="49" name="BMK_TOTAL_SPREAD" dataDxfId="93"/>
    <tableColumn id="50" name="BMK_MODEL_RESIDUAL" dataDxfId="92"/>
    <tableColumn id="51" name="BMK_CURRENCY_RETURN" dataDxfId="91"/>
    <tableColumn id="52" name="BMK_SPOT_CCY_RETURN" dataDxfId="90"/>
    <tableColumn id="53" name="BMK_HEDGE_CURRENCY" dataDxfId="89"/>
    <tableColumn id="54" name="BMK_CROSS_EFFECT" dataDxfId="88"/>
    <tableColumn id="55" name="PTF_END_OAS" dataDxfId="87"/>
    <tableColumn id="56" name="BMK_END_OAS" totalsRowFunction="count" dataDxfId="86"/>
    <tableColumn id="57" name="INSTR_ID_ALL_SIGNATURE" dataDxfId="85"/>
    <tableColumn id="58" name="QRY_SIGNATURE" dataDxfId="8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blBOneReturns" displayName="tblBOneReturns" ref="C1:AD2" totalsRowShown="0">
  <autoFilter ref="C1:AD2"/>
  <tableColumns count="28">
    <tableColumn id="1" name="PORTF_CODE" dataDxfId="83"/>
    <tableColumn id="2" name="FUND_CURRENCY" dataDxfId="82"/>
    <tableColumn id="3" name="PORTF_NAME" dataDxfId="81"/>
    <tableColumn id="4" name="START_DATE" dataDxfId="80"/>
    <tableColumn id="5" name="END_DATE" dataDxfId="79"/>
    <tableColumn id="6" name="GROSS_TOTAL_RETURN" dataDxfId="78"/>
    <tableColumn id="7" name="DECOMPOSED" dataDxfId="77"/>
    <tableColumn id="8" name="TOTAL_LESS_DECOMPOSED" dataDxfId="76"/>
    <tableColumn id="9" name="BMK_TOTAL_RETURN" dataDxfId="75"/>
    <tableColumn id="10" name="BMK_DECOMPOSED" dataDxfId="74"/>
    <tableColumn id="11" name="BMK_TOTAL_LESS_DECOMPOSED" dataDxfId="73"/>
    <tableColumn id="12" name="START_SHNV_NAV" dataDxfId="72"/>
    <tableColumn id="13" name="END_SHNV_NAV" dataDxfId="71"/>
    <tableColumn id="14" name="START_SHNV_NET_VALUE" dataDxfId="70"/>
    <tableColumn id="15" name="END_SHNV_NET_VALUE" dataDxfId="69"/>
    <tableColumn id="16" name="FUND_PL" dataDxfId="68"/>
    <tableColumn id="17" name="FUND_INCOME" dataDxfId="67"/>
    <tableColumn id="18" name="START_BVALU_VALUE" dataDxfId="66"/>
    <tableColumn id="19" name="END_BVALU_VALUE" dataDxfId="65"/>
    <tableColumn id="20" name="MANAG_FEES" dataDxfId="64"/>
    <tableColumn id="21" name="NET_TOTAL_RETURN" dataDxfId="63"/>
    <tableColumn id="22" name="BDEF_BEGIN_DATE"/>
    <tableColumn id="23" name="INDEX_WEIGHTING"/>
    <tableColumn id="24" name="INDEX_NAME"/>
    <tableColumn id="25" name="PROVIDER"/>
    <tableColumn id="26" name="Don'tDelete"/>
    <tableColumn id="27" name="Don'tDelete2"/>
    <tableColumn id="28" name="Don'tDelete3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id="3" name="tblDTS" displayName="tblDTS" ref="C1:K344" totalsRowShown="0" headerRowDxfId="62">
  <autoFilter ref="C1:K344"/>
  <tableColumns count="9">
    <tableColumn id="1" name="AssetType" dataDxfId="61"/>
    <tableColumn id="2" name="Issuer" dataDxfId="60"/>
    <tableColumn id="3" name="Issue" dataDxfId="59"/>
    <tableColumn id="4" name="ISIN" dataDxfId="58"/>
    <tableColumn id="5" name="Ticker" dataDxfId="57" dataCellStyle="Percent 2"/>
    <tableColumn id="6" name="DTSWeight" dataDxfId="56" dataCellStyle="Percent 2"/>
    <tableColumn id="7" name="DTSWeight_BM" dataDxfId="55" dataCellStyle="Comma"/>
    <tableColumn id="8" name="DTSContribution" dataDxfId="54" dataCellStyle="Comma"/>
    <tableColumn id="9" name="DTSContribution_BM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id="6" name="tblGetStaticData" displayName="tblGetStaticData" ref="D1:AT252" totalsRowShown="0" headerRowDxfId="53" headerRowBorderDxfId="52" tableBorderDxfId="51">
  <autoFilter ref="D1:AT252"/>
  <tableColumns count="43">
    <tableColumn id="1" name="ISIN"/>
    <tableColumn id="2" name="InstrumentName" dataDxfId="50">
      <calculatedColumnFormula>INDEX(tblBOneExport[[INSTRUMENT]:[ISIN]],MATCH(tblGetStaticData[[#This Row],[ISIN]],tblBOneExport[ISIN],0),1)</calculatedColumnFormula>
    </tableColumn>
    <tableColumn id="3" name="IPasL2AndTiering" dataDxfId="49">
      <calculatedColumnFormula>tblGetStaticData[[#This Row],[iPasL2]]&amp; " " &amp; tblGetStaticData[[#This Row],[Tiering]]</calculatedColumnFormula>
    </tableColumn>
    <tableColumn id="4" name="Tiering" dataDxfId="48"/>
    <tableColumn id="5" name="iPasL1"/>
    <tableColumn id="6" name="iPasL2"/>
    <tableColumn id="43" name="iPasL3"/>
    <tableColumn id="7" name="Ticker"/>
    <tableColumn id="8" name="Average_Rating"/>
    <tableColumn id="9" name="Currency"/>
    <tableColumn id="10" name="CurrencyName"/>
    <tableColumn id="11" name="DomicileCode"/>
    <tableColumn id="12" name="CntryofDomicile"/>
    <tableColumn id="13" name="RegionOfDomicile"/>
    <tableColumn id="14" name="CntryofRiskCode"/>
    <tableColumn id="15" name="CntryOfRisk"/>
    <tableColumn id="16" name="RegionOfRisk"/>
    <tableColumn id="17" name="RiskRegionForEmergingMarkets"/>
    <tableColumn id="18" name="BB_ISIN"/>
    <tableColumn id="19" name="BB_TICKER"/>
    <tableColumn id="20" name="IndustrySector"/>
    <tableColumn id="21" name="IndustryGroup"/>
    <tableColumn id="22" name="IndustrySubgroup"/>
    <tableColumn id="23" name="BB_CURRENCY"/>
    <tableColumn id="24" name="PaymentRank"/>
    <tableColumn id="25" name="SENorSUB"/>
    <tableColumn id="26" name="BB_Maturity"/>
    <tableColumn id="27" name="BB_MaturityGroup"/>
    <tableColumn id="28" name="BB_FinalMaturity"/>
    <tableColumn id="29" name="BB_FinalMaturityGroup"/>
    <tableColumn id="30" name="CntryOfIssue"/>
    <tableColumn id="31" name="BB_DomicileCode"/>
    <tableColumn id="32" name="BB_CntryofDomicile"/>
    <tableColumn id="33" name="BB_RegionOfDomicile"/>
    <tableColumn id="34" name="BB_CntryofRiskCode"/>
    <tableColumn id="35" name="BB_CntryofRisk"/>
    <tableColumn id="36" name="BB_RegionOfRisk"/>
    <tableColumn id="37" name="RtgMoody"/>
    <tableColumn id="38" name="RtgSP"/>
    <tableColumn id="39" name="RtgFitch"/>
    <tableColumn id="40" name="BBComposite"/>
    <tableColumn id="41" name="TieringSenSub"/>
    <tableColumn id="42" name="IGorHY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2" name="tblBbergDataLink" displayName="tblBbergDataLink" ref="D1:S2" insertRow="1" totalsRowShown="0" headerRowDxfId="47">
  <autoFilter ref="D1:S2"/>
  <tableColumns count="16">
    <tableColumn id="1" name="ISIN"/>
    <tableColumn id="8" name="TICKER" dataDxfId="46"/>
    <tableColumn id="2" name="INDUSTRY_SECTOR" dataDxfId="45"/>
    <tableColumn id="3" name="INDUSTRY_GROUP" dataDxfId="44"/>
    <tableColumn id="4" name="INDUSTRY_SUBGROUP" dataDxfId="43"/>
    <tableColumn id="5" name="CURRENCY" dataDxfId="42"/>
    <tableColumn id="6" name="PAYMENT_RANK" dataDxfId="41"/>
    <tableColumn id="15" name="MATURITY" dataDxfId="40"/>
    <tableColumn id="7" name="FINAL_MATURITY" dataDxfId="39"/>
    <tableColumn id="16" name="CNTRY_ISSUE_ISO" dataDxfId="38"/>
    <tableColumn id="9" name="CNTRY_OF_DOMICILE" dataDxfId="37"/>
    <tableColumn id="10" name="CNTRY_OF_RISK" dataDxfId="36"/>
    <tableColumn id="11" name="RTG_MOODY_NO_WATCH" dataDxfId="35"/>
    <tableColumn id="12" name="RTG_FITCH_NO_WATCH" dataDxfId="34"/>
    <tableColumn id="13" name="RTG_SP_NO_WATCH" dataDxfId="33"/>
    <tableColumn id="14" name="BB_COMPOSITE" dataDxfId="32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id="7" name="tblTICKERClassificationLink" displayName="tblTICKERClassificationLink" ref="D1:AO2" totalsRowShown="0">
  <autoFilter ref="D1:AO2"/>
  <tableColumns count="38">
    <tableColumn id="15" name="DataIssue" dataDxfId="31">
      <calculatedColumnFormula>IF(tblTICKERClassificationLink[[#This Row],[TICKER_PROBLEM]]+tblTICKERClassificationLink[[#This Row],[CURRENCY_PROBLEM]]+tblTICKERClassificationLink[[#This Row],[CURRENCY_PROBLEM]]+tblTICKERClassificationLink[[#This Row],[CURRENCY_PROBLEM]]+tblTICKERClassificationLink[[#This Row],[CURRENCY_PROBLEM]]+tblTICKERClassificationLink[[#This Row],[CNTRY_RISK_PROBLEM]]+tblTICKERClassificationLink[[#This Row],[DOMICILE_PROBLEM]]+tblTICKERClassificationLink[[#This Row],[RATING_PROBLEM]]&gt;0,1,0)</calculatedColumnFormula>
    </tableColumn>
    <tableColumn id="31" name="INSTRUMENT"/>
    <tableColumn id="1" name="ISIN"/>
    <tableColumn id="12" name="iPasL1"/>
    <tableColumn id="14" name="iPasL2"/>
    <tableColumn id="4" name="B1_TICKER"/>
    <tableColumn id="18" name="iPas_TICKER" dataDxfId="30"/>
    <tableColumn id="19" name="BB_TICKER" dataDxfId="29"/>
    <tableColumn id="2" name="TICKER_PROBLEM" dataDxfId="28">
      <calculatedColumnFormula>IF(OR(tblTICKERClassificationLink[[#This Row],[iPas_TICKER]]&lt;&gt;tblTICKERClassificationLink[[#This Row],[BB_TICKER]],tblTICKERClassificationLink[[#This Row],[BB_TICKER]]=""),1,0)</calculatedColumnFormula>
    </tableColumn>
    <tableColumn id="23" name="TICKER_StoreToiPas" dataDxfId="27">
      <calculatedColumnFormula>TEXT(IF(tblTICKERClassificationLink[[#This Row],[TICKER_PROBLEM]]=1,IF(tblTICKERClassificationLink[[#This Row],[BB_TICKER]]="",tblTICKERClassificationLink[[#This Row],[B1_TICKER]],tblTICKERClassificationLink[[#This Row],[BB_TICKER]]),tblTICKERClassificationLink[[#This Row],[iPas_TICKER]]),"")</calculatedColumnFormula>
    </tableColumn>
    <tableColumn id="5" name="B1_CURRENCY" dataDxfId="26"/>
    <tableColumn id="22" name="iPas_CURRENCY" dataDxfId="25"/>
    <tableColumn id="20" name="BB_CURRENCY" dataDxfId="24"/>
    <tableColumn id="3" name="CURRENCY_PROBLEM" dataDxfId="23">
      <calculatedColumnFormula>IF(OR(tblTICKERClassificationLink[[#This Row],[B1_CURRENCY]]&lt;&gt;tblTICKERClassificationLink[[#This Row],[iPas_CURRENCY]],tblTICKERClassificationLink[[#This Row],[B1_CURRENCY]]=""),1,0)</calculatedColumnFormula>
    </tableColumn>
    <tableColumn id="10" name="CURRENCY_StoreToiPas" dataDxfId="22">
      <calculatedColumnFormula>TEXT(IF(tblTICKERClassificationLink[[#This Row],[CURRENCY_PROBLEM]]=1,IF(tblTICKERClassificationLink[[#This Row],[B1_CURRENCY]]="",tblTICKERClassificationLink[[#This Row],[BB_CURRENCY]],tblTICKERClassificationLink[[#This Row],[B1_CURRENCY]]),tblTICKERClassificationLink[[#This Row],[iPas_CURRENCY]]),"")</calculatedColumnFormula>
    </tableColumn>
    <tableColumn id="25" name="B1_TIERING" dataDxfId="21"/>
    <tableColumn id="26" name="iPas_TIERING"/>
    <tableColumn id="24" name="PaymentRank" dataDxfId="20"/>
    <tableColumn id="21" name="SENorSUB" dataDxfId="19"/>
    <tableColumn id="6" name="TIERING_PROBLEM" dataDxfId="18">
      <calculatedColumnFormula>IF(tblTICKERClassificationLink[[#This Row],[B1_TIERING]]&lt;&gt;tblTICKERClassificationLink[[#This Row],[SENorSUB]],"Yes","")</calculatedColumnFormula>
    </tableColumn>
    <tableColumn id="7" name="TIERING_StoreToiPas" dataDxfId="17">
      <calculatedColumnFormula>TEXT(IF(tblTICKERClassificationLink[[#This Row],[B1_TIERING]]&lt;&gt;tblTICKERClassificationLink[[#This Row],[SENorSUB]],tblTICKERClassificationLink[[#This Row],[SENorSUB]],tblTICKERClassificationLink[[#This Row],[B1_TIERING]]),"")</calculatedColumnFormula>
    </tableColumn>
    <tableColumn id="29" name="iPas_CNTRY_RISK" dataDxfId="16"/>
    <tableColumn id="8" name="BB_CNTRY_RISK"/>
    <tableColumn id="27" name="CNTRY_RISK_PROBLEM" dataDxfId="15">
      <calculatedColumnFormula>IF(tblTICKERClassificationLink[[#This Row],[iPas_CNTRY_RISK]]="",1,0)</calculatedColumnFormula>
    </tableColumn>
    <tableColumn id="36" name="CNTRY_RISK_StoreToiPas" dataDxfId="14">
      <calculatedColumnFormula>TEXT(IF(tblTICKERClassificationLink[[#This Row],[CNTRY_RISK_PROBLEM]]=1,tblTICKERClassificationLink[[#This Row],[BB_CNTRY_RISK]],tblTICKERClassificationLink[[#This Row],[iPas_CNTRY_RISK]]),"")</calculatedColumnFormula>
    </tableColumn>
    <tableColumn id="9" name="B1_CNTRY_DOMICILE" dataDxfId="13"/>
    <tableColumn id="30" name="iPAS_CNTRY_DOMICILE" dataDxfId="12"/>
    <tableColumn id="17" name="BB_CNTRY_DOMICILE" dataDxfId="11"/>
    <tableColumn id="37" name="DOMICILE_PROBLEM" dataDxfId="10">
      <calculatedColumnFormula>IF(OR(tblTICKERClassificationLink[[#This Row],[iPAS_CNTRY_DOMICILE]]&lt;&gt;tblTICKERClassificationLink[[#This Row],[BB_CNTRY_DOMICILE]],tblTICKERClassificationLink[[#This Row],[BB_CNTRY_DOMICILE]]=""),1,0)</calculatedColumnFormula>
    </tableColumn>
    <tableColumn id="39" name="CNTRY_DOMICILE_StoreToiPas" dataDxfId="9">
      <calculatedColumnFormula>TEXT(IF(tblTICKERClassificationLink[[#This Row],[DOMICILE_PROBLEM]]=1,IF(tblTICKERClassificationLink[[#This Row],[BB_CNTRY_DOMICILE]]="",tblTICKERClassificationLink[[#This Row],[B1_CNTRY_DOMICILE]],tblTICKERClassificationLink[[#This Row],[BB_CNTRY_DOMICILE]]),tblTICKERClassificationLink[[#This Row],[iPAS_CNTRY_DOMICILE]]),"")</calculatedColumnFormula>
    </tableColumn>
    <tableColumn id="40" name="B1_RATING" dataDxfId="8"/>
    <tableColumn id="41" name="iPas_RATING" dataDxfId="7"/>
    <tableColumn id="11" name="BB_RATING"/>
    <tableColumn id="38" name="BB_SP"/>
    <tableColumn id="42" name="BB_MOODY" dataDxfId="6"/>
    <tableColumn id="28" name="BB_FITCH" dataDxfId="5"/>
    <tableColumn id="13" name="RATING_PROBLEM" dataDxfId="4">
      <calculatedColumnFormula>IF(OR(tblTICKERClassificationLink[[#This Row],[iPas_RATING]]="",tblTICKERClassificationLink[[#This Row],[iPas_RATING]]&lt;&gt;tblTICKERClassificationLink[[#This Row],[BB_RATING]]),1,0)</calculatedColumnFormula>
    </tableColumn>
    <tableColumn id="16" name="RATING_StoreToiPas" dataDxfId="3">
      <calculatedColumnFormula>TEXT(IF(tblTICKERClassificationLink[[#This Row],[RATING_PROBLEM]]=1,IF(tblTICKERClassificationLink[[#This Row],[BB_RATING]]="NR",tblTICKERClassificationLink[[#This Row],[B1_RATING]],tblTICKERClassificationLink[[#This Row],[BB_RATING]]),tblTICKERClassificationLink[[#This Row],[iPas_RATING]]),"")</calculatedColumnFormula>
    </tableColumn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id="5" name="tblISINClassificationLink" displayName="tblISINClassificationLink" ref="D1:R2" totalsRowShown="0">
  <autoFilter ref="D1:R2"/>
  <tableColumns count="15">
    <tableColumn id="1" name="ISIN"/>
    <tableColumn id="15" name="INSTRUMENT"/>
    <tableColumn id="2" name="B-OneL1"/>
    <tableColumn id="3" name="B-OneL2"/>
    <tableColumn id="4" name="B-OneL3"/>
    <tableColumn id="5" name="iPasL1"/>
    <tableColumn id="6" name="iPasL2"/>
    <tableColumn id="7" name="iPasL3"/>
    <tableColumn id="14" name="iPasBBL1"/>
    <tableColumn id="13" name="iPasBBL2"/>
    <tableColumn id="12" name="iPasBBL3"/>
    <tableColumn id="11" name="Problem?" dataDxfId="2">
      <calculatedColumnFormula>IF(OR(tblISINClassificationLink[[#This Row],[B-OneL1]]&lt;&gt;tblISINClassificationLink[[#This Row],[iPasL1]],tblISINClassificationLink[[#This Row],[B-OneL2]]&lt;&gt;tblISINClassificationLink[[#This Row],[iPasL2]]),"Y","")</calculatedColumnFormula>
    </tableColumn>
    <tableColumn id="8" name="StoreToiPasL1" dataDxfId="1">
      <calculatedColumnFormula>IF(tblISINClassificationLink[[#This Row],[Problem?]]="Y",IF(tblISINClassificationLink[[#This Row],[iPasL1]]="",tblISINClassificationLink[[#This Row],[B-OneL1]],tblISINClassificationLink[[#This Row],[iPasL1]]),tblISINClassificationLink[[#This Row],[iPasL1]])</calculatedColumnFormula>
    </tableColumn>
    <tableColumn id="9" name="StoreToiPasL2" dataDxfId="0">
      <calculatedColumnFormula>IF(tblISINClassificationLink[[#This Row],[Problem?]]="Y",IF(tblISINClassificationLink[[#This Row],[iPasL2]]="",tblISINClassificationLink[[#This Row],[B-OneL2]],tblISINClassificationLink[[#This Row],[iPasL2]]),tblISINClassificationLink[[#This Row],[iPasL2]])</calculatedColumnFormula>
    </tableColumn>
    <tableColumn id="10" name="StoreToiPasL3"/>
  </tableColumns>
  <tableStyleInfo name="TableStyleMedium4" showFirstColumn="0" showLastColumn="0" showRowStripes="1" showColumnStripes="0"/>
</table>
</file>

<file path=xl/tables/table12.xml><?xml version="1.0" encoding="utf-8"?>
<table xmlns="http://schemas.openxmlformats.org/spreadsheetml/2006/main" id="15" name="tblLvl2Mapping" displayName="tblLvl2Mapping" ref="A1:B38" totalsRowShown="0">
  <autoFilter ref="A1:B38"/>
  <tableColumns count="2">
    <tableColumn id="1" name="B1Level2_B1Level3"/>
    <tableColumn id="2" name="Level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6" name="tblRiskFreeTickers" displayName="tblRiskFreeTickers" ref="E1:E8" totalsRowShown="0">
  <autoFilter ref="E1:E8"/>
  <tableColumns count="1">
    <tableColumn id="1" name="RiskFreeTicker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7" name="tblAttributable" displayName="tblAttributable" ref="H1:I12" totalsRowShown="0">
  <autoFilter ref="H1:I12"/>
  <tableColumns count="2">
    <tableColumn id="1" name="Level3"/>
    <tableColumn id="2" name="Attributabl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.xml"/><Relationship Id="rId4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Reference"/>
  <dimension ref="A1:F768"/>
  <sheetViews>
    <sheetView showGridLines="0" workbookViewId="0">
      <selection activeCell="C2" sqref="C2:E78"/>
    </sheetView>
  </sheetViews>
  <sheetFormatPr defaultRowHeight="15" x14ac:dyDescent="0.25"/>
  <cols>
    <col min="1" max="1" width="10.7109375" customWidth="1"/>
    <col min="3" max="3" width="20.85546875" bestFit="1" customWidth="1"/>
    <col min="4" max="4" width="12.85546875" bestFit="1" customWidth="1"/>
    <col min="5" max="5" width="74.5703125" bestFit="1" customWidth="1"/>
    <col min="6" max="6" width="25.28515625" customWidth="1"/>
  </cols>
  <sheetData>
    <row r="1" spans="1:6" x14ac:dyDescent="0.25">
      <c r="A1" s="1">
        <v>42005</v>
      </c>
      <c r="C1" t="s">
        <v>259</v>
      </c>
      <c r="D1" t="s">
        <v>257</v>
      </c>
      <c r="E1" t="s">
        <v>215</v>
      </c>
      <c r="F1" t="s">
        <v>288</v>
      </c>
    </row>
    <row r="2" spans="1:6" x14ac:dyDescent="0.25">
      <c r="A2" s="1">
        <v>42097</v>
      </c>
      <c r="C2" s="156">
        <v>1292</v>
      </c>
      <c r="D2" s="156">
        <v>1292</v>
      </c>
      <c r="E2" s="163" t="s">
        <v>283</v>
      </c>
      <c r="F2" s="53" t="str">
        <f>tblFund_Code[[#This Row],[Main Code]]&amp;" - "&amp;tblFund_Code[[#This Row],[Fund Name]]</f>
        <v>1292 - GBP COLLATERALISED, NON-FINANCIALS &amp; SUBORDINATED FINANCIALS FUND</v>
      </c>
    </row>
    <row r="3" spans="1:6" x14ac:dyDescent="0.25">
      <c r="A3" s="1">
        <v>42100</v>
      </c>
      <c r="C3" s="156" t="s">
        <v>480</v>
      </c>
      <c r="D3" s="160">
        <v>1696</v>
      </c>
      <c r="E3" s="163" t="s">
        <v>483</v>
      </c>
      <c r="F3" s="53" t="str">
        <f>tblFund_Code[[#This Row],[Main Code]]&amp;" - "&amp;tblFund_Code[[#This Row],[Fund Name]]</f>
        <v>1696 - ALS - B&amp;M</v>
      </c>
    </row>
    <row r="4" spans="1:6" x14ac:dyDescent="0.25">
      <c r="A4" s="1">
        <v>42128</v>
      </c>
      <c r="C4" s="156" t="s">
        <v>417</v>
      </c>
      <c r="D4" s="160">
        <v>2412</v>
      </c>
      <c r="E4" s="163" t="s">
        <v>420</v>
      </c>
      <c r="F4" s="53" t="str">
        <f>tblFund_Code[[#This Row],[Main Code]]&amp;" - "&amp;tblFund_Code[[#This Row],[Fund Name]]</f>
        <v>2412 - PMC HIGH YIELD BOND TRUST</v>
      </c>
    </row>
    <row r="5" spans="1:6" x14ac:dyDescent="0.25">
      <c r="A5" s="1">
        <v>42149</v>
      </c>
      <c r="C5" s="156">
        <v>2462</v>
      </c>
      <c r="D5" s="160">
        <v>2462</v>
      </c>
      <c r="E5" s="163" t="s">
        <v>443</v>
      </c>
      <c r="F5" s="53" t="str">
        <f>tblFund_Code[[#This Row],[Main Code]]&amp;" - "&amp;tblFund_Code[[#This Row],[Fund Name]]</f>
        <v>2462 - PMC ACT GBP COLL &amp; CORP</v>
      </c>
    </row>
    <row r="6" spans="1:6" x14ac:dyDescent="0.25">
      <c r="A6" s="1">
        <v>42247</v>
      </c>
      <c r="C6" s="157" t="s">
        <v>256</v>
      </c>
      <c r="D6" s="157">
        <v>2519</v>
      </c>
      <c r="E6" s="164" t="s">
        <v>287</v>
      </c>
      <c r="F6" s="53" t="str">
        <f>tblFund_Code[[#This Row],[Main Code]]&amp;" - "&amp;tblFund_Code[[#This Row],[Fund Name]]</f>
        <v>2519 - PMC ACTIVE GBP CREDIT ALL STOCKS FUND</v>
      </c>
    </row>
    <row r="7" spans="1:6" x14ac:dyDescent="0.25">
      <c r="A7" s="1">
        <v>42363</v>
      </c>
      <c r="C7" s="156">
        <v>2536</v>
      </c>
      <c r="D7" s="156">
        <v>2536</v>
      </c>
      <c r="E7" s="163" t="s">
        <v>449</v>
      </c>
      <c r="F7" s="53" t="str">
        <f>tblFund_Code[[#This Row],[Main Code]]&amp;" - "&amp;tblFund_Code[[#This Row],[Fund Name]]</f>
        <v>2536 - PMC ACTIVE GBP CREDIT OVER 10 YEAR FUND (PF SECTION WT)</v>
      </c>
    </row>
    <row r="8" spans="1:6" x14ac:dyDescent="0.25">
      <c r="A8" s="1">
        <v>42366</v>
      </c>
      <c r="C8" s="157">
        <v>3019</v>
      </c>
      <c r="D8" s="157">
        <v>3019</v>
      </c>
      <c r="E8" s="164" t="s">
        <v>484</v>
      </c>
      <c r="F8" s="53" t="str">
        <f>tblFund_Code[[#This Row],[Main Code]]&amp;" - "&amp;tblFund_Code[[#This Row],[Fund Name]]</f>
        <v>3019 - LINKED LIFE CREDIT OPPORTUNITIES FUND</v>
      </c>
    </row>
    <row r="9" spans="1:6" x14ac:dyDescent="0.25">
      <c r="A9" s="1">
        <v>42370</v>
      </c>
      <c r="C9" s="156" t="s">
        <v>252</v>
      </c>
      <c r="D9" s="156">
        <v>4381</v>
      </c>
      <c r="E9" s="163" t="s">
        <v>278</v>
      </c>
      <c r="F9" s="53" t="str">
        <f>tblFund_Code[[#This Row],[Main Code]]&amp;" - "&amp;tblFund_Code[[#This Row],[Fund Name]]</f>
        <v>4381 - USS- CORE PLUS FUND</v>
      </c>
    </row>
    <row r="10" spans="1:6" x14ac:dyDescent="0.25">
      <c r="A10" s="1">
        <v>42454</v>
      </c>
      <c r="C10" s="156">
        <v>4429</v>
      </c>
      <c r="D10" s="156">
        <v>4429</v>
      </c>
      <c r="E10" s="163" t="s">
        <v>270</v>
      </c>
      <c r="F10" s="53" t="str">
        <f>tblFund_Code[[#This Row],[Main Code]]&amp;" - "&amp;tblFund_Code[[#This Row],[Fund Name]]</f>
        <v>4429 - LVUI CORPORATE BONDS - CB LGIM (316804)</v>
      </c>
    </row>
    <row r="11" spans="1:6" x14ac:dyDescent="0.25">
      <c r="A11" s="1">
        <v>42457</v>
      </c>
      <c r="C11" s="157">
        <v>4451</v>
      </c>
      <c r="D11" s="157">
        <v>4451</v>
      </c>
      <c r="E11" s="164" t="s">
        <v>271</v>
      </c>
      <c r="F11" s="53" t="str">
        <f>tblFund_Code[[#This Row],[Main Code]]&amp;" - "&amp;tblFund_Code[[#This Row],[Fund Name]]</f>
        <v>4451 - RAGS-EUR CORPORATES III</v>
      </c>
    </row>
    <row r="12" spans="1:6" x14ac:dyDescent="0.25">
      <c r="A12" s="1">
        <v>42492</v>
      </c>
      <c r="C12" s="156">
        <v>4547</v>
      </c>
      <c r="D12" s="156">
        <v>4547</v>
      </c>
      <c r="E12" s="163" t="s">
        <v>260</v>
      </c>
      <c r="F12" s="53" t="str">
        <f>tblFund_Code[[#This Row],[Main Code]]&amp;" - "&amp;tblFund_Code[[#This Row],[Fund Name]]</f>
        <v>4547 - YORKSHIRE &amp; CLYDESDALE BANK CREDIT BUY &amp; MAINTAIN</v>
      </c>
    </row>
    <row r="13" spans="1:6" x14ac:dyDescent="0.25">
      <c r="A13" s="1">
        <v>42520</v>
      </c>
      <c r="C13" s="156">
        <v>4565</v>
      </c>
      <c r="D13" s="156">
        <v>4565</v>
      </c>
      <c r="E13" s="163" t="s">
        <v>418</v>
      </c>
      <c r="F13" s="53" t="str">
        <f>tblFund_Code[[#This Row],[Main Code]]&amp;" - "&amp;tblFund_Code[[#This Row],[Fund Name]]</f>
        <v>4565 - WHEELS COMMON INVESTMENT FUND</v>
      </c>
    </row>
    <row r="14" spans="1:6" x14ac:dyDescent="0.25">
      <c r="A14" s="1">
        <v>42611</v>
      </c>
      <c r="C14" s="156">
        <v>4576</v>
      </c>
      <c r="D14" s="156">
        <v>4576</v>
      </c>
      <c r="E14" s="163" t="s">
        <v>485</v>
      </c>
      <c r="F14" s="53" t="str">
        <f>tblFund_Code[[#This Row],[Main Code]]&amp;" - "&amp;tblFund_Code[[#This Row],[Fund Name]]</f>
        <v>4576 - PGGM - BPF SCHILDERS MANDATE</v>
      </c>
    </row>
    <row r="15" spans="1:6" x14ac:dyDescent="0.25">
      <c r="A15" s="1">
        <v>42730</v>
      </c>
      <c r="C15" s="157">
        <v>4581</v>
      </c>
      <c r="D15" s="157">
        <v>4581</v>
      </c>
      <c r="E15" s="164" t="s">
        <v>272</v>
      </c>
      <c r="F15" s="53" t="str">
        <f>tblFund_Code[[#This Row],[Main Code]]&amp;" - "&amp;tblFund_Code[[#This Row],[Fund Name]]</f>
        <v>4581 - MI FONDS F35</v>
      </c>
    </row>
    <row r="16" spans="1:6" x14ac:dyDescent="0.25">
      <c r="A16" s="1">
        <v>42731</v>
      </c>
      <c r="C16" s="156">
        <v>4599</v>
      </c>
      <c r="D16" s="156">
        <v>4599</v>
      </c>
      <c r="E16" s="163" t="s">
        <v>273</v>
      </c>
      <c r="F16" s="53" t="str">
        <f>tblFund_Code[[#This Row],[Main Code]]&amp;" - "&amp;tblFund_Code[[#This Row],[Fund Name]]</f>
        <v>4599 - BETURN CBE LGIM</v>
      </c>
    </row>
    <row r="17" spans="1:6" x14ac:dyDescent="0.25">
      <c r="A17" s="1">
        <v>42737</v>
      </c>
      <c r="C17" s="156">
        <v>4685</v>
      </c>
      <c r="D17" s="156">
        <v>4685</v>
      </c>
      <c r="E17" s="163" t="s">
        <v>274</v>
      </c>
      <c r="F17" s="53" t="str">
        <f>tblFund_Code[[#This Row],[Main Code]]&amp;" - "&amp;tblFund_Code[[#This Row],[Fund Name]]</f>
        <v>4685 - BUMA UNIVERSAL FONDS IV</v>
      </c>
    </row>
    <row r="18" spans="1:6" x14ac:dyDescent="0.25">
      <c r="A18" s="1">
        <v>42839</v>
      </c>
      <c r="C18" s="156" t="s">
        <v>408</v>
      </c>
      <c r="D18" s="156">
        <v>4722</v>
      </c>
      <c r="E18" s="163" t="s">
        <v>282</v>
      </c>
      <c r="F18" s="53" t="str">
        <f>tblFund_Code[[#This Row],[Main Code]]&amp;" - "&amp;tblFund_Code[[#This Row],[Fund Name]]</f>
        <v>4722 - ASIAZERO - GLOBAL CREDIT FUND</v>
      </c>
    </row>
    <row r="19" spans="1:6" x14ac:dyDescent="0.25">
      <c r="A19" s="1">
        <v>42842</v>
      </c>
      <c r="C19" s="156">
        <v>4956</v>
      </c>
      <c r="D19" s="156">
        <v>4956</v>
      </c>
      <c r="E19" s="163" t="s">
        <v>275</v>
      </c>
      <c r="F19" s="53" t="str">
        <f>tblFund_Code[[#This Row],[Main Code]]&amp;" - "&amp;tblFund_Code[[#This Row],[Fund Name]]</f>
        <v>4956 - KVW-RENTEN-FONDS 1 D3</v>
      </c>
    </row>
    <row r="20" spans="1:6" x14ac:dyDescent="0.25">
      <c r="A20" s="1">
        <v>42856</v>
      </c>
      <c r="C20" s="156">
        <v>5200</v>
      </c>
      <c r="D20" s="156">
        <v>5200</v>
      </c>
      <c r="E20" s="163" t="s">
        <v>277</v>
      </c>
      <c r="F20" s="53" t="str">
        <f>tblFund_Code[[#This Row],[Main Code]]&amp;" - "&amp;tblFund_Code[[#This Row],[Fund Name]]</f>
        <v>5200 - LGIM EURO CORPORATE BOND FUND</v>
      </c>
    </row>
    <row r="21" spans="1:6" x14ac:dyDescent="0.25">
      <c r="A21" s="1">
        <v>42884</v>
      </c>
      <c r="C21" s="156" t="s">
        <v>445</v>
      </c>
      <c r="D21" s="156">
        <v>5211</v>
      </c>
      <c r="E21" s="163" t="s">
        <v>279</v>
      </c>
      <c r="F21" s="53" t="str">
        <f>tblFund_Code[[#This Row],[Main Code]]&amp;" - "&amp;tblFund_Code[[#This Row],[Fund Name]]</f>
        <v>5211 - LGIM GLOBAL CORPORATE BOND FUND</v>
      </c>
    </row>
    <row r="22" spans="1:6" x14ac:dyDescent="0.25">
      <c r="A22" s="1">
        <v>42975</v>
      </c>
      <c r="C22" s="156">
        <v>5349</v>
      </c>
      <c r="D22" s="156">
        <v>5349</v>
      </c>
      <c r="E22" s="163" t="s">
        <v>307</v>
      </c>
      <c r="F22" s="53" t="str">
        <f>tblFund_Code[[#This Row],[Main Code]]&amp;" - "&amp;tblFund_Code[[#This Row],[Fund Name]]</f>
        <v>5349 - LGIM BESPOKE ACTIVE CREDIT FUND - AM</v>
      </c>
    </row>
    <row r="23" spans="1:6" x14ac:dyDescent="0.25">
      <c r="A23" s="1">
        <v>43094</v>
      </c>
      <c r="C23" s="156" t="s">
        <v>308</v>
      </c>
      <c r="D23" s="160">
        <v>5358</v>
      </c>
      <c r="E23" s="163" t="s">
        <v>309</v>
      </c>
      <c r="F23" s="53" t="str">
        <f>tblFund_Code[[#This Row],[Main Code]]&amp;" - "&amp;tblFund_Code[[#This Row],[Fund Name]]</f>
        <v>5358 - LGIM BESPOKE HEDGING FUND Q</v>
      </c>
    </row>
    <row r="24" spans="1:6" x14ac:dyDescent="0.25">
      <c r="A24" s="1">
        <v>43095</v>
      </c>
      <c r="C24" s="156" t="s">
        <v>405</v>
      </c>
      <c r="D24" s="160">
        <v>5371</v>
      </c>
      <c r="E24" s="163" t="s">
        <v>407</v>
      </c>
      <c r="F24" s="53" t="str">
        <f>tblFund_Code[[#This Row],[Main Code]]&amp;" - "&amp;tblFund_Code[[#This Row],[Fund Name]]</f>
        <v>5371 - LGIM BESPOKE HEDGING FD AE</v>
      </c>
    </row>
    <row r="25" spans="1:6" x14ac:dyDescent="0.25">
      <c r="A25" s="1">
        <v>43101</v>
      </c>
      <c r="C25" s="156">
        <v>5404</v>
      </c>
      <c r="D25" s="156">
        <v>5404</v>
      </c>
      <c r="E25" s="163" t="s">
        <v>276</v>
      </c>
      <c r="F25" s="53" t="str">
        <f>tblFund_Code[[#This Row],[Main Code]]&amp;" - "&amp;tblFund_Code[[#This Row],[Fund Name]]</f>
        <v>5404 - L&amp;G EURO CORPORATE BOND FUND</v>
      </c>
    </row>
    <row r="26" spans="1:6" x14ac:dyDescent="0.25">
      <c r="A26" s="1">
        <v>43189</v>
      </c>
      <c r="C26" s="156">
        <v>5405</v>
      </c>
      <c r="D26" s="160">
        <v>5405</v>
      </c>
      <c r="E26" s="163" t="s">
        <v>419</v>
      </c>
      <c r="F26" s="53" t="str">
        <f>tblFund_Code[[#This Row],[Main Code]]&amp;" - "&amp;tblFund_Code[[#This Row],[Fund Name]]</f>
        <v>5405 - L&amp;G LIBOR HIGH ALPHA GLOBAL RATES FUND</v>
      </c>
    </row>
    <row r="27" spans="1:6" x14ac:dyDescent="0.25">
      <c r="A27" s="1">
        <v>43192</v>
      </c>
      <c r="C27" s="156" t="s">
        <v>253</v>
      </c>
      <c r="D27" s="156">
        <v>5410</v>
      </c>
      <c r="E27" s="163" t="s">
        <v>280</v>
      </c>
      <c r="F27" s="53" t="str">
        <f>tblFund_Code[[#This Row],[Main Code]]&amp;" - "&amp;tblFund_Code[[#This Row],[Fund Name]]</f>
        <v>5410 - L&amp;G UK CORE PLUS BOND FUND</v>
      </c>
    </row>
    <row r="28" spans="1:6" x14ac:dyDescent="0.25">
      <c r="A28" s="1">
        <v>43227</v>
      </c>
      <c r="C28" s="157" t="s">
        <v>249</v>
      </c>
      <c r="D28" s="157">
        <v>5413</v>
      </c>
      <c r="E28" s="164" t="s">
        <v>422</v>
      </c>
      <c r="F28" s="53" t="str">
        <f>tblFund_Code[[#This Row],[Main Code]]&amp;" - "&amp;tblFund_Code[[#This Row],[Fund Name]]</f>
        <v>5413 - L&amp;G BUY AND MAINTAIN CREDIT FUND</v>
      </c>
    </row>
    <row r="29" spans="1:6" x14ac:dyDescent="0.25">
      <c r="A29" s="1">
        <v>43248</v>
      </c>
      <c r="C29" s="156">
        <v>5417</v>
      </c>
      <c r="D29" s="160">
        <v>5417</v>
      </c>
      <c r="E29" s="163" t="s">
        <v>486</v>
      </c>
      <c r="F29" s="53" t="str">
        <f>tblFund_Code[[#This Row],[Main Code]]&amp;" - "&amp;tblFund_Code[[#This Row],[Fund Name]]</f>
        <v>5417 - L&amp;G EURO HIGH ALPHA CORP BD</v>
      </c>
    </row>
    <row r="30" spans="1:6" x14ac:dyDescent="0.25">
      <c r="A30" s="1">
        <v>43339</v>
      </c>
      <c r="C30" s="156">
        <v>5420</v>
      </c>
      <c r="D30" s="160">
        <v>5420</v>
      </c>
      <c r="E30" s="163" t="s">
        <v>421</v>
      </c>
      <c r="F30" s="53" t="str">
        <f>tblFund_Code[[#This Row],[Main Code]]&amp;" - "&amp;tblFund_Code[[#This Row],[Fund Name]]</f>
        <v>5420 - L&amp;G EMERGING MARKETS BOND  SHORT DURATION FUND</v>
      </c>
    </row>
    <row r="31" spans="1:6" x14ac:dyDescent="0.25">
      <c r="A31" s="1">
        <v>43459</v>
      </c>
      <c r="C31" s="158">
        <v>5421</v>
      </c>
      <c r="D31" s="161">
        <v>5421</v>
      </c>
      <c r="E31" s="165" t="s">
        <v>477</v>
      </c>
      <c r="F31" s="53" t="str">
        <f>tblFund_Code[[#This Row],[Main Code]]&amp;" - "&amp;tblFund_Code[[#This Row],[Fund Name]]</f>
        <v>5421 - L&amp;G ABS RTN BD PLUS FD-EM</v>
      </c>
    </row>
    <row r="32" spans="1:6" x14ac:dyDescent="0.25">
      <c r="A32" s="1">
        <v>43460</v>
      </c>
      <c r="C32" s="156" t="s">
        <v>255</v>
      </c>
      <c r="D32" s="156">
        <v>5422</v>
      </c>
      <c r="E32" s="163" t="s">
        <v>423</v>
      </c>
      <c r="F32" s="53" t="str">
        <f>tblFund_Code[[#This Row],[Main Code]]&amp;" - "&amp;tblFund_Code[[#This Row],[Fund Name]]</f>
        <v>5422 - L&amp;G GLOBAL HIGH YIELD BOND FUND</v>
      </c>
    </row>
    <row r="33" spans="1:6" x14ac:dyDescent="0.25">
      <c r="A33" s="1">
        <v>43466</v>
      </c>
      <c r="C33" s="156">
        <v>5423</v>
      </c>
      <c r="D33" s="160">
        <v>5423</v>
      </c>
      <c r="E33" s="163" t="s">
        <v>441</v>
      </c>
      <c r="F33" s="53" t="str">
        <f>tblFund_Code[[#This Row],[Main Code]]&amp;" - "&amp;tblFund_Code[[#This Row],[Fund Name]]</f>
        <v>5423 - L&amp;G GLOBAL HIGH YIELD BOND FUND - EM</v>
      </c>
    </row>
    <row r="34" spans="1:6" x14ac:dyDescent="0.25">
      <c r="A34" s="1">
        <v>43574</v>
      </c>
      <c r="C34" s="156">
        <v>5424</v>
      </c>
      <c r="D34" s="160">
        <v>5424</v>
      </c>
      <c r="E34" s="163" t="s">
        <v>442</v>
      </c>
      <c r="F34" s="53" t="str">
        <f>tblFund_Code[[#This Row],[Main Code]]&amp;" - "&amp;tblFund_Code[[#This Row],[Fund Name]]</f>
        <v>5424 - L&amp;G GLOBAL HIGH YIELD BOND FUND - US</v>
      </c>
    </row>
    <row r="35" spans="1:6" x14ac:dyDescent="0.25">
      <c r="A35" s="1">
        <v>43577</v>
      </c>
      <c r="C35" s="158">
        <v>5427</v>
      </c>
      <c r="D35" s="158">
        <v>5427</v>
      </c>
      <c r="E35" s="165" t="s">
        <v>473</v>
      </c>
      <c r="F35" s="53" t="str">
        <f>tblFund_Code[[#This Row],[Main Code]]&amp;" - "&amp;tblFund_Code[[#This Row],[Fund Name]]</f>
        <v>5427 - L&amp;G EMERGING MARKETS BOND FUND</v>
      </c>
    </row>
    <row r="36" spans="1:6" x14ac:dyDescent="0.25">
      <c r="A36" s="1">
        <v>43591</v>
      </c>
      <c r="C36" s="157" t="s">
        <v>311</v>
      </c>
      <c r="D36" s="157">
        <v>5657</v>
      </c>
      <c r="E36" s="164" t="s">
        <v>261</v>
      </c>
      <c r="F36" s="53" t="str">
        <f>tblFund_Code[[#This Row],[Main Code]]&amp;" - "&amp;tblFund_Code[[#This Row],[Fund Name]]</f>
        <v>5657 - BUPA PENSION SCHEME - CREDIT BUY AND MAINTAIN PORTFOLIO</v>
      </c>
    </row>
    <row r="37" spans="1:6" x14ac:dyDescent="0.25">
      <c r="A37" s="1">
        <v>43612</v>
      </c>
      <c r="C37" s="156" t="s">
        <v>185</v>
      </c>
      <c r="D37" s="156">
        <v>5674</v>
      </c>
      <c r="E37" s="163" t="s">
        <v>262</v>
      </c>
      <c r="F37" s="53" t="str">
        <f>tblFund_Code[[#This Row],[Main Code]]&amp;" - "&amp;tblFund_Code[[#This Row],[Fund Name]]</f>
        <v>5674 - SIEMENS BENEFITS SCHEME GLOBAL BUY AND MAINTAIN</v>
      </c>
    </row>
    <row r="38" spans="1:6" x14ac:dyDescent="0.25">
      <c r="A38" s="1">
        <v>43703</v>
      </c>
      <c r="C38" s="156" t="s">
        <v>184</v>
      </c>
      <c r="D38" s="156">
        <v>5683</v>
      </c>
      <c r="E38" s="163" t="s">
        <v>263</v>
      </c>
      <c r="F38" s="53" t="str">
        <f>tblFund_Code[[#This Row],[Main Code]]&amp;" - "&amp;tblFund_Code[[#This Row],[Fund Name]]</f>
        <v xml:space="preserve">5683 - RBS AA SECTION GROUP PENSION FUND - CREDIT BUY AND MAINTAIN PORTFOLIO </v>
      </c>
    </row>
    <row r="39" spans="1:6" x14ac:dyDescent="0.25">
      <c r="A39" s="1">
        <v>43824</v>
      </c>
      <c r="C39" s="156" t="s">
        <v>186</v>
      </c>
      <c r="D39" s="156">
        <v>5684</v>
      </c>
      <c r="E39" s="163" t="s">
        <v>264</v>
      </c>
      <c r="F39" s="53" t="str">
        <f>tblFund_Code[[#This Row],[Main Code]]&amp;" - "&amp;tblFund_Code[[#This Row],[Fund Name]]</f>
        <v>5684 - ULSTER BANK PENSION SCHEME (ROI) - CREDIT BUY AND MAINTAIN PORTFOLIO</v>
      </c>
    </row>
    <row r="40" spans="1:6" x14ac:dyDescent="0.25">
      <c r="A40" s="1">
        <v>43825</v>
      </c>
      <c r="C40" s="156" t="s">
        <v>187</v>
      </c>
      <c r="D40" s="156">
        <v>5685</v>
      </c>
      <c r="E40" s="163" t="s">
        <v>265</v>
      </c>
      <c r="F40" s="53" t="str">
        <f>tblFund_Code[[#This Row],[Main Code]]&amp;" - "&amp;tblFund_Code[[#This Row],[Fund Name]]</f>
        <v>5685 - ULSTER BANK PENSION SCHEME (NI) - CREDIT BUY AND MAINTAIN PORTFOLIO</v>
      </c>
    </row>
    <row r="41" spans="1:6" x14ac:dyDescent="0.25">
      <c r="A41" s="1">
        <v>43831</v>
      </c>
      <c r="C41" s="156" t="s">
        <v>205</v>
      </c>
      <c r="D41" s="156">
        <v>5686</v>
      </c>
      <c r="E41" s="163" t="s">
        <v>266</v>
      </c>
      <c r="F41" s="53" t="str">
        <f>tblFund_Code[[#This Row],[Main Code]]&amp;" - "&amp;tblFund_Code[[#This Row],[Fund Name]]</f>
        <v>5686 - AIB GROUP IRISH PENSION SCHEME - GLOBAL CREDIT BUY &amp; MAINTAIN</v>
      </c>
    </row>
    <row r="42" spans="1:6" x14ac:dyDescent="0.25">
      <c r="A42" s="1">
        <v>43931</v>
      </c>
      <c r="C42" s="159" t="s">
        <v>404</v>
      </c>
      <c r="D42" s="162">
        <v>5687</v>
      </c>
      <c r="E42" s="166" t="s">
        <v>406</v>
      </c>
      <c r="F42" s="53" t="str">
        <f>tblFund_Code[[#This Row],[Main Code]]&amp;" - "&amp;tblFund_Code[[#This Row],[Fund Name]]</f>
        <v xml:space="preserve">5687 - SAUL - CREDIT BUY AND MAINTAIN PORTFOLIO </v>
      </c>
    </row>
    <row r="43" spans="1:6" x14ac:dyDescent="0.25">
      <c r="A43" s="1">
        <v>43934</v>
      </c>
      <c r="C43" s="156" t="s">
        <v>458</v>
      </c>
      <c r="D43" s="160">
        <v>5689</v>
      </c>
      <c r="E43" s="163" t="s">
        <v>465</v>
      </c>
      <c r="F43" s="53" t="str">
        <f>tblFund_Code[[#This Row],[Main Code]]&amp;" - "&amp;tblFund_Code[[#This Row],[Fund Name]]</f>
        <v>5689 - REUTERS PENSION FUND GLOBAL BUY AND MAINTAIN</v>
      </c>
    </row>
    <row r="44" spans="1:6" x14ac:dyDescent="0.25">
      <c r="A44" s="1">
        <v>43955</v>
      </c>
      <c r="C44" s="156" t="s">
        <v>250</v>
      </c>
      <c r="D44" s="156">
        <v>5959</v>
      </c>
      <c r="E44" s="163" t="s">
        <v>267</v>
      </c>
      <c r="F44" s="53" t="str">
        <f>tblFund_Code[[#This Row],[Main Code]]&amp;" - "&amp;tblFund_Code[[#This Row],[Fund Name]]</f>
        <v>5959 - SOUTHERN WATER PENSION SCHEME - CREDIT BUY AND MAINTAIN PORTFOLIO</v>
      </c>
    </row>
    <row r="45" spans="1:6" x14ac:dyDescent="0.25">
      <c r="A45" s="1">
        <v>43976</v>
      </c>
      <c r="C45" s="156" t="s">
        <v>251</v>
      </c>
      <c r="D45" s="156">
        <v>6302</v>
      </c>
      <c r="E45" s="163" t="s">
        <v>268</v>
      </c>
      <c r="F45" s="53" t="str">
        <f>tblFund_Code[[#This Row],[Main Code]]&amp;" - "&amp;tblFund_Code[[#This Row],[Fund Name]]</f>
        <v>6302 - UNITED UTILITIES PENSION SCHEME - CREDIT BUY AND MAINTAIN PORTFOLIO</v>
      </c>
    </row>
    <row r="46" spans="1:6" x14ac:dyDescent="0.25">
      <c r="A46" s="1">
        <v>44074</v>
      </c>
      <c r="C46" s="156" t="s">
        <v>405</v>
      </c>
      <c r="D46" s="160">
        <v>6303</v>
      </c>
      <c r="E46" s="163" t="s">
        <v>487</v>
      </c>
      <c r="F46" s="53" t="str">
        <f>tblFund_Code[[#This Row],[Main Code]]&amp;" - "&amp;tblFund_Code[[#This Row],[Fund Name]]</f>
        <v>6303 - KELDA - CREDIT BUY AND MAINTAIN PORTFOLIO</v>
      </c>
    </row>
    <row r="47" spans="1:6" x14ac:dyDescent="0.25">
      <c r="A47" s="1">
        <v>44190</v>
      </c>
      <c r="C47" s="156" t="s">
        <v>461</v>
      </c>
      <c r="D47" s="160">
        <v>6304</v>
      </c>
      <c r="E47" s="163" t="s">
        <v>468</v>
      </c>
      <c r="F47" s="53" t="str">
        <f>tblFund_Code[[#This Row],[Main Code]]&amp;" - "&amp;tblFund_Code[[#This Row],[Fund Name]]</f>
        <v>6304 - PWC PENSION SCHEME - GLOBAL CREDIT BUY AND MAINTAIN PORTFOLIO</v>
      </c>
    </row>
    <row r="48" spans="1:6" x14ac:dyDescent="0.25">
      <c r="A48" s="1">
        <v>44193</v>
      </c>
      <c r="C48" s="156" t="s">
        <v>462</v>
      </c>
      <c r="D48" s="160">
        <v>6305</v>
      </c>
      <c r="E48" s="163" t="s">
        <v>469</v>
      </c>
      <c r="F48" s="53" t="str">
        <f>tblFund_Code[[#This Row],[Main Code]]&amp;" - "&amp;tblFund_Code[[#This Row],[Fund Name]]</f>
        <v>6305 - DH&amp;S - GLOBAL CREDIT BUY AND MAINTAIN PORTFOLIO</v>
      </c>
    </row>
    <row r="49" spans="1:6" x14ac:dyDescent="0.25">
      <c r="A49" s="1">
        <v>44197</v>
      </c>
      <c r="C49" s="156" t="s">
        <v>427</v>
      </c>
      <c r="D49" s="160">
        <v>6306</v>
      </c>
      <c r="E49" s="163" t="s">
        <v>428</v>
      </c>
      <c r="F49" s="53" t="str">
        <f>tblFund_Code[[#This Row],[Main Code]]&amp;" - "&amp;tblFund_Code[[#This Row],[Fund Name]]</f>
        <v>6306 - LGIM HEDGING - FUND AR - B&amp;M FEEDER</v>
      </c>
    </row>
    <row r="50" spans="1:6" x14ac:dyDescent="0.25">
      <c r="A50" s="1">
        <v>44288</v>
      </c>
      <c r="C50" s="156" t="s">
        <v>464</v>
      </c>
      <c r="D50" s="160">
        <v>6308</v>
      </c>
      <c r="E50" s="163" t="s">
        <v>471</v>
      </c>
      <c r="F50" s="53" t="str">
        <f>tblFund_Code[[#This Row],[Main Code]]&amp;" - "&amp;tblFund_Code[[#This Row],[Fund Name]]</f>
        <v>6308 - HEDGING FUND BH B&amp;M FUND</v>
      </c>
    </row>
    <row r="51" spans="1:6" x14ac:dyDescent="0.25">
      <c r="A51" s="1">
        <v>44291</v>
      </c>
      <c r="C51" s="156" t="s">
        <v>488</v>
      </c>
      <c r="D51" s="160">
        <v>6312</v>
      </c>
      <c r="E51" s="163" t="s">
        <v>437</v>
      </c>
      <c r="F51" s="53" t="str">
        <f>tblFund_Code[[#This Row],[Main Code]]&amp;" - "&amp;tblFund_Code[[#This Row],[Fund Name]]</f>
        <v>6312 - EDS 1994 PENSION SCHEME GLOBAL CREDIT BUY AND MAINTAIN (OVERALL)</v>
      </c>
    </row>
    <row r="52" spans="1:6" x14ac:dyDescent="0.25">
      <c r="A52" s="1">
        <v>44319</v>
      </c>
      <c r="C52" s="156" t="s">
        <v>434</v>
      </c>
      <c r="D52" s="160">
        <v>6313</v>
      </c>
      <c r="E52" s="163" t="s">
        <v>438</v>
      </c>
      <c r="F52" s="53" t="str">
        <f>tblFund_Code[[#This Row],[Main Code]]&amp;" - "&amp;tblFund_Code[[#This Row],[Fund Name]]</f>
        <v>6313 - EDS RETIREMENT PLAN GLOBAL CREDIT BUY AND MAINTAIN (OVERALL)</v>
      </c>
    </row>
    <row r="53" spans="1:6" x14ac:dyDescent="0.25">
      <c r="A53" s="1">
        <v>44347</v>
      </c>
      <c r="C53" s="156" t="s">
        <v>432</v>
      </c>
      <c r="D53" s="160">
        <v>6317</v>
      </c>
      <c r="E53" s="163" t="s">
        <v>435</v>
      </c>
      <c r="F53" s="53" t="str">
        <f>tblFund_Code[[#This Row],[Main Code]]&amp;" - "&amp;tblFund_Code[[#This Row],[Fund Name]]</f>
        <v>6317 - HEWLETT PACKARD (DIGITAL SECTION) GLOBAL CREDIT BUY AND MAINTAIN (AMALGAMATION)</v>
      </c>
    </row>
    <row r="54" spans="1:6" x14ac:dyDescent="0.25">
      <c r="A54" s="1">
        <v>44438</v>
      </c>
      <c r="C54" s="156" t="s">
        <v>433</v>
      </c>
      <c r="D54" s="160">
        <v>6318</v>
      </c>
      <c r="E54" s="163" t="s">
        <v>436</v>
      </c>
      <c r="F54" s="53" t="str">
        <f>tblFund_Code[[#This Row],[Main Code]]&amp;" - "&amp;tblFund_Code[[#This Row],[Fund Name]]</f>
        <v>6318 - HEWLETT PACKARD (HP SECTION) GLOBAL CREDIT BUY AND MAINTAIN (AMALGAMATION)</v>
      </c>
    </row>
    <row r="55" spans="1:6" x14ac:dyDescent="0.25">
      <c r="A55" s="1">
        <v>44557</v>
      </c>
      <c r="C55" s="156" t="s">
        <v>463</v>
      </c>
      <c r="D55" s="160">
        <v>6328</v>
      </c>
      <c r="E55" s="163" t="s">
        <v>470</v>
      </c>
      <c r="F55" s="53" t="str">
        <f>tblFund_Code[[#This Row],[Main Code]]&amp;" - "&amp;tblFund_Code[[#This Row],[Fund Name]]</f>
        <v>6328 - SANOFI PENSION SCHEME - CREDIT BUY AND MAINTAIN PORTFOLIO</v>
      </c>
    </row>
    <row r="56" spans="1:6" x14ac:dyDescent="0.25">
      <c r="A56" s="1">
        <v>44558</v>
      </c>
      <c r="C56" s="156" t="s">
        <v>453</v>
      </c>
      <c r="D56" s="160">
        <v>6331</v>
      </c>
      <c r="E56" s="163" t="s">
        <v>455</v>
      </c>
      <c r="F56" s="53" t="str">
        <f>tblFund_Code[[#This Row],[Main Code]]&amp;" - "&amp;tblFund_Code[[#This Row],[Fund Name]]</f>
        <v>6331 - NATIONAL GRID - SECTION C</v>
      </c>
    </row>
    <row r="57" spans="1:6" x14ac:dyDescent="0.25">
      <c r="A57" s="1">
        <v>44564</v>
      </c>
      <c r="C57" s="156" t="s">
        <v>444</v>
      </c>
      <c r="D57" s="160">
        <v>6332</v>
      </c>
      <c r="E57" s="163" t="s">
        <v>456</v>
      </c>
      <c r="F57" s="53" t="str">
        <f>tblFund_Code[[#This Row],[Main Code]]&amp;" - "&amp;tblFund_Code[[#This Row],[Fund Name]]</f>
        <v>6332 - NATIONAL GRID - SECTION A</v>
      </c>
    </row>
    <row r="58" spans="1:6" x14ac:dyDescent="0.25">
      <c r="A58" s="1">
        <v>44666</v>
      </c>
      <c r="C58" s="156" t="s">
        <v>454</v>
      </c>
      <c r="D58" s="160">
        <v>6333</v>
      </c>
      <c r="E58" s="163" t="s">
        <v>457</v>
      </c>
      <c r="F58" s="53" t="str">
        <f>tblFund_Code[[#This Row],[Main Code]]&amp;" - "&amp;tblFund_Code[[#This Row],[Fund Name]]</f>
        <v>6333 - NATIONAL GRID - SECTION B</v>
      </c>
    </row>
    <row r="59" spans="1:6" x14ac:dyDescent="0.25">
      <c r="A59" s="1">
        <v>44669</v>
      </c>
      <c r="C59" s="156" t="s">
        <v>478</v>
      </c>
      <c r="D59" s="160">
        <v>6335</v>
      </c>
      <c r="E59" s="163" t="s">
        <v>481</v>
      </c>
      <c r="F59" s="53" t="str">
        <f>tblFund_Code[[#This Row],[Main Code]]&amp;" - "&amp;tblFund_Code[[#This Row],[Fund Name]]</f>
        <v>6335 - LLOYDS BANK GROUP PENS TST NO 1 GLOBAL BUY &amp; MAINTAIN (OVERALL)</v>
      </c>
    </row>
    <row r="60" spans="1:6" x14ac:dyDescent="0.25">
      <c r="A60" s="1">
        <v>44683</v>
      </c>
      <c r="C60" s="156" t="s">
        <v>479</v>
      </c>
      <c r="D60" s="160">
        <v>6336</v>
      </c>
      <c r="E60" s="163" t="s">
        <v>482</v>
      </c>
      <c r="F60" s="53" t="str">
        <f>tblFund_Code[[#This Row],[Main Code]]&amp;" - "&amp;tblFund_Code[[#This Row],[Fund Name]]</f>
        <v>6336 - LLOYDS BANK GROUP PEN TST NO 2 GLOBAL BUY &amp; MAINTAIN (OVERALL)</v>
      </c>
    </row>
    <row r="61" spans="1:6" x14ac:dyDescent="0.25">
      <c r="A61" s="1">
        <v>44711</v>
      </c>
      <c r="C61" s="168" t="s">
        <v>490</v>
      </c>
      <c r="D61" s="160">
        <v>6346</v>
      </c>
      <c r="E61" s="163"/>
      <c r="F61" s="53" t="str">
        <f>tblFund_Code[[#This Row],[Main Code]]&amp;" - "&amp;tblFund_Code[[#This Row],[Fund Name]]</f>
        <v xml:space="preserve">6346 - </v>
      </c>
    </row>
    <row r="62" spans="1:6" x14ac:dyDescent="0.25">
      <c r="A62" s="1">
        <v>44802</v>
      </c>
      <c r="C62" s="156">
        <v>6401</v>
      </c>
      <c r="D62" s="160">
        <v>6401</v>
      </c>
      <c r="E62" s="163" t="s">
        <v>269</v>
      </c>
      <c r="F62" s="53" t="str">
        <f>tblFund_Code[[#This Row],[Main Code]]&amp;" - "&amp;tblFund_Code[[#This Row],[Fund Name]]</f>
        <v>6401 - LGIMI RESTRICTED ACCOUNT A (EMERGING MARKETS HIGH YIELD)</v>
      </c>
    </row>
    <row r="63" spans="1:6" x14ac:dyDescent="0.25">
      <c r="A63" s="1">
        <v>44921</v>
      </c>
      <c r="C63" s="156" t="s">
        <v>424</v>
      </c>
      <c r="D63" s="160">
        <v>6402</v>
      </c>
      <c r="E63" t="s">
        <v>426</v>
      </c>
      <c r="F63" s="53" t="str">
        <f>tblFund_Code[[#This Row],[Main Code]]&amp;" - "&amp;tblFund_Code[[#This Row],[Fund Name]]</f>
        <v>6402 - LGIMI RESTRICTED ACCOUNT A (MASTER FUND)</v>
      </c>
    </row>
    <row r="64" spans="1:6" x14ac:dyDescent="0.25">
      <c r="A64" s="1">
        <v>44922</v>
      </c>
      <c r="C64" s="156">
        <v>6403</v>
      </c>
      <c r="D64" s="160">
        <v>6403</v>
      </c>
      <c r="E64" s="163" t="s">
        <v>425</v>
      </c>
      <c r="F64" s="53" t="str">
        <f>tblFund_Code[[#This Row],[Main Code]]&amp;" - "&amp;tblFund_Code[[#This Row],[Fund Name]]</f>
        <v>6403 - LGIMI RESTRICTED ACCOUNT A (US HIGH YIELD)</v>
      </c>
    </row>
    <row r="65" spans="1:6" x14ac:dyDescent="0.25">
      <c r="A65" s="1">
        <v>44928</v>
      </c>
      <c r="C65" s="156">
        <v>8271</v>
      </c>
      <c r="D65" s="156">
        <v>8271</v>
      </c>
      <c r="E65" s="163" t="s">
        <v>448</v>
      </c>
      <c r="F65" s="53" t="str">
        <f>tblFund_Code[[#This Row],[Main Code]]&amp;" - "&amp;tblFund_Code[[#This Row],[Fund Name]]</f>
        <v>8271 - CHESNARA ACTIVE EURO CORP BOND FUND</v>
      </c>
    </row>
    <row r="66" spans="1:6" x14ac:dyDescent="0.25">
      <c r="A66" s="1">
        <v>45023</v>
      </c>
      <c r="C66" s="156">
        <v>8272</v>
      </c>
      <c r="D66" s="156">
        <v>8272</v>
      </c>
      <c r="E66" s="163" t="s">
        <v>450</v>
      </c>
      <c r="F66" s="53" t="str">
        <f>tblFund_Code[[#This Row],[Main Code]]&amp;" - "&amp;tblFund_Code[[#This Row],[Fund Name]]</f>
        <v>8272 - CHESNARA ACTIVE EURO NON-FINACIAL CORP BOND FUND</v>
      </c>
    </row>
    <row r="67" spans="1:6" x14ac:dyDescent="0.25">
      <c r="A67" s="1">
        <v>45026</v>
      </c>
      <c r="C67" s="168">
        <v>8352</v>
      </c>
      <c r="D67" s="160">
        <v>8352</v>
      </c>
      <c r="E67" s="163"/>
      <c r="F67" s="53" t="str">
        <f>tblFund_Code[[#This Row],[Main Code]]&amp;" - "&amp;tblFund_Code[[#This Row],[Fund Name]]</f>
        <v xml:space="preserve">8352 - </v>
      </c>
    </row>
    <row r="68" spans="1:6" x14ac:dyDescent="0.25">
      <c r="A68" s="1">
        <v>45047</v>
      </c>
      <c r="C68" s="168">
        <v>8353</v>
      </c>
      <c r="D68" s="160">
        <v>8353</v>
      </c>
      <c r="E68" s="163"/>
      <c r="F68" s="53" t="str">
        <f>tblFund_Code[[#This Row],[Main Code]]&amp;" - "&amp;tblFund_Code[[#This Row],[Fund Name]]</f>
        <v xml:space="preserve">8353 - </v>
      </c>
    </row>
    <row r="69" spans="1:6" x14ac:dyDescent="0.25">
      <c r="A69" s="1">
        <v>45075</v>
      </c>
      <c r="C69" s="156" t="s">
        <v>459</v>
      </c>
      <c r="D69" s="160">
        <v>8423</v>
      </c>
      <c r="E69" s="163" t="s">
        <v>466</v>
      </c>
      <c r="F69" s="53" t="str">
        <f>tblFund_Code[[#This Row],[Main Code]]&amp;" - "&amp;tblFund_Code[[#This Row],[Fund Name]]</f>
        <v>8423 - CITIGROUP PLAS - B&amp;M GROUP ACCOUNT</v>
      </c>
    </row>
    <row r="70" spans="1:6" x14ac:dyDescent="0.25">
      <c r="A70" s="1">
        <v>45166</v>
      </c>
      <c r="C70" s="156" t="s">
        <v>460</v>
      </c>
      <c r="D70" s="160">
        <v>8424</v>
      </c>
      <c r="E70" s="163" t="s">
        <v>467</v>
      </c>
      <c r="F70" s="53" t="str">
        <f>tblFund_Code[[#This Row],[Main Code]]&amp;" - "&amp;tblFund_Code[[#This Row],[Fund Name]]</f>
        <v>8424 - CIITBANK UK PENSION PLAN - B&amp;M GROUP ACCOUNT</v>
      </c>
    </row>
    <row r="71" spans="1:6" x14ac:dyDescent="0.25">
      <c r="A71" s="1">
        <v>45285</v>
      </c>
      <c r="C71" s="156" t="s">
        <v>254</v>
      </c>
      <c r="D71" s="156">
        <v>8425</v>
      </c>
      <c r="E71" s="163" t="s">
        <v>281</v>
      </c>
      <c r="F71" s="53" t="str">
        <f>tblFund_Code[[#This Row],[Main Code]]&amp;" - "&amp;tblFund_Code[[#This Row],[Fund Name]]</f>
        <v>8425 - MYAM GLOBAL BOND FUND</v>
      </c>
    </row>
    <row r="72" spans="1:6" x14ac:dyDescent="0.25">
      <c r="A72" s="1">
        <v>45286</v>
      </c>
      <c r="C72" s="156">
        <v>8453</v>
      </c>
      <c r="D72" s="156">
        <v>8453</v>
      </c>
      <c r="E72" s="163" t="s">
        <v>284</v>
      </c>
      <c r="F72" s="53" t="str">
        <f>tblFund_Code[[#This Row],[Main Code]]&amp;" - "&amp;tblFund_Code[[#This Row],[Fund Name]]</f>
        <v>8453 - Lone Tree Holdings FI portfolio</v>
      </c>
    </row>
    <row r="73" spans="1:6" x14ac:dyDescent="0.25">
      <c r="A73" s="1">
        <v>45292</v>
      </c>
      <c r="C73" s="168">
        <v>8576</v>
      </c>
      <c r="D73" s="160">
        <v>8576</v>
      </c>
      <c r="E73" s="163" t="s">
        <v>451</v>
      </c>
      <c r="F73" s="53" t="str">
        <f>tblFund_Code[[#This Row],[Main Code]]&amp;" - "&amp;tblFund_Code[[#This Row],[Fund Name]]</f>
        <v>8576 - SPLIT ROCK</v>
      </c>
    </row>
    <row r="74" spans="1:6" x14ac:dyDescent="0.25">
      <c r="A74" s="1">
        <v>45380</v>
      </c>
      <c r="C74" s="168">
        <v>9014</v>
      </c>
      <c r="D74" s="156">
        <v>9014</v>
      </c>
      <c r="E74" s="163" t="s">
        <v>285</v>
      </c>
      <c r="F74" s="53" t="str">
        <f>tblFund_Code[[#This Row],[Main Code]]&amp;" - "&amp;tblFund_Code[[#This Row],[Fund Name]]</f>
        <v>9014 - FIXED INTEREST TRUST</v>
      </c>
    </row>
    <row r="75" spans="1:6" x14ac:dyDescent="0.25">
      <c r="A75" s="1">
        <v>45383</v>
      </c>
      <c r="C75" s="168">
        <v>9041</v>
      </c>
      <c r="D75" s="156">
        <v>9041</v>
      </c>
      <c r="E75" s="163" t="s">
        <v>286</v>
      </c>
      <c r="F75" s="53" t="str">
        <f>tblFund_Code[[#This Row],[Main Code]]&amp;" - "&amp;tblFund_Code[[#This Row],[Fund Name]]</f>
        <v>9041 - Managed Monthly Income Trust</v>
      </c>
    </row>
    <row r="76" spans="1:6" x14ac:dyDescent="0.25">
      <c r="A76" s="1">
        <v>45418</v>
      </c>
      <c r="C76" s="168">
        <v>9055</v>
      </c>
      <c r="D76" s="160">
        <v>9055</v>
      </c>
      <c r="E76" s="163" t="s">
        <v>474</v>
      </c>
      <c r="F76" s="53" t="str">
        <f>tblFund_Code[[#This Row],[Main Code]]&amp;" - "&amp;tblFund_Code[[#This Row],[Fund Name]]</f>
        <v>9055 - L&amp;G STERLING INCOME FUND</v>
      </c>
    </row>
    <row r="77" spans="1:6" x14ac:dyDescent="0.25">
      <c r="A77" s="1">
        <v>45439</v>
      </c>
      <c r="C77" s="168">
        <v>9344</v>
      </c>
      <c r="D77" s="160">
        <v>9344</v>
      </c>
      <c r="E77" s="163" t="s">
        <v>472</v>
      </c>
      <c r="F77" s="53" t="str">
        <f>tblFund_Code[[#This Row],[Main Code]]&amp;" - "&amp;tblFund_Code[[#This Row],[Fund Name]]</f>
        <v>9344 - LGIM STERLING LIQUIDITY PLUS FUND</v>
      </c>
    </row>
    <row r="78" spans="1:6" x14ac:dyDescent="0.25">
      <c r="A78" s="1">
        <v>45530</v>
      </c>
      <c r="C78" s="169">
        <v>9487</v>
      </c>
      <c r="D78" s="167">
        <v>9487</v>
      </c>
      <c r="E78" s="164" t="s">
        <v>410</v>
      </c>
      <c r="F78" s="53" t="str">
        <f>tblFund_Code[[#This Row],[Main Code]]&amp;" - "&amp;tblFund_Code[[#This Row],[Fund Name]]</f>
        <v>9487 - L&amp;G DYNAMIC BOND TRUST EMERGING MARKETS ABSOLUTE RETURN</v>
      </c>
    </row>
    <row r="79" spans="1:6" x14ac:dyDescent="0.25">
      <c r="A79" s="1">
        <v>45651</v>
      </c>
      <c r="C79" s="156"/>
      <c r="D79" s="160"/>
      <c r="E79" s="163"/>
      <c r="F79" s="53"/>
    </row>
    <row r="80" spans="1:6" x14ac:dyDescent="0.25">
      <c r="A80" s="1">
        <v>45652</v>
      </c>
      <c r="C80" s="156"/>
      <c r="D80" s="160"/>
      <c r="E80" s="163"/>
      <c r="F80" s="53"/>
    </row>
    <row r="81" spans="1:6" x14ac:dyDescent="0.25">
      <c r="A81" s="1">
        <v>45658</v>
      </c>
      <c r="C81" s="157"/>
      <c r="D81" s="167"/>
      <c r="E81" s="164"/>
      <c r="F81" s="53"/>
    </row>
    <row r="82" spans="1:6" x14ac:dyDescent="0.25">
      <c r="A82" s="1">
        <v>45765</v>
      </c>
    </row>
    <row r="83" spans="1:6" x14ac:dyDescent="0.25">
      <c r="A83" s="1">
        <v>45768</v>
      </c>
    </row>
    <row r="84" spans="1:6" x14ac:dyDescent="0.25">
      <c r="A84" s="1">
        <v>45782</v>
      </c>
    </row>
    <row r="85" spans="1:6" x14ac:dyDescent="0.25">
      <c r="A85" s="1">
        <v>45803</v>
      </c>
    </row>
    <row r="86" spans="1:6" x14ac:dyDescent="0.25">
      <c r="A86" s="1">
        <v>45894</v>
      </c>
    </row>
    <row r="87" spans="1:6" x14ac:dyDescent="0.25">
      <c r="A87" s="1">
        <v>46016</v>
      </c>
    </row>
    <row r="88" spans="1:6" x14ac:dyDescent="0.25">
      <c r="A88" s="1">
        <v>46017</v>
      </c>
    </row>
    <row r="89" spans="1:6" x14ac:dyDescent="0.25">
      <c r="A89" s="1">
        <v>46023</v>
      </c>
    </row>
    <row r="90" spans="1:6" x14ac:dyDescent="0.25">
      <c r="A90" s="1">
        <v>46115</v>
      </c>
    </row>
    <row r="91" spans="1:6" x14ac:dyDescent="0.25">
      <c r="A91" s="1">
        <v>46118</v>
      </c>
    </row>
    <row r="92" spans="1:6" x14ac:dyDescent="0.25">
      <c r="A92" s="1">
        <v>46146</v>
      </c>
    </row>
    <row r="93" spans="1:6" x14ac:dyDescent="0.25">
      <c r="A93" s="1">
        <v>46167</v>
      </c>
    </row>
    <row r="94" spans="1:6" x14ac:dyDescent="0.25">
      <c r="A94" s="1">
        <v>46265</v>
      </c>
    </row>
    <row r="95" spans="1:6" x14ac:dyDescent="0.25">
      <c r="A95" s="1">
        <v>46381</v>
      </c>
    </row>
    <row r="96" spans="1:6" x14ac:dyDescent="0.25">
      <c r="A96" s="1">
        <v>46384</v>
      </c>
    </row>
    <row r="97" spans="1:1" x14ac:dyDescent="0.25">
      <c r="A97" s="1">
        <v>46388</v>
      </c>
    </row>
    <row r="98" spans="1:1" x14ac:dyDescent="0.25">
      <c r="A98" s="1">
        <v>46472</v>
      </c>
    </row>
    <row r="99" spans="1:1" x14ac:dyDescent="0.25">
      <c r="A99" s="1">
        <v>46475</v>
      </c>
    </row>
    <row r="100" spans="1:1" x14ac:dyDescent="0.25">
      <c r="A100" s="1">
        <v>46510</v>
      </c>
    </row>
    <row r="101" spans="1:1" x14ac:dyDescent="0.25">
      <c r="A101" s="1">
        <v>46538</v>
      </c>
    </row>
    <row r="102" spans="1:1" x14ac:dyDescent="0.25">
      <c r="A102" s="1">
        <v>46629</v>
      </c>
    </row>
    <row r="103" spans="1:1" x14ac:dyDescent="0.25">
      <c r="A103" s="1">
        <v>46748</v>
      </c>
    </row>
    <row r="104" spans="1:1" x14ac:dyDescent="0.25">
      <c r="A104" s="1">
        <v>46749</v>
      </c>
    </row>
    <row r="105" spans="1:1" x14ac:dyDescent="0.25">
      <c r="A105" s="1">
        <v>46755</v>
      </c>
    </row>
    <row r="106" spans="1:1" x14ac:dyDescent="0.25">
      <c r="A106" s="1">
        <v>46857</v>
      </c>
    </row>
    <row r="107" spans="1:1" x14ac:dyDescent="0.25">
      <c r="A107" s="1">
        <v>46860</v>
      </c>
    </row>
    <row r="108" spans="1:1" x14ac:dyDescent="0.25">
      <c r="A108" s="1">
        <v>46874</v>
      </c>
    </row>
    <row r="109" spans="1:1" x14ac:dyDescent="0.25">
      <c r="A109" s="1">
        <v>46902</v>
      </c>
    </row>
    <row r="110" spans="1:1" x14ac:dyDescent="0.25">
      <c r="A110" s="1">
        <v>46993</v>
      </c>
    </row>
    <row r="111" spans="1:1" x14ac:dyDescent="0.25">
      <c r="A111" s="1">
        <v>47112</v>
      </c>
    </row>
    <row r="112" spans="1:1" x14ac:dyDescent="0.25">
      <c r="A112" s="1">
        <v>47113</v>
      </c>
    </row>
    <row r="113" spans="1:1" x14ac:dyDescent="0.25">
      <c r="A113" s="1">
        <v>47119</v>
      </c>
    </row>
    <row r="114" spans="1:1" x14ac:dyDescent="0.25">
      <c r="A114" s="1">
        <v>47207</v>
      </c>
    </row>
    <row r="115" spans="1:1" x14ac:dyDescent="0.25">
      <c r="A115" s="1">
        <v>47210</v>
      </c>
    </row>
    <row r="116" spans="1:1" x14ac:dyDescent="0.25">
      <c r="A116" s="1">
        <v>47245</v>
      </c>
    </row>
    <row r="117" spans="1:1" x14ac:dyDescent="0.25">
      <c r="A117" s="1">
        <v>47266</v>
      </c>
    </row>
    <row r="118" spans="1:1" x14ac:dyDescent="0.25">
      <c r="A118" s="1">
        <v>47357</v>
      </c>
    </row>
    <row r="119" spans="1:1" x14ac:dyDescent="0.25">
      <c r="A119" s="1">
        <v>47477</v>
      </c>
    </row>
    <row r="120" spans="1:1" x14ac:dyDescent="0.25">
      <c r="A120" s="1">
        <v>47478</v>
      </c>
    </row>
    <row r="121" spans="1:1" x14ac:dyDescent="0.25">
      <c r="A121" s="1">
        <v>47484</v>
      </c>
    </row>
    <row r="122" spans="1:1" x14ac:dyDescent="0.25">
      <c r="A122" s="1">
        <v>47592</v>
      </c>
    </row>
    <row r="123" spans="1:1" x14ac:dyDescent="0.25">
      <c r="A123" s="1">
        <v>47595</v>
      </c>
    </row>
    <row r="124" spans="1:1" x14ac:dyDescent="0.25">
      <c r="A124" s="1">
        <v>47609</v>
      </c>
    </row>
    <row r="125" spans="1:1" x14ac:dyDescent="0.25">
      <c r="A125" s="1">
        <v>47630</v>
      </c>
    </row>
    <row r="126" spans="1:1" x14ac:dyDescent="0.25">
      <c r="A126" s="1">
        <v>47721</v>
      </c>
    </row>
    <row r="127" spans="1:1" x14ac:dyDescent="0.25">
      <c r="A127" s="1">
        <v>47842</v>
      </c>
    </row>
    <row r="128" spans="1:1" x14ac:dyDescent="0.25">
      <c r="A128" s="1">
        <v>47843</v>
      </c>
    </row>
    <row r="129" spans="1:1" x14ac:dyDescent="0.25">
      <c r="A129" s="1">
        <v>47849</v>
      </c>
    </row>
    <row r="130" spans="1:1" x14ac:dyDescent="0.25">
      <c r="A130" s="1">
        <v>47949</v>
      </c>
    </row>
    <row r="131" spans="1:1" x14ac:dyDescent="0.25">
      <c r="A131" s="1">
        <v>47952</v>
      </c>
    </row>
    <row r="132" spans="1:1" x14ac:dyDescent="0.25">
      <c r="A132" s="1">
        <v>47973</v>
      </c>
    </row>
    <row r="133" spans="1:1" x14ac:dyDescent="0.25">
      <c r="A133" s="1">
        <v>47994</v>
      </c>
    </row>
    <row r="134" spans="1:1" x14ac:dyDescent="0.25">
      <c r="A134" s="1">
        <v>48085</v>
      </c>
    </row>
    <row r="135" spans="1:1" x14ac:dyDescent="0.25">
      <c r="A135" s="1">
        <v>48207</v>
      </c>
    </row>
    <row r="136" spans="1:1" x14ac:dyDescent="0.25">
      <c r="A136" s="1">
        <v>48208</v>
      </c>
    </row>
    <row r="137" spans="1:1" x14ac:dyDescent="0.25">
      <c r="A137" s="1">
        <v>48214</v>
      </c>
    </row>
    <row r="138" spans="1:1" x14ac:dyDescent="0.25">
      <c r="A138" s="1">
        <v>48299</v>
      </c>
    </row>
    <row r="139" spans="1:1" x14ac:dyDescent="0.25">
      <c r="A139" s="1">
        <v>48302</v>
      </c>
    </row>
    <row r="140" spans="1:1" x14ac:dyDescent="0.25">
      <c r="A140" s="1">
        <v>48337</v>
      </c>
    </row>
    <row r="141" spans="1:1" x14ac:dyDescent="0.25">
      <c r="A141" s="1">
        <v>48365</v>
      </c>
    </row>
    <row r="142" spans="1:1" x14ac:dyDescent="0.25">
      <c r="A142" s="1">
        <v>48456</v>
      </c>
    </row>
    <row r="143" spans="1:1" x14ac:dyDescent="0.25">
      <c r="A143" s="1">
        <v>48575</v>
      </c>
    </row>
    <row r="144" spans="1:1" x14ac:dyDescent="0.25">
      <c r="A144" s="1">
        <v>48576</v>
      </c>
    </row>
    <row r="145" spans="1:1" x14ac:dyDescent="0.25">
      <c r="A145" s="1">
        <v>48582</v>
      </c>
    </row>
    <row r="146" spans="1:1" x14ac:dyDescent="0.25">
      <c r="A146" s="1">
        <v>48684</v>
      </c>
    </row>
    <row r="147" spans="1:1" x14ac:dyDescent="0.25">
      <c r="A147" s="1">
        <v>48687</v>
      </c>
    </row>
    <row r="148" spans="1:1" x14ac:dyDescent="0.25">
      <c r="A148" s="1">
        <v>48701</v>
      </c>
    </row>
    <row r="149" spans="1:1" x14ac:dyDescent="0.25">
      <c r="A149" s="1">
        <v>48729</v>
      </c>
    </row>
    <row r="150" spans="1:1" x14ac:dyDescent="0.25">
      <c r="A150" s="1">
        <v>48820</v>
      </c>
    </row>
    <row r="151" spans="1:1" x14ac:dyDescent="0.25">
      <c r="A151" s="1">
        <v>48939</v>
      </c>
    </row>
    <row r="152" spans="1:1" x14ac:dyDescent="0.25">
      <c r="A152" s="1">
        <v>48940</v>
      </c>
    </row>
    <row r="153" spans="1:1" x14ac:dyDescent="0.25">
      <c r="A153" s="1">
        <v>48946</v>
      </c>
    </row>
    <row r="154" spans="1:1" x14ac:dyDescent="0.25">
      <c r="A154" s="1">
        <v>49041</v>
      </c>
    </row>
    <row r="155" spans="1:1" x14ac:dyDescent="0.25">
      <c r="A155" s="1">
        <v>49044</v>
      </c>
    </row>
    <row r="156" spans="1:1" x14ac:dyDescent="0.25">
      <c r="A156" s="1">
        <v>49065</v>
      </c>
    </row>
    <row r="157" spans="1:1" x14ac:dyDescent="0.25">
      <c r="A157" s="1">
        <v>49093</v>
      </c>
    </row>
    <row r="158" spans="1:1" x14ac:dyDescent="0.25">
      <c r="A158" s="1">
        <v>49184</v>
      </c>
    </row>
    <row r="159" spans="1:1" x14ac:dyDescent="0.25">
      <c r="A159" s="1">
        <v>49303</v>
      </c>
    </row>
    <row r="160" spans="1:1" x14ac:dyDescent="0.25">
      <c r="A160" s="1">
        <v>49304</v>
      </c>
    </row>
    <row r="161" spans="1:1" x14ac:dyDescent="0.25">
      <c r="A161" s="1">
        <v>49310</v>
      </c>
    </row>
    <row r="162" spans="1:1" x14ac:dyDescent="0.25">
      <c r="A162" s="1">
        <v>49391</v>
      </c>
    </row>
    <row r="163" spans="1:1" x14ac:dyDescent="0.25">
      <c r="A163" s="1">
        <v>49394</v>
      </c>
    </row>
    <row r="164" spans="1:1" x14ac:dyDescent="0.25">
      <c r="A164" s="1">
        <v>49436</v>
      </c>
    </row>
    <row r="165" spans="1:1" x14ac:dyDescent="0.25">
      <c r="A165" s="1">
        <v>49457</v>
      </c>
    </row>
    <row r="166" spans="1:1" x14ac:dyDescent="0.25">
      <c r="A166" s="1">
        <v>49548</v>
      </c>
    </row>
    <row r="167" spans="1:1" x14ac:dyDescent="0.25">
      <c r="A167" s="1">
        <v>49668</v>
      </c>
    </row>
    <row r="168" spans="1:1" x14ac:dyDescent="0.25">
      <c r="A168" s="1">
        <v>49669</v>
      </c>
    </row>
    <row r="169" spans="1:1" x14ac:dyDescent="0.25">
      <c r="A169" s="1">
        <v>49675</v>
      </c>
    </row>
    <row r="170" spans="1:1" x14ac:dyDescent="0.25">
      <c r="A170" s="1">
        <v>49776</v>
      </c>
    </row>
    <row r="171" spans="1:1" x14ac:dyDescent="0.25">
      <c r="A171" s="1">
        <v>49779</v>
      </c>
    </row>
    <row r="172" spans="1:1" x14ac:dyDescent="0.25">
      <c r="A172" s="1">
        <v>49800</v>
      </c>
    </row>
    <row r="173" spans="1:1" x14ac:dyDescent="0.25">
      <c r="A173" s="1">
        <v>49821</v>
      </c>
    </row>
    <row r="174" spans="1:1" x14ac:dyDescent="0.25">
      <c r="A174" s="1">
        <v>49912</v>
      </c>
    </row>
    <row r="175" spans="1:1" x14ac:dyDescent="0.25">
      <c r="A175" s="1">
        <v>50034</v>
      </c>
    </row>
    <row r="176" spans="1:1" x14ac:dyDescent="0.25">
      <c r="A176" s="1">
        <v>50035</v>
      </c>
    </row>
    <row r="177" spans="1:1" x14ac:dyDescent="0.25">
      <c r="A177" s="1">
        <v>50041</v>
      </c>
    </row>
    <row r="178" spans="1:1" x14ac:dyDescent="0.25">
      <c r="A178" s="1">
        <v>50133</v>
      </c>
    </row>
    <row r="179" spans="1:1" x14ac:dyDescent="0.25">
      <c r="A179" s="1">
        <v>50136</v>
      </c>
    </row>
    <row r="180" spans="1:1" x14ac:dyDescent="0.25">
      <c r="A180" s="1">
        <v>50164</v>
      </c>
    </row>
    <row r="181" spans="1:1" x14ac:dyDescent="0.25">
      <c r="A181" s="1">
        <v>50185</v>
      </c>
    </row>
    <row r="182" spans="1:1" x14ac:dyDescent="0.25">
      <c r="A182" s="1">
        <v>50283</v>
      </c>
    </row>
    <row r="183" spans="1:1" x14ac:dyDescent="0.25">
      <c r="A183" s="1">
        <v>50399</v>
      </c>
    </row>
    <row r="184" spans="1:1" x14ac:dyDescent="0.25">
      <c r="A184" s="1">
        <v>50402</v>
      </c>
    </row>
    <row r="185" spans="1:1" x14ac:dyDescent="0.25">
      <c r="A185" s="1">
        <v>50406</v>
      </c>
    </row>
    <row r="186" spans="1:1" x14ac:dyDescent="0.25">
      <c r="A186" s="1">
        <v>50518</v>
      </c>
    </row>
    <row r="187" spans="1:1" x14ac:dyDescent="0.25">
      <c r="A187" s="1">
        <v>50521</v>
      </c>
    </row>
    <row r="188" spans="1:1" x14ac:dyDescent="0.25">
      <c r="A188" s="1">
        <v>50528</v>
      </c>
    </row>
    <row r="189" spans="1:1" x14ac:dyDescent="0.25">
      <c r="A189" s="1">
        <v>50556</v>
      </c>
    </row>
    <row r="190" spans="1:1" x14ac:dyDescent="0.25">
      <c r="A190" s="1">
        <v>50647</v>
      </c>
    </row>
    <row r="191" spans="1:1" x14ac:dyDescent="0.25">
      <c r="A191" s="1">
        <v>50766</v>
      </c>
    </row>
    <row r="192" spans="1:1" x14ac:dyDescent="0.25">
      <c r="A192" s="1">
        <v>50767</v>
      </c>
    </row>
    <row r="193" spans="1:1" x14ac:dyDescent="0.25">
      <c r="A193" s="1">
        <v>50773</v>
      </c>
    </row>
    <row r="194" spans="1:1" x14ac:dyDescent="0.25">
      <c r="A194" s="1">
        <v>50868</v>
      </c>
    </row>
    <row r="195" spans="1:1" x14ac:dyDescent="0.25">
      <c r="A195" s="1">
        <v>50871</v>
      </c>
    </row>
    <row r="196" spans="1:1" x14ac:dyDescent="0.25">
      <c r="A196" s="1">
        <v>50892</v>
      </c>
    </row>
    <row r="197" spans="1:1" x14ac:dyDescent="0.25">
      <c r="A197" s="1">
        <v>50920</v>
      </c>
    </row>
    <row r="198" spans="1:1" x14ac:dyDescent="0.25">
      <c r="A198" s="1">
        <v>51011</v>
      </c>
    </row>
    <row r="199" spans="1:1" x14ac:dyDescent="0.25">
      <c r="A199" s="1">
        <v>51130</v>
      </c>
    </row>
    <row r="200" spans="1:1" x14ac:dyDescent="0.25">
      <c r="A200" s="1">
        <v>51131</v>
      </c>
    </row>
    <row r="201" spans="1:1" x14ac:dyDescent="0.25">
      <c r="A201" s="1">
        <v>51137</v>
      </c>
    </row>
    <row r="202" spans="1:1" x14ac:dyDescent="0.25">
      <c r="A202" s="1">
        <v>51225</v>
      </c>
    </row>
    <row r="203" spans="1:1" x14ac:dyDescent="0.25">
      <c r="A203" s="1">
        <v>51228</v>
      </c>
    </row>
    <row r="204" spans="1:1" x14ac:dyDescent="0.25">
      <c r="A204" s="1">
        <v>51263</v>
      </c>
    </row>
    <row r="205" spans="1:1" x14ac:dyDescent="0.25">
      <c r="A205" s="1">
        <v>51284</v>
      </c>
    </row>
    <row r="206" spans="1:1" x14ac:dyDescent="0.25">
      <c r="A206" s="1">
        <v>51375</v>
      </c>
    </row>
    <row r="207" spans="1:1" x14ac:dyDescent="0.25">
      <c r="A207" s="1">
        <v>51495</v>
      </c>
    </row>
    <row r="208" spans="1:1" x14ac:dyDescent="0.25">
      <c r="A208" s="1">
        <v>51496</v>
      </c>
    </row>
    <row r="209" spans="1:1" x14ac:dyDescent="0.25">
      <c r="A209" s="1">
        <v>51502</v>
      </c>
    </row>
    <row r="210" spans="1:1" x14ac:dyDescent="0.25">
      <c r="A210" s="1">
        <v>51610</v>
      </c>
    </row>
    <row r="211" spans="1:1" x14ac:dyDescent="0.25">
      <c r="A211" s="1">
        <v>51613</v>
      </c>
    </row>
    <row r="212" spans="1:1" x14ac:dyDescent="0.25">
      <c r="A212" s="1">
        <v>51627</v>
      </c>
    </row>
    <row r="213" spans="1:1" x14ac:dyDescent="0.25">
      <c r="A213" s="1">
        <v>51648</v>
      </c>
    </row>
    <row r="214" spans="1:1" x14ac:dyDescent="0.25">
      <c r="A214" s="1">
        <v>51739</v>
      </c>
    </row>
    <row r="215" spans="1:1" x14ac:dyDescent="0.25">
      <c r="A215" s="1">
        <v>51860</v>
      </c>
    </row>
    <row r="216" spans="1:1" x14ac:dyDescent="0.25">
      <c r="A216" s="1">
        <v>51861</v>
      </c>
    </row>
    <row r="217" spans="1:1" x14ac:dyDescent="0.25">
      <c r="A217" s="1">
        <v>51867</v>
      </c>
    </row>
    <row r="218" spans="1:1" x14ac:dyDescent="0.25">
      <c r="A218" s="1">
        <v>51960</v>
      </c>
    </row>
    <row r="219" spans="1:1" x14ac:dyDescent="0.25">
      <c r="A219" s="1">
        <v>51963</v>
      </c>
    </row>
    <row r="220" spans="1:1" x14ac:dyDescent="0.25">
      <c r="A220" s="1">
        <v>51991</v>
      </c>
    </row>
    <row r="221" spans="1:1" x14ac:dyDescent="0.25">
      <c r="A221" s="1">
        <v>52012</v>
      </c>
    </row>
    <row r="222" spans="1:1" x14ac:dyDescent="0.25">
      <c r="A222" s="1">
        <v>52103</v>
      </c>
    </row>
    <row r="223" spans="1:1" x14ac:dyDescent="0.25">
      <c r="A223" s="1">
        <v>52225</v>
      </c>
    </row>
    <row r="224" spans="1:1" x14ac:dyDescent="0.25">
      <c r="A224" s="1">
        <v>52226</v>
      </c>
    </row>
    <row r="225" spans="1:1" x14ac:dyDescent="0.25">
      <c r="A225" s="1">
        <v>52232</v>
      </c>
    </row>
    <row r="226" spans="1:1" x14ac:dyDescent="0.25">
      <c r="A226" s="1">
        <v>52317</v>
      </c>
    </row>
    <row r="227" spans="1:1" x14ac:dyDescent="0.25">
      <c r="A227" s="1">
        <v>52320</v>
      </c>
    </row>
    <row r="228" spans="1:1" x14ac:dyDescent="0.25">
      <c r="A228" s="1">
        <v>52355</v>
      </c>
    </row>
    <row r="229" spans="1:1" x14ac:dyDescent="0.25">
      <c r="A229" s="1">
        <v>52376</v>
      </c>
    </row>
    <row r="230" spans="1:1" x14ac:dyDescent="0.25">
      <c r="A230" s="1">
        <v>52474</v>
      </c>
    </row>
    <row r="231" spans="1:1" x14ac:dyDescent="0.25">
      <c r="A231" s="1">
        <v>52590</v>
      </c>
    </row>
    <row r="232" spans="1:1" x14ac:dyDescent="0.25">
      <c r="A232" s="1">
        <v>52593</v>
      </c>
    </row>
    <row r="233" spans="1:1" x14ac:dyDescent="0.25">
      <c r="A233" s="1">
        <v>52597</v>
      </c>
    </row>
    <row r="234" spans="1:1" x14ac:dyDescent="0.25">
      <c r="A234" s="1">
        <v>52702</v>
      </c>
    </row>
    <row r="235" spans="1:1" x14ac:dyDescent="0.25">
      <c r="A235" s="1">
        <v>52705</v>
      </c>
    </row>
    <row r="236" spans="1:1" x14ac:dyDescent="0.25">
      <c r="A236" s="1">
        <v>52719</v>
      </c>
    </row>
    <row r="237" spans="1:1" x14ac:dyDescent="0.25">
      <c r="A237" s="1">
        <v>52747</v>
      </c>
    </row>
    <row r="238" spans="1:1" x14ac:dyDescent="0.25">
      <c r="A238" s="1">
        <v>52838</v>
      </c>
    </row>
    <row r="239" spans="1:1" x14ac:dyDescent="0.25">
      <c r="A239" s="1">
        <v>52957</v>
      </c>
    </row>
    <row r="240" spans="1:1" x14ac:dyDescent="0.25">
      <c r="A240" s="1">
        <v>52958</v>
      </c>
    </row>
    <row r="241" spans="1:1" x14ac:dyDescent="0.25">
      <c r="A241" s="1">
        <v>52964</v>
      </c>
    </row>
    <row r="242" spans="1:1" x14ac:dyDescent="0.25">
      <c r="A242" s="1">
        <v>53059</v>
      </c>
    </row>
    <row r="243" spans="1:1" x14ac:dyDescent="0.25">
      <c r="A243" s="1">
        <v>53062</v>
      </c>
    </row>
    <row r="244" spans="1:1" x14ac:dyDescent="0.25">
      <c r="A244" s="1">
        <v>53083</v>
      </c>
    </row>
    <row r="245" spans="1:1" x14ac:dyDescent="0.25">
      <c r="A245" s="1">
        <v>53111</v>
      </c>
    </row>
    <row r="246" spans="1:1" x14ac:dyDescent="0.25">
      <c r="A246" s="1">
        <v>53202</v>
      </c>
    </row>
    <row r="247" spans="1:1" x14ac:dyDescent="0.25">
      <c r="A247" s="1">
        <v>53321</v>
      </c>
    </row>
    <row r="248" spans="1:1" x14ac:dyDescent="0.25">
      <c r="A248" s="1">
        <v>53322</v>
      </c>
    </row>
    <row r="249" spans="1:1" x14ac:dyDescent="0.25">
      <c r="A249" s="1">
        <v>53328</v>
      </c>
    </row>
    <row r="250" spans="1:1" x14ac:dyDescent="0.25">
      <c r="A250" s="1">
        <v>53409</v>
      </c>
    </row>
    <row r="251" spans="1:1" x14ac:dyDescent="0.25">
      <c r="A251" s="1">
        <v>53412</v>
      </c>
    </row>
    <row r="252" spans="1:1" x14ac:dyDescent="0.25">
      <c r="A252" s="1">
        <v>53454</v>
      </c>
    </row>
    <row r="253" spans="1:1" x14ac:dyDescent="0.25">
      <c r="A253" s="1">
        <v>53475</v>
      </c>
    </row>
    <row r="254" spans="1:1" x14ac:dyDescent="0.25">
      <c r="A254" s="1">
        <v>53566</v>
      </c>
    </row>
    <row r="255" spans="1:1" x14ac:dyDescent="0.25">
      <c r="A255" s="1">
        <v>53686</v>
      </c>
    </row>
    <row r="256" spans="1:1" x14ac:dyDescent="0.25">
      <c r="A256" s="1">
        <v>53687</v>
      </c>
    </row>
    <row r="257" spans="1:1" x14ac:dyDescent="0.25">
      <c r="A257" s="1">
        <v>53693</v>
      </c>
    </row>
    <row r="258" spans="1:1" x14ac:dyDescent="0.25">
      <c r="A258" s="1">
        <v>53794</v>
      </c>
    </row>
    <row r="259" spans="1:1" x14ac:dyDescent="0.25">
      <c r="A259" s="1">
        <v>53797</v>
      </c>
    </row>
    <row r="260" spans="1:1" x14ac:dyDescent="0.25">
      <c r="A260" s="1">
        <v>53818</v>
      </c>
    </row>
    <row r="261" spans="1:1" x14ac:dyDescent="0.25">
      <c r="A261" s="1">
        <v>53839</v>
      </c>
    </row>
    <row r="262" spans="1:1" x14ac:dyDescent="0.25">
      <c r="A262" s="1">
        <v>53930</v>
      </c>
    </row>
    <row r="263" spans="1:1" x14ac:dyDescent="0.25">
      <c r="A263" s="1">
        <v>54051</v>
      </c>
    </row>
    <row r="264" spans="1:1" x14ac:dyDescent="0.25">
      <c r="A264" s="1">
        <v>54052</v>
      </c>
    </row>
    <row r="265" spans="1:1" x14ac:dyDescent="0.25">
      <c r="A265" s="1">
        <v>54058</v>
      </c>
    </row>
    <row r="266" spans="1:1" x14ac:dyDescent="0.25">
      <c r="A266" s="1">
        <v>54151</v>
      </c>
    </row>
    <row r="267" spans="1:1" x14ac:dyDescent="0.25">
      <c r="A267" s="1">
        <v>54154</v>
      </c>
    </row>
    <row r="268" spans="1:1" x14ac:dyDescent="0.25">
      <c r="A268" s="1">
        <v>54182</v>
      </c>
    </row>
    <row r="269" spans="1:1" x14ac:dyDescent="0.25">
      <c r="A269" s="1">
        <v>54203</v>
      </c>
    </row>
    <row r="270" spans="1:1" x14ac:dyDescent="0.25">
      <c r="A270" s="1">
        <v>54301</v>
      </c>
    </row>
    <row r="271" spans="1:1" x14ac:dyDescent="0.25">
      <c r="A271" s="1">
        <v>54417</v>
      </c>
    </row>
    <row r="272" spans="1:1" x14ac:dyDescent="0.25">
      <c r="A272" s="1">
        <v>54420</v>
      </c>
    </row>
    <row r="273" spans="1:1" x14ac:dyDescent="0.25">
      <c r="A273" s="1">
        <v>54424</v>
      </c>
    </row>
    <row r="274" spans="1:1" x14ac:dyDescent="0.25">
      <c r="A274" s="1">
        <v>54529</v>
      </c>
    </row>
    <row r="275" spans="1:1" x14ac:dyDescent="0.25">
      <c r="A275" s="1">
        <v>54532</v>
      </c>
    </row>
    <row r="276" spans="1:1" x14ac:dyDescent="0.25">
      <c r="A276" s="1">
        <v>54546</v>
      </c>
    </row>
    <row r="277" spans="1:1" x14ac:dyDescent="0.25">
      <c r="A277" s="1">
        <v>54574</v>
      </c>
    </row>
    <row r="278" spans="1:1" x14ac:dyDescent="0.25">
      <c r="A278" s="1">
        <v>54665</v>
      </c>
    </row>
    <row r="279" spans="1:1" x14ac:dyDescent="0.25">
      <c r="A279" s="1">
        <v>54784</v>
      </c>
    </row>
    <row r="280" spans="1:1" x14ac:dyDescent="0.25">
      <c r="A280" s="1">
        <v>54785</v>
      </c>
    </row>
    <row r="281" spans="1:1" x14ac:dyDescent="0.25">
      <c r="A281" s="1">
        <v>54791</v>
      </c>
    </row>
    <row r="282" spans="1:1" x14ac:dyDescent="0.25">
      <c r="A282" s="1">
        <v>54886</v>
      </c>
    </row>
    <row r="283" spans="1:1" x14ac:dyDescent="0.25">
      <c r="A283" s="1">
        <v>54889</v>
      </c>
    </row>
    <row r="284" spans="1:1" x14ac:dyDescent="0.25">
      <c r="A284" s="1">
        <v>54910</v>
      </c>
    </row>
    <row r="285" spans="1:1" x14ac:dyDescent="0.25">
      <c r="A285" s="1">
        <v>54938</v>
      </c>
    </row>
    <row r="286" spans="1:1" x14ac:dyDescent="0.25">
      <c r="A286" s="1">
        <v>55029</v>
      </c>
    </row>
    <row r="287" spans="1:1" x14ac:dyDescent="0.25">
      <c r="A287" s="1">
        <v>55148</v>
      </c>
    </row>
    <row r="288" spans="1:1" x14ac:dyDescent="0.25">
      <c r="A288" s="1">
        <v>55149</v>
      </c>
    </row>
    <row r="289" spans="1:1" x14ac:dyDescent="0.25">
      <c r="A289" s="1">
        <v>55155</v>
      </c>
    </row>
    <row r="290" spans="1:1" x14ac:dyDescent="0.25">
      <c r="A290" s="1">
        <v>55243</v>
      </c>
    </row>
    <row r="291" spans="1:1" x14ac:dyDescent="0.25">
      <c r="A291" s="1">
        <v>55246</v>
      </c>
    </row>
    <row r="292" spans="1:1" x14ac:dyDescent="0.25">
      <c r="A292" s="1">
        <v>55274</v>
      </c>
    </row>
    <row r="293" spans="1:1" x14ac:dyDescent="0.25">
      <c r="A293" s="1">
        <v>55302</v>
      </c>
    </row>
    <row r="294" spans="1:1" x14ac:dyDescent="0.25">
      <c r="A294" s="1">
        <v>55393</v>
      </c>
    </row>
    <row r="295" spans="1:1" x14ac:dyDescent="0.25">
      <c r="A295" s="1">
        <v>55512</v>
      </c>
    </row>
    <row r="296" spans="1:1" x14ac:dyDescent="0.25">
      <c r="A296" s="1">
        <v>55513</v>
      </c>
    </row>
    <row r="297" spans="1:1" x14ac:dyDescent="0.25">
      <c r="A297" s="1">
        <v>55519</v>
      </c>
    </row>
    <row r="298" spans="1:1" x14ac:dyDescent="0.25">
      <c r="A298" s="1">
        <v>55628</v>
      </c>
    </row>
    <row r="299" spans="1:1" x14ac:dyDescent="0.25">
      <c r="A299" s="1">
        <v>55631</v>
      </c>
    </row>
    <row r="300" spans="1:1" x14ac:dyDescent="0.25">
      <c r="A300" s="1">
        <v>55645</v>
      </c>
    </row>
    <row r="301" spans="1:1" x14ac:dyDescent="0.25">
      <c r="A301" s="1">
        <v>55666</v>
      </c>
    </row>
    <row r="302" spans="1:1" x14ac:dyDescent="0.25">
      <c r="A302" s="1">
        <v>55757</v>
      </c>
    </row>
    <row r="303" spans="1:1" x14ac:dyDescent="0.25">
      <c r="A303" s="1">
        <v>55878</v>
      </c>
    </row>
    <row r="304" spans="1:1" x14ac:dyDescent="0.25">
      <c r="A304" s="1">
        <v>55879</v>
      </c>
    </row>
    <row r="305" spans="1:1" x14ac:dyDescent="0.25">
      <c r="A305" s="1">
        <v>55885</v>
      </c>
    </row>
    <row r="306" spans="1:1" x14ac:dyDescent="0.25">
      <c r="A306" s="1">
        <v>55978</v>
      </c>
    </row>
    <row r="307" spans="1:1" x14ac:dyDescent="0.25">
      <c r="A307" s="1">
        <v>55981</v>
      </c>
    </row>
    <row r="308" spans="1:1" x14ac:dyDescent="0.25">
      <c r="A308" s="1">
        <v>56009</v>
      </c>
    </row>
    <row r="309" spans="1:1" x14ac:dyDescent="0.25">
      <c r="A309" s="1">
        <v>56030</v>
      </c>
    </row>
    <row r="310" spans="1:1" x14ac:dyDescent="0.25">
      <c r="A310" s="1">
        <v>56121</v>
      </c>
    </row>
    <row r="311" spans="1:1" x14ac:dyDescent="0.25">
      <c r="A311" s="1">
        <v>56243</v>
      </c>
    </row>
    <row r="312" spans="1:1" x14ac:dyDescent="0.25">
      <c r="A312" s="1">
        <v>56244</v>
      </c>
    </row>
    <row r="313" spans="1:1" x14ac:dyDescent="0.25">
      <c r="A313" s="1">
        <v>56250</v>
      </c>
    </row>
    <row r="314" spans="1:1" x14ac:dyDescent="0.25">
      <c r="A314" s="1">
        <v>56335</v>
      </c>
    </row>
    <row r="315" spans="1:1" x14ac:dyDescent="0.25">
      <c r="A315" s="1">
        <v>56338</v>
      </c>
    </row>
    <row r="316" spans="1:1" x14ac:dyDescent="0.25">
      <c r="A316" s="1">
        <v>56373</v>
      </c>
    </row>
    <row r="317" spans="1:1" x14ac:dyDescent="0.25">
      <c r="A317" s="1">
        <v>56394</v>
      </c>
    </row>
    <row r="318" spans="1:1" x14ac:dyDescent="0.25">
      <c r="A318" s="1">
        <v>56492</v>
      </c>
    </row>
    <row r="319" spans="1:1" x14ac:dyDescent="0.25">
      <c r="A319" s="1">
        <v>56608</v>
      </c>
    </row>
    <row r="320" spans="1:1" x14ac:dyDescent="0.25">
      <c r="A320" s="1">
        <v>56611</v>
      </c>
    </row>
    <row r="321" spans="1:1" x14ac:dyDescent="0.25">
      <c r="A321" s="1">
        <v>56615</v>
      </c>
    </row>
    <row r="322" spans="1:1" x14ac:dyDescent="0.25">
      <c r="A322" s="1">
        <v>56720</v>
      </c>
    </row>
    <row r="323" spans="1:1" x14ac:dyDescent="0.25">
      <c r="A323" s="1">
        <v>56723</v>
      </c>
    </row>
    <row r="324" spans="1:1" x14ac:dyDescent="0.25">
      <c r="A324" s="1">
        <v>56737</v>
      </c>
    </row>
    <row r="325" spans="1:1" x14ac:dyDescent="0.25">
      <c r="A325" s="1">
        <v>56765</v>
      </c>
    </row>
    <row r="326" spans="1:1" x14ac:dyDescent="0.25">
      <c r="A326" s="1">
        <v>56856</v>
      </c>
    </row>
    <row r="327" spans="1:1" x14ac:dyDescent="0.25">
      <c r="A327" s="1">
        <v>56975</v>
      </c>
    </row>
    <row r="328" spans="1:1" x14ac:dyDescent="0.25">
      <c r="A328" s="1">
        <v>56976</v>
      </c>
    </row>
    <row r="329" spans="1:1" x14ac:dyDescent="0.25">
      <c r="A329" s="1">
        <v>56982</v>
      </c>
    </row>
    <row r="330" spans="1:1" x14ac:dyDescent="0.25">
      <c r="A330" s="1">
        <v>57070</v>
      </c>
    </row>
    <row r="331" spans="1:1" x14ac:dyDescent="0.25">
      <c r="A331" s="1">
        <v>57073</v>
      </c>
    </row>
    <row r="332" spans="1:1" x14ac:dyDescent="0.25">
      <c r="A332" s="1">
        <v>57101</v>
      </c>
    </row>
    <row r="333" spans="1:1" x14ac:dyDescent="0.25">
      <c r="A333" s="1">
        <v>57129</v>
      </c>
    </row>
    <row r="334" spans="1:1" x14ac:dyDescent="0.25">
      <c r="A334" s="1">
        <v>57220</v>
      </c>
    </row>
    <row r="335" spans="1:1" x14ac:dyDescent="0.25">
      <c r="A335" s="1">
        <v>57339</v>
      </c>
    </row>
    <row r="336" spans="1:1" x14ac:dyDescent="0.25">
      <c r="A336" s="1">
        <v>57340</v>
      </c>
    </row>
    <row r="337" spans="1:1" x14ac:dyDescent="0.25">
      <c r="A337" s="1">
        <v>57346</v>
      </c>
    </row>
    <row r="338" spans="1:1" x14ac:dyDescent="0.25">
      <c r="A338" s="1">
        <v>57455</v>
      </c>
    </row>
    <row r="339" spans="1:1" x14ac:dyDescent="0.25">
      <c r="A339" s="1">
        <v>57458</v>
      </c>
    </row>
    <row r="340" spans="1:1" x14ac:dyDescent="0.25">
      <c r="A340" s="1">
        <v>57472</v>
      </c>
    </row>
    <row r="341" spans="1:1" x14ac:dyDescent="0.25">
      <c r="A341" s="1">
        <v>57493</v>
      </c>
    </row>
    <row r="342" spans="1:1" x14ac:dyDescent="0.25">
      <c r="A342" s="1">
        <v>57584</v>
      </c>
    </row>
    <row r="343" spans="1:1" x14ac:dyDescent="0.25">
      <c r="A343" s="1">
        <v>57704</v>
      </c>
    </row>
    <row r="344" spans="1:1" x14ac:dyDescent="0.25">
      <c r="A344" s="1">
        <v>57705</v>
      </c>
    </row>
    <row r="345" spans="1:1" x14ac:dyDescent="0.25">
      <c r="A345" s="1">
        <v>57711</v>
      </c>
    </row>
    <row r="346" spans="1:1" x14ac:dyDescent="0.25">
      <c r="A346" s="1">
        <v>57812</v>
      </c>
    </row>
    <row r="347" spans="1:1" x14ac:dyDescent="0.25">
      <c r="A347" s="1">
        <v>57815</v>
      </c>
    </row>
    <row r="348" spans="1:1" x14ac:dyDescent="0.25">
      <c r="A348" s="1">
        <v>57836</v>
      </c>
    </row>
    <row r="349" spans="1:1" x14ac:dyDescent="0.25">
      <c r="A349" s="1">
        <v>57857</v>
      </c>
    </row>
    <row r="350" spans="1:1" x14ac:dyDescent="0.25">
      <c r="A350" s="1">
        <v>57948</v>
      </c>
    </row>
    <row r="351" spans="1:1" x14ac:dyDescent="0.25">
      <c r="A351" s="1">
        <v>58069</v>
      </c>
    </row>
    <row r="352" spans="1:1" x14ac:dyDescent="0.25">
      <c r="A352" s="1">
        <v>58070</v>
      </c>
    </row>
    <row r="353" spans="1:1" x14ac:dyDescent="0.25">
      <c r="A353" s="1">
        <v>58076</v>
      </c>
    </row>
    <row r="354" spans="1:1" x14ac:dyDescent="0.25">
      <c r="A354" s="1">
        <v>58162</v>
      </c>
    </row>
    <row r="355" spans="1:1" x14ac:dyDescent="0.25">
      <c r="A355" s="1">
        <v>58165</v>
      </c>
    </row>
    <row r="356" spans="1:1" x14ac:dyDescent="0.25">
      <c r="A356" s="1">
        <v>58200</v>
      </c>
    </row>
    <row r="357" spans="1:1" x14ac:dyDescent="0.25">
      <c r="A357" s="1">
        <v>58221</v>
      </c>
    </row>
    <row r="358" spans="1:1" x14ac:dyDescent="0.25">
      <c r="A358" s="1">
        <v>58312</v>
      </c>
    </row>
    <row r="359" spans="1:1" x14ac:dyDescent="0.25">
      <c r="A359" s="1">
        <v>58434</v>
      </c>
    </row>
    <row r="360" spans="1:1" x14ac:dyDescent="0.25">
      <c r="A360" s="1">
        <v>58435</v>
      </c>
    </row>
    <row r="361" spans="1:1" x14ac:dyDescent="0.25">
      <c r="A361" s="1">
        <v>58441</v>
      </c>
    </row>
    <row r="362" spans="1:1" x14ac:dyDescent="0.25">
      <c r="A362" s="1">
        <v>58547</v>
      </c>
    </row>
    <row r="363" spans="1:1" x14ac:dyDescent="0.25">
      <c r="A363" s="1">
        <v>58550</v>
      </c>
    </row>
    <row r="364" spans="1:1" x14ac:dyDescent="0.25">
      <c r="A364" s="1">
        <v>58564</v>
      </c>
    </row>
    <row r="365" spans="1:1" x14ac:dyDescent="0.25">
      <c r="A365" s="1">
        <v>58592</v>
      </c>
    </row>
    <row r="366" spans="1:1" x14ac:dyDescent="0.25">
      <c r="A366" s="1">
        <v>58683</v>
      </c>
    </row>
    <row r="367" spans="1:1" x14ac:dyDescent="0.25">
      <c r="A367" s="1">
        <v>58802</v>
      </c>
    </row>
    <row r="368" spans="1:1" x14ac:dyDescent="0.25">
      <c r="A368" s="1">
        <v>58803</v>
      </c>
    </row>
    <row r="369" spans="1:1" x14ac:dyDescent="0.25">
      <c r="A369" s="1">
        <v>58809</v>
      </c>
    </row>
    <row r="370" spans="1:1" x14ac:dyDescent="0.25">
      <c r="A370" s="1">
        <v>58904</v>
      </c>
    </row>
    <row r="371" spans="1:1" x14ac:dyDescent="0.25">
      <c r="A371" s="1">
        <v>58907</v>
      </c>
    </row>
    <row r="372" spans="1:1" x14ac:dyDescent="0.25">
      <c r="A372" s="1">
        <v>58928</v>
      </c>
    </row>
    <row r="373" spans="1:1" x14ac:dyDescent="0.25">
      <c r="A373" s="1">
        <v>58956</v>
      </c>
    </row>
    <row r="374" spans="1:1" x14ac:dyDescent="0.25">
      <c r="A374" s="1">
        <v>59047</v>
      </c>
    </row>
    <row r="375" spans="1:1" x14ac:dyDescent="0.25">
      <c r="A375" s="1">
        <v>59166</v>
      </c>
    </row>
    <row r="376" spans="1:1" x14ac:dyDescent="0.25">
      <c r="A376" s="1">
        <v>59167</v>
      </c>
    </row>
    <row r="377" spans="1:1" x14ac:dyDescent="0.25">
      <c r="A377" s="1">
        <v>59173</v>
      </c>
    </row>
    <row r="378" spans="1:1" x14ac:dyDescent="0.25">
      <c r="A378" s="1">
        <v>59254</v>
      </c>
    </row>
    <row r="379" spans="1:1" x14ac:dyDescent="0.25">
      <c r="A379" s="1">
        <v>59257</v>
      </c>
    </row>
    <row r="380" spans="1:1" x14ac:dyDescent="0.25">
      <c r="A380" s="1">
        <v>59292</v>
      </c>
    </row>
    <row r="381" spans="1:1" x14ac:dyDescent="0.25">
      <c r="A381" s="1">
        <v>59320</v>
      </c>
    </row>
    <row r="382" spans="1:1" x14ac:dyDescent="0.25">
      <c r="A382" s="1">
        <v>59411</v>
      </c>
    </row>
    <row r="383" spans="1:1" x14ac:dyDescent="0.25">
      <c r="A383" s="1">
        <v>59530</v>
      </c>
    </row>
    <row r="384" spans="1:1" x14ac:dyDescent="0.25">
      <c r="A384" s="1">
        <v>59531</v>
      </c>
    </row>
    <row r="385" spans="1:1" x14ac:dyDescent="0.25">
      <c r="A385" s="1">
        <v>59537</v>
      </c>
    </row>
    <row r="386" spans="1:1" x14ac:dyDescent="0.25">
      <c r="A386" s="1">
        <v>59639</v>
      </c>
    </row>
    <row r="387" spans="1:1" x14ac:dyDescent="0.25">
      <c r="A387" s="1">
        <v>59642</v>
      </c>
    </row>
    <row r="388" spans="1:1" x14ac:dyDescent="0.25">
      <c r="A388" s="1">
        <v>59663</v>
      </c>
    </row>
    <row r="389" spans="1:1" x14ac:dyDescent="0.25">
      <c r="A389" s="1">
        <v>59684</v>
      </c>
    </row>
    <row r="390" spans="1:1" x14ac:dyDescent="0.25">
      <c r="A390" s="1">
        <v>59775</v>
      </c>
    </row>
    <row r="391" spans="1:1" x14ac:dyDescent="0.25">
      <c r="A391" s="1">
        <v>59895</v>
      </c>
    </row>
    <row r="392" spans="1:1" x14ac:dyDescent="0.25">
      <c r="A392" s="1">
        <v>59896</v>
      </c>
    </row>
    <row r="393" spans="1:1" x14ac:dyDescent="0.25">
      <c r="A393" s="1">
        <v>59902</v>
      </c>
    </row>
    <row r="394" spans="1:1" x14ac:dyDescent="0.25">
      <c r="A394" s="1">
        <v>59996</v>
      </c>
    </row>
    <row r="395" spans="1:1" x14ac:dyDescent="0.25">
      <c r="A395" s="1">
        <v>59999</v>
      </c>
    </row>
    <row r="396" spans="1:1" x14ac:dyDescent="0.25">
      <c r="A396" s="1">
        <v>60027</v>
      </c>
    </row>
    <row r="397" spans="1:1" x14ac:dyDescent="0.25">
      <c r="A397" s="1">
        <v>60048</v>
      </c>
    </row>
    <row r="398" spans="1:1" x14ac:dyDescent="0.25">
      <c r="A398" s="1">
        <v>60139</v>
      </c>
    </row>
    <row r="399" spans="1:1" x14ac:dyDescent="0.25">
      <c r="A399" s="1">
        <v>60261</v>
      </c>
    </row>
    <row r="400" spans="1:1" x14ac:dyDescent="0.25">
      <c r="A400" s="1">
        <v>60262</v>
      </c>
    </row>
    <row r="401" spans="1:1" x14ac:dyDescent="0.25">
      <c r="A401" s="1">
        <v>60268</v>
      </c>
    </row>
    <row r="402" spans="1:1" x14ac:dyDescent="0.25">
      <c r="A402" s="1">
        <v>60353</v>
      </c>
    </row>
    <row r="403" spans="1:1" x14ac:dyDescent="0.25">
      <c r="A403" s="1">
        <v>60356</v>
      </c>
    </row>
    <row r="404" spans="1:1" x14ac:dyDescent="0.25">
      <c r="A404" s="1">
        <v>60391</v>
      </c>
    </row>
    <row r="405" spans="1:1" x14ac:dyDescent="0.25">
      <c r="A405" s="1">
        <v>60412</v>
      </c>
    </row>
    <row r="406" spans="1:1" x14ac:dyDescent="0.25">
      <c r="A406" s="1">
        <v>60510</v>
      </c>
    </row>
    <row r="407" spans="1:1" x14ac:dyDescent="0.25">
      <c r="A407" s="1">
        <v>60626</v>
      </c>
    </row>
    <row r="408" spans="1:1" x14ac:dyDescent="0.25">
      <c r="A408" s="1">
        <v>60629</v>
      </c>
    </row>
    <row r="409" spans="1:1" x14ac:dyDescent="0.25">
      <c r="A409" s="1">
        <v>60633</v>
      </c>
    </row>
    <row r="410" spans="1:1" x14ac:dyDescent="0.25">
      <c r="A410" s="1">
        <v>60731</v>
      </c>
    </row>
    <row r="411" spans="1:1" x14ac:dyDescent="0.25">
      <c r="A411" s="1">
        <v>60734</v>
      </c>
    </row>
    <row r="412" spans="1:1" x14ac:dyDescent="0.25">
      <c r="A412" s="1">
        <v>60755</v>
      </c>
    </row>
    <row r="413" spans="1:1" x14ac:dyDescent="0.25">
      <c r="A413" s="1">
        <v>60783</v>
      </c>
    </row>
    <row r="414" spans="1:1" x14ac:dyDescent="0.25">
      <c r="A414" s="1">
        <v>60874</v>
      </c>
    </row>
    <row r="415" spans="1:1" x14ac:dyDescent="0.25">
      <c r="A415" s="1">
        <v>60993</v>
      </c>
    </row>
    <row r="416" spans="1:1" x14ac:dyDescent="0.25">
      <c r="A416" s="1">
        <v>60994</v>
      </c>
    </row>
    <row r="417" spans="1:1" x14ac:dyDescent="0.25">
      <c r="A417" s="1">
        <v>61000</v>
      </c>
    </row>
    <row r="418" spans="1:1" x14ac:dyDescent="0.25">
      <c r="A418" s="1">
        <v>61088</v>
      </c>
    </row>
    <row r="419" spans="1:1" x14ac:dyDescent="0.25">
      <c r="A419" s="1">
        <v>61091</v>
      </c>
    </row>
    <row r="420" spans="1:1" x14ac:dyDescent="0.25">
      <c r="A420" s="1">
        <v>61119</v>
      </c>
    </row>
    <row r="421" spans="1:1" x14ac:dyDescent="0.25">
      <c r="A421" s="1">
        <v>61147</v>
      </c>
    </row>
    <row r="422" spans="1:1" x14ac:dyDescent="0.25">
      <c r="A422" s="1">
        <v>61238</v>
      </c>
    </row>
    <row r="423" spans="1:1" x14ac:dyDescent="0.25">
      <c r="A423" s="1">
        <v>61357</v>
      </c>
    </row>
    <row r="424" spans="1:1" x14ac:dyDescent="0.25">
      <c r="A424" s="1">
        <v>61358</v>
      </c>
    </row>
    <row r="425" spans="1:1" x14ac:dyDescent="0.25">
      <c r="A425" s="1">
        <v>61364</v>
      </c>
    </row>
    <row r="426" spans="1:1" x14ac:dyDescent="0.25">
      <c r="A426" s="1">
        <v>61473</v>
      </c>
    </row>
    <row r="427" spans="1:1" x14ac:dyDescent="0.25">
      <c r="A427" s="1">
        <v>61476</v>
      </c>
    </row>
    <row r="428" spans="1:1" x14ac:dyDescent="0.25">
      <c r="A428" s="1">
        <v>61490</v>
      </c>
    </row>
    <row r="429" spans="1:1" x14ac:dyDescent="0.25">
      <c r="A429" s="1">
        <v>61511</v>
      </c>
    </row>
    <row r="430" spans="1:1" x14ac:dyDescent="0.25">
      <c r="A430" s="1">
        <v>61602</v>
      </c>
    </row>
    <row r="431" spans="1:1" x14ac:dyDescent="0.25">
      <c r="A431" s="1">
        <v>61722</v>
      </c>
    </row>
    <row r="432" spans="1:1" x14ac:dyDescent="0.25">
      <c r="A432" s="1">
        <v>61723</v>
      </c>
    </row>
    <row r="433" spans="1:1" x14ac:dyDescent="0.25">
      <c r="A433" s="1">
        <v>61729</v>
      </c>
    </row>
    <row r="434" spans="1:1" x14ac:dyDescent="0.25">
      <c r="A434" s="1">
        <v>61830</v>
      </c>
    </row>
    <row r="435" spans="1:1" x14ac:dyDescent="0.25">
      <c r="A435" s="1">
        <v>61833</v>
      </c>
    </row>
    <row r="436" spans="1:1" x14ac:dyDescent="0.25">
      <c r="A436" s="1">
        <v>61854</v>
      </c>
    </row>
    <row r="437" spans="1:1" x14ac:dyDescent="0.25">
      <c r="A437" s="1">
        <v>61875</v>
      </c>
    </row>
    <row r="438" spans="1:1" x14ac:dyDescent="0.25">
      <c r="A438" s="1">
        <v>61966</v>
      </c>
    </row>
    <row r="439" spans="1:1" x14ac:dyDescent="0.25">
      <c r="A439" s="1">
        <v>62087</v>
      </c>
    </row>
    <row r="440" spans="1:1" x14ac:dyDescent="0.25">
      <c r="A440" s="1">
        <v>62088</v>
      </c>
    </row>
    <row r="441" spans="1:1" x14ac:dyDescent="0.25">
      <c r="A441" s="1">
        <v>62094</v>
      </c>
    </row>
    <row r="442" spans="1:1" x14ac:dyDescent="0.25">
      <c r="A442" s="1">
        <v>62180</v>
      </c>
    </row>
    <row r="443" spans="1:1" x14ac:dyDescent="0.25">
      <c r="A443" s="1">
        <v>62183</v>
      </c>
    </row>
    <row r="444" spans="1:1" x14ac:dyDescent="0.25">
      <c r="A444" s="1">
        <v>62218</v>
      </c>
    </row>
    <row r="445" spans="1:1" x14ac:dyDescent="0.25">
      <c r="A445" s="1">
        <v>62239</v>
      </c>
    </row>
    <row r="446" spans="1:1" x14ac:dyDescent="0.25">
      <c r="A446" s="1">
        <v>62330</v>
      </c>
    </row>
    <row r="447" spans="1:1" x14ac:dyDescent="0.25">
      <c r="A447" s="1">
        <v>62452</v>
      </c>
    </row>
    <row r="448" spans="1:1" x14ac:dyDescent="0.25">
      <c r="A448" s="1">
        <v>62453</v>
      </c>
    </row>
    <row r="449" spans="1:1" x14ac:dyDescent="0.25">
      <c r="A449" s="1">
        <v>62459</v>
      </c>
    </row>
    <row r="450" spans="1:1" x14ac:dyDescent="0.25">
      <c r="A450" s="1">
        <v>62565</v>
      </c>
    </row>
    <row r="451" spans="1:1" x14ac:dyDescent="0.25">
      <c r="A451" s="1">
        <v>62568</v>
      </c>
    </row>
    <row r="452" spans="1:1" x14ac:dyDescent="0.25">
      <c r="A452" s="1">
        <v>62582</v>
      </c>
    </row>
    <row r="453" spans="1:1" x14ac:dyDescent="0.25">
      <c r="A453" s="1">
        <v>62603</v>
      </c>
    </row>
    <row r="454" spans="1:1" x14ac:dyDescent="0.25">
      <c r="A454" s="1">
        <v>62701</v>
      </c>
    </row>
    <row r="455" spans="1:1" x14ac:dyDescent="0.25">
      <c r="A455" s="1">
        <v>62817</v>
      </c>
    </row>
    <row r="456" spans="1:1" x14ac:dyDescent="0.25">
      <c r="A456" s="1">
        <v>62820</v>
      </c>
    </row>
    <row r="457" spans="1:1" x14ac:dyDescent="0.25">
      <c r="A457" s="1">
        <v>62824</v>
      </c>
    </row>
    <row r="458" spans="1:1" x14ac:dyDescent="0.25">
      <c r="A458" s="1">
        <v>62922</v>
      </c>
    </row>
    <row r="459" spans="1:1" x14ac:dyDescent="0.25">
      <c r="A459" s="1">
        <v>62925</v>
      </c>
    </row>
    <row r="460" spans="1:1" x14ac:dyDescent="0.25">
      <c r="A460" s="1">
        <v>62946</v>
      </c>
    </row>
    <row r="461" spans="1:1" x14ac:dyDescent="0.25">
      <c r="A461" s="1">
        <v>62974</v>
      </c>
    </row>
    <row r="462" spans="1:1" x14ac:dyDescent="0.25">
      <c r="A462" s="1">
        <v>63065</v>
      </c>
    </row>
    <row r="463" spans="1:1" x14ac:dyDescent="0.25">
      <c r="A463" s="1">
        <v>63184</v>
      </c>
    </row>
    <row r="464" spans="1:1" x14ac:dyDescent="0.25">
      <c r="A464" s="1">
        <v>63185</v>
      </c>
    </row>
    <row r="465" spans="1:1" x14ac:dyDescent="0.25">
      <c r="A465" s="1">
        <v>63191</v>
      </c>
    </row>
    <row r="466" spans="1:1" x14ac:dyDescent="0.25">
      <c r="A466" s="1">
        <v>63272</v>
      </c>
    </row>
    <row r="467" spans="1:1" x14ac:dyDescent="0.25">
      <c r="A467" s="1">
        <v>63275</v>
      </c>
    </row>
    <row r="468" spans="1:1" x14ac:dyDescent="0.25">
      <c r="A468" s="1">
        <v>63310</v>
      </c>
    </row>
    <row r="469" spans="1:1" x14ac:dyDescent="0.25">
      <c r="A469" s="1">
        <v>63338</v>
      </c>
    </row>
    <row r="470" spans="1:1" x14ac:dyDescent="0.25">
      <c r="A470" s="1">
        <v>63429</v>
      </c>
    </row>
    <row r="471" spans="1:1" x14ac:dyDescent="0.25">
      <c r="A471" s="1">
        <v>63548</v>
      </c>
    </row>
    <row r="472" spans="1:1" x14ac:dyDescent="0.25">
      <c r="A472" s="1">
        <v>63549</v>
      </c>
    </row>
    <row r="473" spans="1:1" x14ac:dyDescent="0.25">
      <c r="A473" s="1">
        <v>63555</v>
      </c>
    </row>
    <row r="474" spans="1:1" x14ac:dyDescent="0.25">
      <c r="A474" s="1">
        <v>63657</v>
      </c>
    </row>
    <row r="475" spans="1:1" x14ac:dyDescent="0.25">
      <c r="A475" s="1">
        <v>63660</v>
      </c>
    </row>
    <row r="476" spans="1:1" x14ac:dyDescent="0.25">
      <c r="A476" s="1">
        <v>63681</v>
      </c>
    </row>
    <row r="477" spans="1:1" x14ac:dyDescent="0.25">
      <c r="A477" s="1">
        <v>63702</v>
      </c>
    </row>
    <row r="478" spans="1:1" x14ac:dyDescent="0.25">
      <c r="A478" s="1">
        <v>63793</v>
      </c>
    </row>
    <row r="479" spans="1:1" x14ac:dyDescent="0.25">
      <c r="A479" s="1">
        <v>63913</v>
      </c>
    </row>
    <row r="480" spans="1:1" x14ac:dyDescent="0.25">
      <c r="A480" s="1">
        <v>63914</v>
      </c>
    </row>
    <row r="481" spans="1:1" x14ac:dyDescent="0.25">
      <c r="A481" s="1">
        <v>63920</v>
      </c>
    </row>
    <row r="482" spans="1:1" x14ac:dyDescent="0.25">
      <c r="A482" s="1">
        <v>64014</v>
      </c>
    </row>
    <row r="483" spans="1:1" x14ac:dyDescent="0.25">
      <c r="A483" s="1">
        <v>64017</v>
      </c>
    </row>
    <row r="484" spans="1:1" x14ac:dyDescent="0.25">
      <c r="A484" s="1">
        <v>64045</v>
      </c>
    </row>
    <row r="485" spans="1:1" x14ac:dyDescent="0.25">
      <c r="A485" s="1">
        <v>64066</v>
      </c>
    </row>
    <row r="486" spans="1:1" x14ac:dyDescent="0.25">
      <c r="A486" s="1">
        <v>64157</v>
      </c>
    </row>
    <row r="487" spans="1:1" x14ac:dyDescent="0.25">
      <c r="A487" s="1">
        <v>64278</v>
      </c>
    </row>
    <row r="488" spans="1:1" x14ac:dyDescent="0.25">
      <c r="A488" s="1">
        <v>64279</v>
      </c>
    </row>
    <row r="489" spans="1:1" x14ac:dyDescent="0.25">
      <c r="A489" s="1">
        <v>64285</v>
      </c>
    </row>
    <row r="490" spans="1:1" x14ac:dyDescent="0.25">
      <c r="A490" s="1">
        <v>64392</v>
      </c>
    </row>
    <row r="491" spans="1:1" x14ac:dyDescent="0.25">
      <c r="A491" s="1">
        <v>64395</v>
      </c>
    </row>
    <row r="492" spans="1:1" x14ac:dyDescent="0.25">
      <c r="A492" s="1">
        <v>64409</v>
      </c>
    </row>
    <row r="493" spans="1:1" x14ac:dyDescent="0.25">
      <c r="A493" s="1">
        <v>64430</v>
      </c>
    </row>
    <row r="494" spans="1:1" x14ac:dyDescent="0.25">
      <c r="A494" s="1">
        <v>64528</v>
      </c>
    </row>
    <row r="495" spans="1:1" x14ac:dyDescent="0.25">
      <c r="A495" s="1">
        <v>64644</v>
      </c>
    </row>
    <row r="496" spans="1:1" x14ac:dyDescent="0.25">
      <c r="A496" s="1">
        <v>64647</v>
      </c>
    </row>
    <row r="497" spans="1:1" x14ac:dyDescent="0.25">
      <c r="A497" s="1">
        <v>64651</v>
      </c>
    </row>
    <row r="498" spans="1:1" x14ac:dyDescent="0.25">
      <c r="A498" s="1">
        <v>64749</v>
      </c>
    </row>
    <row r="499" spans="1:1" x14ac:dyDescent="0.25">
      <c r="A499" s="1">
        <v>64752</v>
      </c>
    </row>
    <row r="500" spans="1:1" x14ac:dyDescent="0.25">
      <c r="A500" s="1">
        <v>64773</v>
      </c>
    </row>
    <row r="501" spans="1:1" x14ac:dyDescent="0.25">
      <c r="A501" s="1">
        <v>64801</v>
      </c>
    </row>
    <row r="502" spans="1:1" x14ac:dyDescent="0.25">
      <c r="A502" s="1">
        <v>64892</v>
      </c>
    </row>
    <row r="503" spans="1:1" x14ac:dyDescent="0.25">
      <c r="A503" s="1">
        <v>65011</v>
      </c>
    </row>
    <row r="504" spans="1:1" x14ac:dyDescent="0.25">
      <c r="A504" s="1">
        <v>65012</v>
      </c>
    </row>
    <row r="505" spans="1:1" x14ac:dyDescent="0.25">
      <c r="A505" s="1">
        <v>65018</v>
      </c>
    </row>
    <row r="506" spans="1:1" x14ac:dyDescent="0.25">
      <c r="A506" s="1">
        <v>65106</v>
      </c>
    </row>
    <row r="507" spans="1:1" x14ac:dyDescent="0.25">
      <c r="A507" s="1">
        <v>65109</v>
      </c>
    </row>
    <row r="508" spans="1:1" x14ac:dyDescent="0.25">
      <c r="A508" s="1">
        <v>65137</v>
      </c>
    </row>
    <row r="509" spans="1:1" x14ac:dyDescent="0.25">
      <c r="A509" s="1">
        <v>65165</v>
      </c>
    </row>
    <row r="510" spans="1:1" x14ac:dyDescent="0.25">
      <c r="A510" s="1">
        <v>65256</v>
      </c>
    </row>
    <row r="511" spans="1:1" x14ac:dyDescent="0.25">
      <c r="A511" s="1">
        <v>65375</v>
      </c>
    </row>
    <row r="512" spans="1:1" x14ac:dyDescent="0.25">
      <c r="A512" s="1">
        <v>65376</v>
      </c>
    </row>
    <row r="513" spans="1:1" x14ac:dyDescent="0.25">
      <c r="A513" s="1">
        <v>65382</v>
      </c>
    </row>
    <row r="514" spans="1:1" x14ac:dyDescent="0.25">
      <c r="A514" s="1">
        <v>65491</v>
      </c>
    </row>
    <row r="515" spans="1:1" x14ac:dyDescent="0.25">
      <c r="A515" s="1">
        <v>65494</v>
      </c>
    </row>
    <row r="516" spans="1:1" x14ac:dyDescent="0.25">
      <c r="A516" s="1">
        <v>65501</v>
      </c>
    </row>
    <row r="517" spans="1:1" x14ac:dyDescent="0.25">
      <c r="A517" s="1">
        <v>65529</v>
      </c>
    </row>
    <row r="518" spans="1:1" x14ac:dyDescent="0.25">
      <c r="A518" s="1">
        <v>65620</v>
      </c>
    </row>
    <row r="519" spans="1:1" x14ac:dyDescent="0.25">
      <c r="A519" s="1">
        <v>65739</v>
      </c>
    </row>
    <row r="520" spans="1:1" x14ac:dyDescent="0.25">
      <c r="A520" s="1">
        <v>65740</v>
      </c>
    </row>
    <row r="521" spans="1:1" x14ac:dyDescent="0.25">
      <c r="A521" s="1">
        <v>65746</v>
      </c>
    </row>
    <row r="522" spans="1:1" x14ac:dyDescent="0.25">
      <c r="A522" s="1">
        <v>65841</v>
      </c>
    </row>
    <row r="523" spans="1:1" x14ac:dyDescent="0.25">
      <c r="A523" s="1">
        <v>65844</v>
      </c>
    </row>
    <row r="524" spans="1:1" x14ac:dyDescent="0.25">
      <c r="A524" s="1">
        <v>65872</v>
      </c>
    </row>
    <row r="525" spans="1:1" x14ac:dyDescent="0.25">
      <c r="A525" s="1">
        <v>65893</v>
      </c>
    </row>
    <row r="526" spans="1:1" x14ac:dyDescent="0.25">
      <c r="A526" s="1">
        <v>65984</v>
      </c>
    </row>
    <row r="527" spans="1:1" x14ac:dyDescent="0.25">
      <c r="A527" s="1">
        <v>66105</v>
      </c>
    </row>
    <row r="528" spans="1:1" x14ac:dyDescent="0.25">
      <c r="A528" s="1">
        <v>66106</v>
      </c>
    </row>
    <row r="529" spans="1:1" x14ac:dyDescent="0.25">
      <c r="A529" s="1">
        <v>66112</v>
      </c>
    </row>
    <row r="530" spans="1:1" x14ac:dyDescent="0.25">
      <c r="A530" s="1">
        <v>66198</v>
      </c>
    </row>
    <row r="531" spans="1:1" x14ac:dyDescent="0.25">
      <c r="A531" s="1">
        <v>66201</v>
      </c>
    </row>
    <row r="532" spans="1:1" x14ac:dyDescent="0.25">
      <c r="A532" s="1">
        <v>66236</v>
      </c>
    </row>
    <row r="533" spans="1:1" x14ac:dyDescent="0.25">
      <c r="A533" s="1">
        <v>66257</v>
      </c>
    </row>
    <row r="534" spans="1:1" x14ac:dyDescent="0.25">
      <c r="A534" s="1">
        <v>66348</v>
      </c>
    </row>
    <row r="535" spans="1:1" x14ac:dyDescent="0.25">
      <c r="A535" s="1">
        <v>66470</v>
      </c>
    </row>
    <row r="536" spans="1:1" x14ac:dyDescent="0.25">
      <c r="A536" s="1">
        <v>66471</v>
      </c>
    </row>
    <row r="537" spans="1:1" x14ac:dyDescent="0.25">
      <c r="A537" s="1">
        <v>66477</v>
      </c>
    </row>
    <row r="538" spans="1:1" x14ac:dyDescent="0.25">
      <c r="A538" s="1">
        <v>66583</v>
      </c>
    </row>
    <row r="539" spans="1:1" x14ac:dyDescent="0.25">
      <c r="A539" s="1">
        <v>66586</v>
      </c>
    </row>
    <row r="540" spans="1:1" x14ac:dyDescent="0.25">
      <c r="A540" s="1">
        <v>66600</v>
      </c>
    </row>
    <row r="541" spans="1:1" x14ac:dyDescent="0.25">
      <c r="A541" s="1">
        <v>66621</v>
      </c>
    </row>
    <row r="542" spans="1:1" x14ac:dyDescent="0.25">
      <c r="A542" s="1">
        <v>66719</v>
      </c>
    </row>
    <row r="543" spans="1:1" x14ac:dyDescent="0.25">
      <c r="A543" s="1">
        <v>66835</v>
      </c>
    </row>
    <row r="544" spans="1:1" x14ac:dyDescent="0.25">
      <c r="A544" s="1">
        <v>66838</v>
      </c>
    </row>
    <row r="545" spans="1:1" x14ac:dyDescent="0.25">
      <c r="A545" s="1">
        <v>66842</v>
      </c>
    </row>
    <row r="546" spans="1:1" x14ac:dyDescent="0.25">
      <c r="A546" s="1">
        <v>66933</v>
      </c>
    </row>
    <row r="547" spans="1:1" x14ac:dyDescent="0.25">
      <c r="A547" s="1">
        <v>66936</v>
      </c>
    </row>
    <row r="548" spans="1:1" x14ac:dyDescent="0.25">
      <c r="A548" s="1">
        <v>66964</v>
      </c>
    </row>
    <row r="549" spans="1:1" x14ac:dyDescent="0.25">
      <c r="A549" s="1">
        <v>66992</v>
      </c>
    </row>
    <row r="550" spans="1:1" x14ac:dyDescent="0.25">
      <c r="A550" s="1">
        <v>67083</v>
      </c>
    </row>
    <row r="551" spans="1:1" x14ac:dyDescent="0.25">
      <c r="A551" s="1">
        <v>67202</v>
      </c>
    </row>
    <row r="552" spans="1:1" x14ac:dyDescent="0.25">
      <c r="A552" s="1">
        <v>67203</v>
      </c>
    </row>
    <row r="553" spans="1:1" x14ac:dyDescent="0.25">
      <c r="A553" s="1">
        <v>67209</v>
      </c>
    </row>
    <row r="554" spans="1:1" x14ac:dyDescent="0.25">
      <c r="A554" s="1">
        <v>67290</v>
      </c>
    </row>
    <row r="555" spans="1:1" x14ac:dyDescent="0.25">
      <c r="A555" s="1">
        <v>67293</v>
      </c>
    </row>
    <row r="556" spans="1:1" x14ac:dyDescent="0.25">
      <c r="A556" s="1">
        <v>67328</v>
      </c>
    </row>
    <row r="557" spans="1:1" x14ac:dyDescent="0.25">
      <c r="A557" s="1">
        <v>67356</v>
      </c>
    </row>
    <row r="558" spans="1:1" x14ac:dyDescent="0.25">
      <c r="A558" s="1">
        <v>67447</v>
      </c>
    </row>
    <row r="559" spans="1:1" x14ac:dyDescent="0.25">
      <c r="A559" s="1">
        <v>67566</v>
      </c>
    </row>
    <row r="560" spans="1:1" x14ac:dyDescent="0.25">
      <c r="A560" s="1">
        <v>67567</v>
      </c>
    </row>
    <row r="561" spans="1:1" x14ac:dyDescent="0.25">
      <c r="A561" s="1">
        <v>67573</v>
      </c>
    </row>
    <row r="562" spans="1:1" x14ac:dyDescent="0.25">
      <c r="A562" s="1">
        <v>67675</v>
      </c>
    </row>
    <row r="563" spans="1:1" x14ac:dyDescent="0.25">
      <c r="A563" s="1">
        <v>67678</v>
      </c>
    </row>
    <row r="564" spans="1:1" x14ac:dyDescent="0.25">
      <c r="A564" s="1">
        <v>67699</v>
      </c>
    </row>
    <row r="565" spans="1:1" x14ac:dyDescent="0.25">
      <c r="A565" s="1">
        <v>67720</v>
      </c>
    </row>
    <row r="566" spans="1:1" x14ac:dyDescent="0.25">
      <c r="A566" s="1">
        <v>67811</v>
      </c>
    </row>
    <row r="567" spans="1:1" x14ac:dyDescent="0.25">
      <c r="A567" s="1">
        <v>67931</v>
      </c>
    </row>
    <row r="568" spans="1:1" x14ac:dyDescent="0.25">
      <c r="A568" s="1">
        <v>67932</v>
      </c>
    </row>
    <row r="569" spans="1:1" x14ac:dyDescent="0.25">
      <c r="A569" s="1">
        <v>67938</v>
      </c>
    </row>
    <row r="570" spans="1:1" x14ac:dyDescent="0.25">
      <c r="A570" s="1">
        <v>68025</v>
      </c>
    </row>
    <row r="571" spans="1:1" x14ac:dyDescent="0.25">
      <c r="A571" s="1">
        <v>68028</v>
      </c>
    </row>
    <row r="572" spans="1:1" x14ac:dyDescent="0.25">
      <c r="A572" s="1">
        <v>68063</v>
      </c>
    </row>
    <row r="573" spans="1:1" x14ac:dyDescent="0.25">
      <c r="A573" s="1">
        <v>68084</v>
      </c>
    </row>
    <row r="574" spans="1:1" x14ac:dyDescent="0.25">
      <c r="A574" s="1">
        <v>68175</v>
      </c>
    </row>
    <row r="575" spans="1:1" x14ac:dyDescent="0.25">
      <c r="A575" s="1">
        <v>68296</v>
      </c>
    </row>
    <row r="576" spans="1:1" x14ac:dyDescent="0.25">
      <c r="A576" s="1">
        <v>68297</v>
      </c>
    </row>
    <row r="577" spans="1:1" x14ac:dyDescent="0.25">
      <c r="A577" s="1">
        <v>68303</v>
      </c>
    </row>
    <row r="578" spans="1:1" x14ac:dyDescent="0.25">
      <c r="A578" s="1">
        <v>68410</v>
      </c>
    </row>
    <row r="579" spans="1:1" x14ac:dyDescent="0.25">
      <c r="A579" s="1">
        <v>68413</v>
      </c>
    </row>
    <row r="580" spans="1:1" x14ac:dyDescent="0.25">
      <c r="A580" s="1">
        <v>68427</v>
      </c>
    </row>
    <row r="581" spans="1:1" x14ac:dyDescent="0.25">
      <c r="A581" s="1">
        <v>68448</v>
      </c>
    </row>
    <row r="582" spans="1:1" x14ac:dyDescent="0.25">
      <c r="A582" s="1">
        <v>68539</v>
      </c>
    </row>
    <row r="583" spans="1:1" x14ac:dyDescent="0.25">
      <c r="A583" s="1">
        <v>68661</v>
      </c>
    </row>
    <row r="584" spans="1:1" x14ac:dyDescent="0.25">
      <c r="A584" s="1">
        <v>68662</v>
      </c>
    </row>
    <row r="585" spans="1:1" x14ac:dyDescent="0.25">
      <c r="A585" s="1">
        <v>68668</v>
      </c>
    </row>
    <row r="586" spans="1:1" x14ac:dyDescent="0.25">
      <c r="A586" s="1">
        <v>68767</v>
      </c>
    </row>
    <row r="587" spans="1:1" x14ac:dyDescent="0.25">
      <c r="A587" s="1">
        <v>68770</v>
      </c>
    </row>
    <row r="588" spans="1:1" x14ac:dyDescent="0.25">
      <c r="A588" s="1">
        <v>68791</v>
      </c>
    </row>
    <row r="589" spans="1:1" x14ac:dyDescent="0.25">
      <c r="A589" s="1">
        <v>68819</v>
      </c>
    </row>
    <row r="590" spans="1:1" x14ac:dyDescent="0.25">
      <c r="A590" s="1">
        <v>68910</v>
      </c>
    </row>
    <row r="591" spans="1:1" x14ac:dyDescent="0.25">
      <c r="A591" s="1">
        <v>69029</v>
      </c>
    </row>
    <row r="592" spans="1:1" x14ac:dyDescent="0.25">
      <c r="A592" s="1">
        <v>69030</v>
      </c>
    </row>
    <row r="593" spans="1:1" x14ac:dyDescent="0.25">
      <c r="A593" s="1">
        <v>69036</v>
      </c>
    </row>
    <row r="594" spans="1:1" x14ac:dyDescent="0.25">
      <c r="A594" s="1">
        <v>69124</v>
      </c>
    </row>
    <row r="595" spans="1:1" x14ac:dyDescent="0.25">
      <c r="A595" s="1">
        <v>69127</v>
      </c>
    </row>
    <row r="596" spans="1:1" x14ac:dyDescent="0.25">
      <c r="A596" s="1">
        <v>69155</v>
      </c>
    </row>
    <row r="597" spans="1:1" x14ac:dyDescent="0.25">
      <c r="A597" s="1">
        <v>69183</v>
      </c>
    </row>
    <row r="598" spans="1:1" x14ac:dyDescent="0.25">
      <c r="A598" s="1">
        <v>69274</v>
      </c>
    </row>
    <row r="599" spans="1:1" x14ac:dyDescent="0.25">
      <c r="A599" s="1">
        <v>69393</v>
      </c>
    </row>
    <row r="600" spans="1:1" x14ac:dyDescent="0.25">
      <c r="A600" s="1">
        <v>69394</v>
      </c>
    </row>
    <row r="601" spans="1:1" x14ac:dyDescent="0.25">
      <c r="A601" s="1">
        <v>69400</v>
      </c>
    </row>
    <row r="602" spans="1:1" x14ac:dyDescent="0.25">
      <c r="A602" s="1">
        <v>69502</v>
      </c>
    </row>
    <row r="603" spans="1:1" x14ac:dyDescent="0.25">
      <c r="A603" s="1">
        <v>69505</v>
      </c>
    </row>
    <row r="604" spans="1:1" x14ac:dyDescent="0.25">
      <c r="A604" s="1">
        <v>69519</v>
      </c>
    </row>
    <row r="605" spans="1:1" x14ac:dyDescent="0.25">
      <c r="A605" s="1">
        <v>69547</v>
      </c>
    </row>
    <row r="606" spans="1:1" x14ac:dyDescent="0.25">
      <c r="A606" s="1">
        <v>69638</v>
      </c>
    </row>
    <row r="607" spans="1:1" x14ac:dyDescent="0.25">
      <c r="A607" s="1">
        <v>69757</v>
      </c>
    </row>
    <row r="608" spans="1:1" x14ac:dyDescent="0.25">
      <c r="A608" s="1">
        <v>69758</v>
      </c>
    </row>
    <row r="609" spans="1:1" x14ac:dyDescent="0.25">
      <c r="A609" s="1">
        <v>69764</v>
      </c>
    </row>
    <row r="610" spans="1:1" x14ac:dyDescent="0.25">
      <c r="A610" s="1">
        <v>69859</v>
      </c>
    </row>
    <row r="611" spans="1:1" x14ac:dyDescent="0.25">
      <c r="A611" s="1">
        <v>69862</v>
      </c>
    </row>
    <row r="612" spans="1:1" x14ac:dyDescent="0.25">
      <c r="A612" s="1">
        <v>69890</v>
      </c>
    </row>
    <row r="613" spans="1:1" x14ac:dyDescent="0.25">
      <c r="A613" s="1">
        <v>69911</v>
      </c>
    </row>
    <row r="614" spans="1:1" x14ac:dyDescent="0.25">
      <c r="A614" s="1">
        <v>70002</v>
      </c>
    </row>
    <row r="615" spans="1:1" x14ac:dyDescent="0.25">
      <c r="A615" s="1">
        <v>70122</v>
      </c>
    </row>
    <row r="616" spans="1:1" x14ac:dyDescent="0.25">
      <c r="A616" s="1">
        <v>70123</v>
      </c>
    </row>
    <row r="617" spans="1:1" x14ac:dyDescent="0.25">
      <c r="A617" s="1">
        <v>70129</v>
      </c>
    </row>
    <row r="618" spans="1:1" x14ac:dyDescent="0.25">
      <c r="A618" s="1">
        <v>70216</v>
      </c>
    </row>
    <row r="619" spans="1:1" x14ac:dyDescent="0.25">
      <c r="A619" s="1">
        <v>70219</v>
      </c>
    </row>
    <row r="620" spans="1:1" x14ac:dyDescent="0.25">
      <c r="A620" s="1">
        <v>70254</v>
      </c>
    </row>
    <row r="621" spans="1:1" x14ac:dyDescent="0.25">
      <c r="A621" s="1">
        <v>70275</v>
      </c>
    </row>
    <row r="622" spans="1:1" x14ac:dyDescent="0.25">
      <c r="A622" s="1">
        <v>70366</v>
      </c>
    </row>
    <row r="623" spans="1:1" x14ac:dyDescent="0.25">
      <c r="A623" s="1">
        <v>70488</v>
      </c>
    </row>
    <row r="624" spans="1:1" x14ac:dyDescent="0.25">
      <c r="A624" s="1">
        <v>70489</v>
      </c>
    </row>
    <row r="625" spans="1:1" x14ac:dyDescent="0.25">
      <c r="A625" s="1">
        <v>70495</v>
      </c>
    </row>
    <row r="626" spans="1:1" x14ac:dyDescent="0.25">
      <c r="A626" s="1">
        <v>70594</v>
      </c>
    </row>
    <row r="627" spans="1:1" x14ac:dyDescent="0.25">
      <c r="A627" s="1">
        <v>70597</v>
      </c>
    </row>
    <row r="628" spans="1:1" x14ac:dyDescent="0.25">
      <c r="A628" s="1">
        <v>70618</v>
      </c>
    </row>
    <row r="629" spans="1:1" x14ac:dyDescent="0.25">
      <c r="A629" s="1">
        <v>70639</v>
      </c>
    </row>
    <row r="630" spans="1:1" x14ac:dyDescent="0.25">
      <c r="A630" s="1">
        <v>70737</v>
      </c>
    </row>
    <row r="631" spans="1:1" x14ac:dyDescent="0.25">
      <c r="A631" s="1">
        <v>70853</v>
      </c>
    </row>
    <row r="632" spans="1:1" x14ac:dyDescent="0.25">
      <c r="A632" s="1">
        <v>70856</v>
      </c>
    </row>
    <row r="633" spans="1:1" x14ac:dyDescent="0.25">
      <c r="A633" s="1">
        <v>70860</v>
      </c>
    </row>
    <row r="634" spans="1:1" x14ac:dyDescent="0.25">
      <c r="A634" s="1">
        <v>70951</v>
      </c>
    </row>
    <row r="635" spans="1:1" x14ac:dyDescent="0.25">
      <c r="A635" s="1">
        <v>70954</v>
      </c>
    </row>
    <row r="636" spans="1:1" x14ac:dyDescent="0.25">
      <c r="A636" s="1">
        <v>70982</v>
      </c>
    </row>
    <row r="637" spans="1:1" x14ac:dyDescent="0.25">
      <c r="A637" s="1">
        <v>71010</v>
      </c>
    </row>
    <row r="638" spans="1:1" x14ac:dyDescent="0.25">
      <c r="A638" s="1">
        <v>71101</v>
      </c>
    </row>
    <row r="639" spans="1:1" x14ac:dyDescent="0.25">
      <c r="A639" s="1">
        <v>71220</v>
      </c>
    </row>
    <row r="640" spans="1:1" x14ac:dyDescent="0.25">
      <c r="A640" s="1">
        <v>71221</v>
      </c>
    </row>
    <row r="641" spans="1:1" x14ac:dyDescent="0.25">
      <c r="A641" s="1">
        <v>71227</v>
      </c>
    </row>
    <row r="642" spans="1:1" x14ac:dyDescent="0.25">
      <c r="A642" s="1">
        <v>71336</v>
      </c>
    </row>
    <row r="643" spans="1:1" x14ac:dyDescent="0.25">
      <c r="A643" s="1">
        <v>71339</v>
      </c>
    </row>
    <row r="644" spans="1:1" x14ac:dyDescent="0.25">
      <c r="A644" s="1">
        <v>71346</v>
      </c>
    </row>
    <row r="645" spans="1:1" x14ac:dyDescent="0.25">
      <c r="A645" s="1">
        <v>71374</v>
      </c>
    </row>
    <row r="646" spans="1:1" x14ac:dyDescent="0.25">
      <c r="A646" s="1">
        <v>71465</v>
      </c>
    </row>
    <row r="647" spans="1:1" x14ac:dyDescent="0.25">
      <c r="A647" s="1">
        <v>71584</v>
      </c>
    </row>
    <row r="648" spans="1:1" x14ac:dyDescent="0.25">
      <c r="A648" s="1">
        <v>71585</v>
      </c>
    </row>
    <row r="649" spans="1:1" x14ac:dyDescent="0.25">
      <c r="A649" s="1">
        <v>71591</v>
      </c>
    </row>
    <row r="650" spans="1:1" x14ac:dyDescent="0.25">
      <c r="A650" s="1">
        <v>71693</v>
      </c>
    </row>
    <row r="651" spans="1:1" x14ac:dyDescent="0.25">
      <c r="A651" s="1">
        <v>71696</v>
      </c>
    </row>
    <row r="652" spans="1:1" x14ac:dyDescent="0.25">
      <c r="A652" s="1">
        <v>71717</v>
      </c>
    </row>
    <row r="653" spans="1:1" x14ac:dyDescent="0.25">
      <c r="A653" s="1">
        <v>71738</v>
      </c>
    </row>
    <row r="654" spans="1:1" x14ac:dyDescent="0.25">
      <c r="A654" s="1">
        <v>71829</v>
      </c>
    </row>
    <row r="655" spans="1:1" x14ac:dyDescent="0.25">
      <c r="A655" s="1">
        <v>71949</v>
      </c>
    </row>
    <row r="656" spans="1:1" x14ac:dyDescent="0.25">
      <c r="A656" s="1">
        <v>71950</v>
      </c>
    </row>
    <row r="657" spans="1:1" x14ac:dyDescent="0.25">
      <c r="A657" s="1">
        <v>71956</v>
      </c>
    </row>
    <row r="658" spans="1:1" x14ac:dyDescent="0.25">
      <c r="A658" s="1">
        <v>72043</v>
      </c>
    </row>
    <row r="659" spans="1:1" x14ac:dyDescent="0.25">
      <c r="A659" s="1">
        <v>72046</v>
      </c>
    </row>
    <row r="660" spans="1:1" x14ac:dyDescent="0.25">
      <c r="A660" s="1">
        <v>72081</v>
      </c>
    </row>
    <row r="661" spans="1:1" x14ac:dyDescent="0.25">
      <c r="A661" s="1">
        <v>72102</v>
      </c>
    </row>
    <row r="662" spans="1:1" x14ac:dyDescent="0.25">
      <c r="A662" s="1">
        <v>72193</v>
      </c>
    </row>
    <row r="663" spans="1:1" x14ac:dyDescent="0.25">
      <c r="A663" s="1">
        <v>72314</v>
      </c>
    </row>
    <row r="664" spans="1:1" x14ac:dyDescent="0.25">
      <c r="A664" s="1">
        <v>72315</v>
      </c>
    </row>
    <row r="665" spans="1:1" x14ac:dyDescent="0.25">
      <c r="A665" s="1">
        <v>72321</v>
      </c>
    </row>
    <row r="666" spans="1:1" x14ac:dyDescent="0.25">
      <c r="A666" s="1">
        <v>72428</v>
      </c>
    </row>
    <row r="667" spans="1:1" x14ac:dyDescent="0.25">
      <c r="A667" s="1">
        <v>72431</v>
      </c>
    </row>
    <row r="668" spans="1:1" x14ac:dyDescent="0.25">
      <c r="A668" s="1">
        <v>72445</v>
      </c>
    </row>
    <row r="669" spans="1:1" x14ac:dyDescent="0.25">
      <c r="A669" s="1">
        <v>72466</v>
      </c>
    </row>
    <row r="670" spans="1:1" x14ac:dyDescent="0.25">
      <c r="A670" s="1">
        <v>72557</v>
      </c>
    </row>
    <row r="671" spans="1:1" x14ac:dyDescent="0.25">
      <c r="A671" s="1">
        <v>72679</v>
      </c>
    </row>
    <row r="672" spans="1:1" x14ac:dyDescent="0.25">
      <c r="A672" s="1">
        <v>72680</v>
      </c>
    </row>
    <row r="673" spans="1:1" x14ac:dyDescent="0.25">
      <c r="A673" s="1">
        <v>72686</v>
      </c>
    </row>
    <row r="674" spans="1:1" x14ac:dyDescent="0.25">
      <c r="A674" s="1">
        <v>72785</v>
      </c>
    </row>
    <row r="675" spans="1:1" x14ac:dyDescent="0.25">
      <c r="A675" s="1">
        <v>72788</v>
      </c>
    </row>
    <row r="676" spans="1:1" x14ac:dyDescent="0.25">
      <c r="A676" s="1">
        <v>72809</v>
      </c>
    </row>
    <row r="677" spans="1:1" x14ac:dyDescent="0.25">
      <c r="A677" s="1">
        <v>72830</v>
      </c>
    </row>
    <row r="678" spans="1:1" x14ac:dyDescent="0.25">
      <c r="A678" s="1">
        <v>72928</v>
      </c>
    </row>
    <row r="679" spans="1:1" x14ac:dyDescent="0.25">
      <c r="A679" s="1">
        <v>73044</v>
      </c>
    </row>
    <row r="680" spans="1:1" x14ac:dyDescent="0.25">
      <c r="A680" s="1">
        <v>73047</v>
      </c>
    </row>
    <row r="681" spans="1:1" x14ac:dyDescent="0.25">
      <c r="A681" s="1">
        <v>73051</v>
      </c>
    </row>
    <row r="682" spans="1:1" x14ac:dyDescent="0.25">
      <c r="A682" s="1">
        <v>73135</v>
      </c>
    </row>
    <row r="683" spans="1:1" x14ac:dyDescent="0.25">
      <c r="A683" s="1">
        <v>73138</v>
      </c>
    </row>
    <row r="684" spans="1:1" x14ac:dyDescent="0.25">
      <c r="A684" s="1">
        <v>73173</v>
      </c>
    </row>
    <row r="685" spans="1:1" x14ac:dyDescent="0.25">
      <c r="A685" s="1">
        <v>73201</v>
      </c>
    </row>
    <row r="686" spans="1:1" x14ac:dyDescent="0.25">
      <c r="A686" s="1">
        <v>73292</v>
      </c>
    </row>
    <row r="687" spans="1:1" x14ac:dyDescent="0.25">
      <c r="A687" s="1">
        <v>73411</v>
      </c>
    </row>
    <row r="688" spans="1:1" x14ac:dyDescent="0.25">
      <c r="A688" s="1">
        <v>73412</v>
      </c>
    </row>
    <row r="689" spans="1:1" x14ac:dyDescent="0.25">
      <c r="A689" s="1">
        <v>73418</v>
      </c>
    </row>
    <row r="690" spans="1:1" x14ac:dyDescent="0.25">
      <c r="A690" s="1">
        <v>73520</v>
      </c>
    </row>
    <row r="691" spans="1:1" x14ac:dyDescent="0.25">
      <c r="A691" s="1">
        <v>73523</v>
      </c>
    </row>
    <row r="692" spans="1:1" x14ac:dyDescent="0.25">
      <c r="A692" s="1">
        <v>73537</v>
      </c>
    </row>
    <row r="693" spans="1:1" x14ac:dyDescent="0.25">
      <c r="A693" s="1">
        <v>73565</v>
      </c>
    </row>
    <row r="694" spans="1:1" x14ac:dyDescent="0.25">
      <c r="A694" s="1">
        <v>73656</v>
      </c>
    </row>
    <row r="695" spans="1:1" x14ac:dyDescent="0.25">
      <c r="A695" s="1">
        <v>73775</v>
      </c>
    </row>
    <row r="696" spans="1:1" x14ac:dyDescent="0.25">
      <c r="A696" s="1">
        <v>73776</v>
      </c>
    </row>
    <row r="697" spans="1:1" x14ac:dyDescent="0.25">
      <c r="A697" s="1">
        <v>73782</v>
      </c>
    </row>
    <row r="698" spans="1:1" x14ac:dyDescent="0.25">
      <c r="A698" s="1">
        <v>73877</v>
      </c>
    </row>
    <row r="699" spans="1:1" x14ac:dyDescent="0.25">
      <c r="A699" s="1">
        <v>73880</v>
      </c>
    </row>
    <row r="700" spans="1:1" x14ac:dyDescent="0.25">
      <c r="A700" s="1">
        <v>73901</v>
      </c>
    </row>
    <row r="701" spans="1:1" x14ac:dyDescent="0.25">
      <c r="A701" s="1">
        <v>73929</v>
      </c>
    </row>
    <row r="702" spans="1:1" x14ac:dyDescent="0.25">
      <c r="A702" s="1">
        <v>74020</v>
      </c>
    </row>
    <row r="703" spans="1:1" x14ac:dyDescent="0.25">
      <c r="A703" s="1">
        <v>74139</v>
      </c>
    </row>
    <row r="704" spans="1:1" x14ac:dyDescent="0.25">
      <c r="A704" s="1">
        <v>74140</v>
      </c>
    </row>
    <row r="705" spans="1:1" x14ac:dyDescent="0.25">
      <c r="A705" s="1">
        <v>74146</v>
      </c>
    </row>
    <row r="706" spans="1:1" x14ac:dyDescent="0.25">
      <c r="A706" s="1">
        <v>74227</v>
      </c>
    </row>
    <row r="707" spans="1:1" x14ac:dyDescent="0.25">
      <c r="A707" s="1">
        <v>74230</v>
      </c>
    </row>
    <row r="708" spans="1:1" x14ac:dyDescent="0.25">
      <c r="A708" s="1">
        <v>74272</v>
      </c>
    </row>
    <row r="709" spans="1:1" x14ac:dyDescent="0.25">
      <c r="A709" s="1">
        <v>74293</v>
      </c>
    </row>
    <row r="710" spans="1:1" x14ac:dyDescent="0.25">
      <c r="A710" s="1">
        <v>74384</v>
      </c>
    </row>
    <row r="711" spans="1:1" x14ac:dyDescent="0.25">
      <c r="A711" s="1">
        <v>74504</v>
      </c>
    </row>
    <row r="712" spans="1:1" x14ac:dyDescent="0.25">
      <c r="A712" s="1">
        <v>74505</v>
      </c>
    </row>
    <row r="713" spans="1:1" x14ac:dyDescent="0.25">
      <c r="A713" s="1">
        <v>74511</v>
      </c>
    </row>
    <row r="714" spans="1:1" x14ac:dyDescent="0.25">
      <c r="A714" s="1">
        <v>74612</v>
      </c>
    </row>
    <row r="715" spans="1:1" x14ac:dyDescent="0.25">
      <c r="A715" s="1">
        <v>74615</v>
      </c>
    </row>
    <row r="716" spans="1:1" x14ac:dyDescent="0.25">
      <c r="A716" s="1">
        <v>74636</v>
      </c>
    </row>
    <row r="717" spans="1:1" x14ac:dyDescent="0.25">
      <c r="A717" s="1">
        <v>74657</v>
      </c>
    </row>
    <row r="718" spans="1:1" x14ac:dyDescent="0.25">
      <c r="A718" s="1">
        <v>74748</v>
      </c>
    </row>
    <row r="719" spans="1:1" x14ac:dyDescent="0.25">
      <c r="A719" s="1">
        <v>74870</v>
      </c>
    </row>
    <row r="720" spans="1:1" x14ac:dyDescent="0.25">
      <c r="A720" s="1">
        <v>74871</v>
      </c>
    </row>
    <row r="721" spans="1:1" x14ac:dyDescent="0.25">
      <c r="A721" s="1">
        <v>74877</v>
      </c>
    </row>
    <row r="722" spans="1:1" x14ac:dyDescent="0.25">
      <c r="A722" s="1">
        <v>74969</v>
      </c>
    </row>
    <row r="723" spans="1:1" x14ac:dyDescent="0.25">
      <c r="A723" s="1">
        <v>74972</v>
      </c>
    </row>
    <row r="724" spans="1:1" x14ac:dyDescent="0.25">
      <c r="A724" s="1">
        <v>75000</v>
      </c>
    </row>
    <row r="725" spans="1:1" x14ac:dyDescent="0.25">
      <c r="A725" s="1">
        <v>75021</v>
      </c>
    </row>
    <row r="726" spans="1:1" x14ac:dyDescent="0.25">
      <c r="A726" s="1">
        <v>75119</v>
      </c>
    </row>
    <row r="727" spans="1:1" x14ac:dyDescent="0.25">
      <c r="A727" s="1">
        <v>75235</v>
      </c>
    </row>
    <row r="728" spans="1:1" x14ac:dyDescent="0.25">
      <c r="A728" s="1">
        <v>75238</v>
      </c>
    </row>
    <row r="729" spans="1:1" x14ac:dyDescent="0.25">
      <c r="A729" s="1">
        <v>75242</v>
      </c>
    </row>
    <row r="730" spans="1:1" x14ac:dyDescent="0.25">
      <c r="A730" s="1">
        <v>75347</v>
      </c>
    </row>
    <row r="731" spans="1:1" x14ac:dyDescent="0.25">
      <c r="A731" s="1">
        <v>75350</v>
      </c>
    </row>
    <row r="732" spans="1:1" x14ac:dyDescent="0.25">
      <c r="A732" s="1">
        <v>75364</v>
      </c>
    </row>
    <row r="733" spans="1:1" x14ac:dyDescent="0.25">
      <c r="A733" s="1">
        <v>75392</v>
      </c>
    </row>
    <row r="734" spans="1:1" x14ac:dyDescent="0.25">
      <c r="A734" s="1">
        <v>75483</v>
      </c>
    </row>
    <row r="735" spans="1:1" x14ac:dyDescent="0.25">
      <c r="A735" s="1">
        <v>75602</v>
      </c>
    </row>
    <row r="736" spans="1:1" x14ac:dyDescent="0.25">
      <c r="A736" s="1">
        <v>75603</v>
      </c>
    </row>
    <row r="737" spans="1:1" x14ac:dyDescent="0.25">
      <c r="A737" s="1">
        <v>75609</v>
      </c>
    </row>
    <row r="738" spans="1:1" x14ac:dyDescent="0.25">
      <c r="A738" s="1">
        <v>75704</v>
      </c>
    </row>
    <row r="739" spans="1:1" x14ac:dyDescent="0.25">
      <c r="A739" s="1">
        <v>75707</v>
      </c>
    </row>
    <row r="740" spans="1:1" x14ac:dyDescent="0.25">
      <c r="A740" s="1">
        <v>75728</v>
      </c>
    </row>
    <row r="741" spans="1:1" x14ac:dyDescent="0.25">
      <c r="A741" s="1">
        <v>75756</v>
      </c>
    </row>
    <row r="742" spans="1:1" x14ac:dyDescent="0.25">
      <c r="A742" s="1">
        <v>75847</v>
      </c>
    </row>
    <row r="743" spans="1:1" x14ac:dyDescent="0.25">
      <c r="A743" s="1">
        <v>75966</v>
      </c>
    </row>
    <row r="744" spans="1:1" x14ac:dyDescent="0.25">
      <c r="A744" s="1">
        <v>75967</v>
      </c>
    </row>
    <row r="745" spans="1:1" x14ac:dyDescent="0.25">
      <c r="A745" s="1">
        <v>75973</v>
      </c>
    </row>
    <row r="746" spans="1:1" x14ac:dyDescent="0.25">
      <c r="A746" s="1">
        <v>76061</v>
      </c>
    </row>
    <row r="747" spans="1:1" x14ac:dyDescent="0.25">
      <c r="A747" s="1">
        <v>76064</v>
      </c>
    </row>
    <row r="748" spans="1:1" x14ac:dyDescent="0.25">
      <c r="A748" s="1">
        <v>76099</v>
      </c>
    </row>
    <row r="749" spans="1:1" x14ac:dyDescent="0.25">
      <c r="A749" s="1">
        <v>76120</v>
      </c>
    </row>
    <row r="750" spans="1:1" x14ac:dyDescent="0.25">
      <c r="A750" s="1">
        <v>76211</v>
      </c>
    </row>
    <row r="751" spans="1:1" x14ac:dyDescent="0.25">
      <c r="A751" s="1">
        <v>76331</v>
      </c>
    </row>
    <row r="752" spans="1:1" x14ac:dyDescent="0.25">
      <c r="A752" s="1">
        <v>76332</v>
      </c>
    </row>
    <row r="753" spans="1:1" x14ac:dyDescent="0.25">
      <c r="A753" s="1">
        <v>76338</v>
      </c>
    </row>
    <row r="754" spans="1:1" x14ac:dyDescent="0.25">
      <c r="A754" s="1">
        <v>76446</v>
      </c>
    </row>
    <row r="755" spans="1:1" x14ac:dyDescent="0.25">
      <c r="A755" s="1">
        <v>76449</v>
      </c>
    </row>
    <row r="756" spans="1:1" x14ac:dyDescent="0.25">
      <c r="A756" s="1">
        <v>76463</v>
      </c>
    </row>
    <row r="757" spans="1:1" x14ac:dyDescent="0.25">
      <c r="A757" s="1">
        <v>76484</v>
      </c>
    </row>
    <row r="758" spans="1:1" x14ac:dyDescent="0.25">
      <c r="A758" s="1">
        <v>76575</v>
      </c>
    </row>
    <row r="759" spans="1:1" x14ac:dyDescent="0.25">
      <c r="A759" s="1">
        <v>76696</v>
      </c>
    </row>
    <row r="760" spans="1:1" x14ac:dyDescent="0.25">
      <c r="A760" s="1">
        <v>76697</v>
      </c>
    </row>
    <row r="761" spans="1:1" x14ac:dyDescent="0.25">
      <c r="A761" s="1">
        <v>76703</v>
      </c>
    </row>
    <row r="762" spans="1:1" x14ac:dyDescent="0.25">
      <c r="A762" s="1">
        <v>76796</v>
      </c>
    </row>
    <row r="763" spans="1:1" x14ac:dyDescent="0.25">
      <c r="A763" s="1">
        <v>76799</v>
      </c>
    </row>
    <row r="764" spans="1:1" x14ac:dyDescent="0.25">
      <c r="A764" s="1">
        <v>76827</v>
      </c>
    </row>
    <row r="765" spans="1:1" x14ac:dyDescent="0.25">
      <c r="A765" s="1">
        <v>76848</v>
      </c>
    </row>
    <row r="766" spans="1:1" x14ac:dyDescent="0.25">
      <c r="A766" s="1">
        <v>76939</v>
      </c>
    </row>
    <row r="767" spans="1:1" x14ac:dyDescent="0.25">
      <c r="A767" s="1">
        <v>77061</v>
      </c>
    </row>
    <row r="768" spans="1:1" x14ac:dyDescent="0.25">
      <c r="A768" s="1">
        <v>77062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ntrol">
    <tabColor theme="4" tint="-0.249977111117893"/>
  </sheetPr>
  <dimension ref="D1:J37"/>
  <sheetViews>
    <sheetView showGridLines="0" tabSelected="1" zoomScaleNormal="100" workbookViewId="0">
      <selection activeCell="M5" sqref="M5"/>
    </sheetView>
  </sheetViews>
  <sheetFormatPr defaultRowHeight="15" x14ac:dyDescent="0.25"/>
  <cols>
    <col min="4" max="4" width="17.5703125" customWidth="1"/>
    <col min="5" max="5" width="57.28515625" customWidth="1"/>
    <col min="7" max="7" width="19.28515625" bestFit="1" customWidth="1"/>
    <col min="8" max="8" width="8.7109375" customWidth="1"/>
    <col min="9" max="9" width="8.85546875" bestFit="1" customWidth="1"/>
    <col min="10" max="10" width="9" bestFit="1" customWidth="1"/>
  </cols>
  <sheetData>
    <row r="1" spans="4:10" ht="15.75" thickBot="1" x14ac:dyDescent="0.3"/>
    <row r="2" spans="4:10" ht="15.75" thickBot="1" x14ac:dyDescent="0.3">
      <c r="D2" s="69" t="s">
        <v>217</v>
      </c>
      <c r="E2" s="52"/>
      <c r="H2" s="99" t="s">
        <v>374</v>
      </c>
      <c r="I2" s="113" t="s">
        <v>171</v>
      </c>
      <c r="J2" s="114" t="s">
        <v>393</v>
      </c>
    </row>
    <row r="3" spans="4:10" ht="15.75" thickBot="1" x14ac:dyDescent="0.3">
      <c r="D3" s="63" t="s">
        <v>310</v>
      </c>
      <c r="E3" s="66" t="s">
        <v>2274</v>
      </c>
      <c r="G3" s="123" t="s">
        <v>397</v>
      </c>
      <c r="H3" s="124">
        <f>tblBOneReturns[GROSS_TOTAL_RETURN]/100</f>
        <v>1.5237324913E-2</v>
      </c>
      <c r="I3" s="125">
        <f>tblBOneReturns[BMK_TOTAL_RETURN]/100</f>
        <v>0</v>
      </c>
      <c r="J3" s="126">
        <f t="shared" ref="J3:J18" si="0">H3-I3</f>
        <v>1.5237324913E-2</v>
      </c>
    </row>
    <row r="4" spans="4:10" x14ac:dyDescent="0.25">
      <c r="D4" s="63" t="s">
        <v>245</v>
      </c>
      <c r="E4" s="67">
        <v>1</v>
      </c>
      <c r="G4" s="142" t="s">
        <v>398</v>
      </c>
      <c r="H4" s="143">
        <f>tblBOneReturns[DECOMPOSED]/100</f>
        <v>1.5237324913E-2</v>
      </c>
      <c r="I4" s="144">
        <f>tblBOneReturns[BMK_DECOMPOSED]/100</f>
        <v>0</v>
      </c>
      <c r="J4" s="145">
        <f t="shared" si="0"/>
        <v>1.5237324913E-2</v>
      </c>
    </row>
    <row r="5" spans="4:10" ht="15.75" thickBot="1" x14ac:dyDescent="0.3">
      <c r="D5" s="63" t="s">
        <v>243</v>
      </c>
      <c r="E5" s="67" t="s">
        <v>489</v>
      </c>
      <c r="G5" s="122" t="s">
        <v>399</v>
      </c>
      <c r="H5" s="136">
        <f>H3-H4</f>
        <v>0</v>
      </c>
      <c r="I5" s="137">
        <f>I3-I4</f>
        <v>0</v>
      </c>
      <c r="J5" s="138">
        <f t="shared" si="0"/>
        <v>0</v>
      </c>
    </row>
    <row r="6" spans="4:10" ht="15.75" thickBot="1" x14ac:dyDescent="0.3">
      <c r="D6" s="63" t="s">
        <v>244</v>
      </c>
      <c r="E6" s="68">
        <v>2017</v>
      </c>
      <c r="G6" s="139"/>
      <c r="H6" s="140"/>
      <c r="I6" s="140"/>
      <c r="J6" s="141"/>
    </row>
    <row r="7" spans="4:10" x14ac:dyDescent="0.25">
      <c r="D7" s="63" t="s">
        <v>1</v>
      </c>
      <c r="E7" s="65">
        <f>EOMONTH(DATE(E6,MONTH(E5&amp;"-1"+0),1),0)</f>
        <v>42978</v>
      </c>
      <c r="G7" s="146" t="s">
        <v>386</v>
      </c>
      <c r="H7" s="143">
        <f ca="1">SUM(H8:H10)</f>
        <v>1.0075399999999976E-4</v>
      </c>
      <c r="I7" s="144">
        <f ca="1">SUM(I8:I10)</f>
        <v>0</v>
      </c>
      <c r="J7" s="145">
        <f t="shared" ca="1" si="0"/>
        <v>1.0075399999999976E-4</v>
      </c>
    </row>
    <row r="8" spans="4:10" x14ac:dyDescent="0.25">
      <c r="D8" s="63" t="s">
        <v>0</v>
      </c>
      <c r="E8" s="65">
        <f>EOMONTH(rngEndDate,-rngPeriod)</f>
        <v>42947</v>
      </c>
      <c r="G8" s="100" t="s">
        <v>372</v>
      </c>
      <c r="H8" s="104">
        <f ca="1">Breakdown!I18</f>
        <v>1.0075399999999976E-4</v>
      </c>
      <c r="I8" s="116">
        <f ca="1">Breakdown!I35</f>
        <v>0</v>
      </c>
      <c r="J8" s="120">
        <f t="shared" ca="1" si="0"/>
        <v>1.0075399999999976E-4</v>
      </c>
    </row>
    <row r="9" spans="4:10" x14ac:dyDescent="0.25">
      <c r="E9" s="1"/>
      <c r="G9" s="100" t="s">
        <v>145</v>
      </c>
      <c r="H9" s="103">
        <f ca="1">Breakdown!E15</f>
        <v>0</v>
      </c>
      <c r="I9" s="116">
        <f ca="1">Breakdown!E32</f>
        <v>0</v>
      </c>
      <c r="J9" s="120">
        <f t="shared" ca="1" si="0"/>
        <v>0</v>
      </c>
    </row>
    <row r="10" spans="4:10" x14ac:dyDescent="0.25">
      <c r="D10" s="62" t="s">
        <v>211</v>
      </c>
      <c r="E10" s="56"/>
      <c r="G10" s="100" t="s">
        <v>149</v>
      </c>
      <c r="H10" s="103">
        <f ca="1">Breakdown!E16</f>
        <v>0</v>
      </c>
      <c r="I10" s="116">
        <f ca="1">Breakdown!E33</f>
        <v>0</v>
      </c>
      <c r="J10" s="120">
        <f t="shared" ca="1" si="0"/>
        <v>0</v>
      </c>
    </row>
    <row r="11" spans="4:10" x14ac:dyDescent="0.25">
      <c r="D11" s="63" t="s">
        <v>215</v>
      </c>
      <c r="E11" s="63"/>
      <c r="G11" s="101" t="s">
        <v>366</v>
      </c>
      <c r="H11" s="103">
        <f ca="1">SUM(H12:H15)</f>
        <v>1.3631283599999997E-2</v>
      </c>
      <c r="I11" s="115">
        <f ca="1">SUM(I12:I15)</f>
        <v>0</v>
      </c>
      <c r="J11" s="119">
        <f t="shared" ca="1" si="0"/>
        <v>1.3631283599999997E-2</v>
      </c>
    </row>
    <row r="12" spans="4:10" x14ac:dyDescent="0.25">
      <c r="D12" s="63" t="s">
        <v>212</v>
      </c>
      <c r="E12" s="63"/>
      <c r="G12" s="100" t="s">
        <v>182</v>
      </c>
      <c r="H12" s="104">
        <f ca="1">Breakdown!E10-Breakdown!F10</f>
        <v>0</v>
      </c>
      <c r="I12" s="117">
        <f ca="1">Breakdown!E27-Breakdown!F27</f>
        <v>0</v>
      </c>
      <c r="J12" s="120">
        <f t="shared" ca="1" si="0"/>
        <v>0</v>
      </c>
    </row>
    <row r="13" spans="4:10" x14ac:dyDescent="0.25">
      <c r="D13" s="63" t="s">
        <v>213</v>
      </c>
      <c r="E13" s="63"/>
      <c r="G13" s="100" t="s">
        <v>144</v>
      </c>
      <c r="H13" s="103">
        <f ca="1">Breakdown!E13</f>
        <v>0</v>
      </c>
      <c r="I13" s="117">
        <f ca="1">Breakdown!E30</f>
        <v>0</v>
      </c>
      <c r="J13" s="120">
        <f t="shared" ca="1" si="0"/>
        <v>0</v>
      </c>
    </row>
    <row r="14" spans="4:10" x14ac:dyDescent="0.25">
      <c r="D14" s="63" t="s">
        <v>403</v>
      </c>
      <c r="E14" s="63"/>
      <c r="G14" s="100" t="s">
        <v>390</v>
      </c>
      <c r="H14" s="103">
        <f ca="1">Breakdown!E17</f>
        <v>0</v>
      </c>
      <c r="I14" s="117">
        <f ca="1">Breakdown!E34</f>
        <v>0</v>
      </c>
      <c r="J14" s="120">
        <f t="shared" ca="1" si="0"/>
        <v>0</v>
      </c>
    </row>
    <row r="15" spans="4:10" x14ac:dyDescent="0.25">
      <c r="D15" s="63" t="s">
        <v>58</v>
      </c>
      <c r="E15" s="63"/>
      <c r="G15" s="100" t="s">
        <v>389</v>
      </c>
      <c r="H15" s="103">
        <f ca="1">Breakdown!H18</f>
        <v>1.3631283599999997E-2</v>
      </c>
      <c r="I15" s="117">
        <f ca="1">Breakdown!H35</f>
        <v>0</v>
      </c>
      <c r="J15" s="120">
        <f t="shared" ca="1" si="0"/>
        <v>1.3631283599999997E-2</v>
      </c>
    </row>
    <row r="16" spans="4:10" x14ac:dyDescent="0.25">
      <c r="D16" s="63" t="s">
        <v>214</v>
      </c>
      <c r="E16" s="63"/>
      <c r="G16" s="101" t="s">
        <v>387</v>
      </c>
      <c r="H16" s="103">
        <f ca="1">SUM(H17:H18)</f>
        <v>1.5509359999999997E-3</v>
      </c>
      <c r="I16" s="115">
        <f ca="1">SUM(I17:I18)</f>
        <v>0</v>
      </c>
      <c r="J16" s="119">
        <f t="shared" ca="1" si="0"/>
        <v>1.5509359999999997E-3</v>
      </c>
    </row>
    <row r="17" spans="4:10" x14ac:dyDescent="0.25">
      <c r="D17" s="63" t="s">
        <v>258</v>
      </c>
      <c r="E17" s="63"/>
      <c r="G17" s="100" t="s">
        <v>391</v>
      </c>
      <c r="H17" s="104">
        <f ca="1">Breakdown!G18</f>
        <v>7.0088839999999991E-4</v>
      </c>
      <c r="I17" s="117">
        <f ca="1">Breakdown!G35</f>
        <v>0</v>
      </c>
      <c r="J17" s="120">
        <f t="shared" ca="1" si="0"/>
        <v>7.0088839999999991E-4</v>
      </c>
    </row>
    <row r="18" spans="4:10" x14ac:dyDescent="0.25">
      <c r="D18" s="63" t="s">
        <v>216</v>
      </c>
      <c r="E18" s="63" t="s">
        <v>2275</v>
      </c>
      <c r="G18" s="100" t="s">
        <v>392</v>
      </c>
      <c r="H18" s="104">
        <f ca="1">Breakdown!F18</f>
        <v>8.500475999999997E-4</v>
      </c>
      <c r="I18" s="117">
        <f ca="1">Breakdown!F35</f>
        <v>0</v>
      </c>
      <c r="J18" s="120">
        <f t="shared" ca="1" si="0"/>
        <v>8.500475999999997E-4</v>
      </c>
    </row>
    <row r="19" spans="4:10" x14ac:dyDescent="0.25">
      <c r="D19" s="63" t="s">
        <v>257</v>
      </c>
      <c r="E19" s="63"/>
      <c r="G19" s="101" t="s">
        <v>475</v>
      </c>
      <c r="H19" s="103">
        <f ca="1">Breakdown!E11</f>
        <v>0</v>
      </c>
      <c r="I19" s="115">
        <f ca="1">Breakdown!E28</f>
        <v>0</v>
      </c>
      <c r="J19" s="119">
        <f t="shared" ref="J19:J27" ca="1" si="1">H19-I19</f>
        <v>0</v>
      </c>
    </row>
    <row r="20" spans="4:10" x14ac:dyDescent="0.25">
      <c r="D20" s="63" t="s">
        <v>259</v>
      </c>
      <c r="E20" s="64"/>
      <c r="G20" s="101" t="s">
        <v>394</v>
      </c>
      <c r="H20" s="103">
        <f ca="1">Breakdown!N18</f>
        <v>0</v>
      </c>
      <c r="I20" s="115">
        <f ca="1">Breakdown!N35</f>
        <v>0</v>
      </c>
      <c r="J20" s="119">
        <f t="shared" ca="1" si="1"/>
        <v>0</v>
      </c>
    </row>
    <row r="21" spans="4:10" x14ac:dyDescent="0.25">
      <c r="G21" s="101" t="s">
        <v>388</v>
      </c>
      <c r="H21" s="103">
        <f ca="1">Breakdown!E12</f>
        <v>2.5389E-6</v>
      </c>
      <c r="I21" s="115">
        <f ca="1">Breakdown!E29</f>
        <v>0</v>
      </c>
      <c r="J21" s="119">
        <f t="shared" ca="1" si="1"/>
        <v>2.5389E-6</v>
      </c>
    </row>
    <row r="22" spans="4:10" x14ac:dyDescent="0.25">
      <c r="D22" s="62" t="s">
        <v>292</v>
      </c>
      <c r="E22" s="62" t="s">
        <v>306</v>
      </c>
      <c r="G22" s="101" t="s">
        <v>431</v>
      </c>
      <c r="H22" s="103">
        <f ca="1">Breakdown!J14</f>
        <v>0</v>
      </c>
      <c r="I22" s="115">
        <f ca="1">Breakdown!J35</f>
        <v>0</v>
      </c>
      <c r="J22" s="119">
        <f t="shared" ca="1" si="1"/>
        <v>0</v>
      </c>
    </row>
    <row r="23" spans="4:10" x14ac:dyDescent="0.25">
      <c r="D23" s="70" t="s">
        <v>300</v>
      </c>
      <c r="E23" s="71">
        <f>IF(ROUND(rngPTFExportWeight,5)=1,0,1)</f>
        <v>0</v>
      </c>
      <c r="G23" s="101" t="s">
        <v>395</v>
      </c>
      <c r="H23" s="103">
        <f ca="1">SUM(H24:H27)</f>
        <v>-4.8185899999999901E-5</v>
      </c>
      <c r="I23" s="115">
        <f ca="1">SUM(I24:I27)</f>
        <v>0</v>
      </c>
      <c r="J23" s="119">
        <f t="shared" ca="1" si="1"/>
        <v>-4.8185899999999901E-5</v>
      </c>
    </row>
    <row r="24" spans="4:10" x14ac:dyDescent="0.25">
      <c r="D24" s="70" t="s">
        <v>301</v>
      </c>
      <c r="E24" s="71">
        <f>IF(OR(StaticChecks!C3=0,ROUND(rngBMKExportWeight,5)=1),0,1)</f>
        <v>0</v>
      </c>
      <c r="G24" s="100" t="s">
        <v>396</v>
      </c>
      <c r="H24" s="104">
        <f ca="1">Breakdown!M18</f>
        <v>-4.8918899999999902E-5</v>
      </c>
      <c r="I24" s="117">
        <f ca="1">Breakdown!M35</f>
        <v>0</v>
      </c>
      <c r="J24" s="120">
        <f t="shared" ca="1" si="1"/>
        <v>-4.8918899999999902E-5</v>
      </c>
    </row>
    <row r="25" spans="4:10" x14ac:dyDescent="0.25">
      <c r="D25" s="70" t="s">
        <v>302</v>
      </c>
      <c r="E25" s="71">
        <f>IF(ROUND(rngDTSCheck,7)=1,0,1)</f>
        <v>0</v>
      </c>
      <c r="G25" s="100" t="s">
        <v>379</v>
      </c>
      <c r="H25" s="104">
        <f ca="1">Breakdown!K18</f>
        <v>7.3300000000000001E-7</v>
      </c>
      <c r="I25" s="117"/>
      <c r="J25" s="120">
        <f t="shared" ca="1" si="1"/>
        <v>7.3300000000000001E-7</v>
      </c>
    </row>
    <row r="26" spans="4:10" x14ac:dyDescent="0.25">
      <c r="D26" s="70" t="s">
        <v>303</v>
      </c>
      <c r="E26" s="71">
        <f>IF(ABS(tblBOneReturns[TOTAL_LESS_DECOMPOSED])&lt;rngB1Return_ptf_tol,0,1)</f>
        <v>0</v>
      </c>
      <c r="G26" s="100" t="s">
        <v>380</v>
      </c>
      <c r="H26" s="104">
        <f ca="1">Breakdown!L18</f>
        <v>0</v>
      </c>
      <c r="I26" s="117"/>
      <c r="J26" s="120">
        <f t="shared" ca="1" si="1"/>
        <v>0</v>
      </c>
    </row>
    <row r="27" spans="4:10" ht="15.75" thickBot="1" x14ac:dyDescent="0.3">
      <c r="D27" s="70" t="s">
        <v>304</v>
      </c>
      <c r="E27" s="71">
        <f>IF(ABS(tblBOneReturns[BMK_TOTAL_LESS_DECOMPOSED])&lt;rngB1Return_bmk_tol,0,1)</f>
        <v>0</v>
      </c>
      <c r="G27" s="102" t="s">
        <v>411</v>
      </c>
      <c r="H27" s="105">
        <f>H5</f>
        <v>0</v>
      </c>
      <c r="I27" s="118">
        <f>I5</f>
        <v>0</v>
      </c>
      <c r="J27" s="121">
        <f t="shared" si="1"/>
        <v>0</v>
      </c>
    </row>
    <row r="28" spans="4:10" x14ac:dyDescent="0.25">
      <c r="D28" s="70" t="s">
        <v>305</v>
      </c>
      <c r="E28" s="71">
        <f>IF(SUM(StaticChecks!D2:D12)+SUM(tblFundChecks1[Pass (0) / Fail (1)])&lt;&gt;0,1,0)</f>
        <v>1</v>
      </c>
    </row>
    <row r="29" spans="4:10" x14ac:dyDescent="0.25">
      <c r="G29" s="135" t="s">
        <v>202</v>
      </c>
      <c r="H29" s="109">
        <f ca="1">H7+H11+H16+H20+H21+H22+H23+H19-H3</f>
        <v>1.6869999962948468E-9</v>
      </c>
      <c r="I29" s="109">
        <f ca="1">I7+I11+I16+I20+I21+I22+I23+I19-I3</f>
        <v>0</v>
      </c>
      <c r="J29" s="109">
        <f ca="1">J7+J11+J16+J20+J21+J22+J23+J19-J3</f>
        <v>1.6869999962948468E-9</v>
      </c>
    </row>
    <row r="30" spans="4:10" ht="15.75" thickBot="1" x14ac:dyDescent="0.3">
      <c r="D30" s="62" t="s">
        <v>312</v>
      </c>
      <c r="E30" s="75" t="s">
        <v>364</v>
      </c>
    </row>
    <row r="31" spans="4:10" ht="15.75" thickBot="1" x14ac:dyDescent="0.3">
      <c r="D31" s="73" t="s">
        <v>409</v>
      </c>
      <c r="E31" s="74"/>
      <c r="G31" s="123" t="s">
        <v>402</v>
      </c>
      <c r="H31" s="131">
        <f>SUM(tblCalculation[PtfDTS])</f>
        <v>8.2459073135254481</v>
      </c>
      <c r="I31" s="132">
        <f>SUM(tblCalculation[BMKDTS])</f>
        <v>8.413947287528563</v>
      </c>
      <c r="J31" s="133">
        <f>IFERROR(H31/I31,"")</f>
        <v>0.98002840185935214</v>
      </c>
    </row>
    <row r="37" spans="4:4" x14ac:dyDescent="0.25">
      <c r="D37" t="s">
        <v>447</v>
      </c>
    </row>
  </sheetData>
  <dataConsolidate/>
  <conditionalFormatting sqref="E23:E24">
    <cfRule type="cellIs" priority="35" operator="equal">
      <formula>0</formula>
    </cfRule>
    <cfRule type="cellIs" dxfId="214" priority="36" operator="notEqual">
      <formula>0</formula>
    </cfRule>
  </conditionalFormatting>
  <conditionalFormatting sqref="E28">
    <cfRule type="cellIs" priority="17" operator="equal">
      <formula>0</formula>
    </cfRule>
    <cfRule type="cellIs" dxfId="213" priority="18" operator="notEqual">
      <formula>0</formula>
    </cfRule>
  </conditionalFormatting>
  <conditionalFormatting sqref="E25">
    <cfRule type="cellIs" priority="23" operator="equal">
      <formula>0</formula>
    </cfRule>
    <cfRule type="cellIs" dxfId="212" priority="24" operator="notEqual">
      <formula>0</formula>
    </cfRule>
  </conditionalFormatting>
  <conditionalFormatting sqref="E26">
    <cfRule type="cellIs" priority="21" operator="equal">
      <formula>0</formula>
    </cfRule>
    <cfRule type="cellIs" dxfId="211" priority="22" operator="notEqual">
      <formula>0</formula>
    </cfRule>
  </conditionalFormatting>
  <conditionalFormatting sqref="E27">
    <cfRule type="cellIs" priority="19" operator="equal">
      <formula>0</formula>
    </cfRule>
    <cfRule type="cellIs" dxfId="210" priority="20" operator="notEqual">
      <formula>0</formula>
    </cfRule>
  </conditionalFormatting>
  <conditionalFormatting sqref="D31">
    <cfRule type="containsText" dxfId="209" priority="14" operator="containsText" text="UAT">
      <formula>NOT(ISERROR(SEARCH("UAT",D31)))</formula>
    </cfRule>
    <cfRule type="containsText" dxfId="208" priority="15" operator="containsText" text="LIVE">
      <formula>NOT(ISERROR(SEARCH("LIVE",D31)))</formula>
    </cfRule>
    <cfRule type="containsText" dxfId="207" priority="16" operator="containsText" text="DEV">
      <formula>NOT(ISERROR(SEARCH("DEV",D31)))</formula>
    </cfRule>
  </conditionalFormatting>
  <conditionalFormatting sqref="H6:H18 H20:H27">
    <cfRule type="cellIs" dxfId="206" priority="10" operator="equal">
      <formula>0%</formula>
    </cfRule>
  </conditionalFormatting>
  <conditionalFormatting sqref="J6:J18 J20:J27">
    <cfRule type="cellIs" dxfId="205" priority="13" operator="equal">
      <formula>0%</formula>
    </cfRule>
  </conditionalFormatting>
  <conditionalFormatting sqref="I6:I18 I20:I27">
    <cfRule type="cellIs" dxfId="204" priority="12" operator="equal">
      <formula>0%</formula>
    </cfRule>
  </conditionalFormatting>
  <conditionalFormatting sqref="H3:H5">
    <cfRule type="cellIs" dxfId="203" priority="7" operator="equal">
      <formula>0%</formula>
    </cfRule>
  </conditionalFormatting>
  <conditionalFormatting sqref="J3:J5">
    <cfRule type="cellIs" dxfId="202" priority="9" operator="equal">
      <formula>0%</formula>
    </cfRule>
  </conditionalFormatting>
  <conditionalFormatting sqref="I3:I5">
    <cfRule type="cellIs" dxfId="201" priority="8" operator="equal">
      <formula>0%</formula>
    </cfRule>
  </conditionalFormatting>
  <conditionalFormatting sqref="H31">
    <cfRule type="cellIs" dxfId="200" priority="4" operator="equal">
      <formula>0%</formula>
    </cfRule>
  </conditionalFormatting>
  <conditionalFormatting sqref="J31">
    <cfRule type="cellIs" dxfId="199" priority="6" operator="equal">
      <formula>0%</formula>
    </cfRule>
  </conditionalFormatting>
  <conditionalFormatting sqref="I31">
    <cfRule type="cellIs" dxfId="198" priority="5" operator="equal">
      <formula>0%</formula>
    </cfRule>
  </conditionalFormatting>
  <conditionalFormatting sqref="H19">
    <cfRule type="cellIs" dxfId="197" priority="1" operator="equal">
      <formula>0%</formula>
    </cfRule>
  </conditionalFormatting>
  <conditionalFormatting sqref="J19">
    <cfRule type="cellIs" dxfId="196" priority="3" operator="equal">
      <formula>0%</formula>
    </cfRule>
  </conditionalFormatting>
  <conditionalFormatting sqref="I19">
    <cfRule type="cellIs" dxfId="195" priority="2" operator="equal">
      <formula>0%</formula>
    </cfRule>
  </conditionalFormatting>
  <dataValidations count="7">
    <dataValidation type="date" operator="greaterThan" allowBlank="1" showInputMessage="1" showErrorMessage="1" sqref="E7:E8">
      <formula1>1</formula1>
    </dataValidation>
    <dataValidation type="list" allowBlank="1" showInputMessage="1" showErrorMessage="1" sqref="E4">
      <formula1>"1,2,3,4,5,6,7,8,9,10,11,12"</formula1>
    </dataValidation>
    <dataValidation type="list" allowBlank="1" showInputMessage="1" showErrorMessage="1" sqref="E5">
      <formula1>"Jan,Feb,Mar,Apr,May,Jun,Jul,Aug,Sep,Oct,Nov,Dec"</formula1>
    </dataValidation>
    <dataValidation type="list" allowBlank="1" showInputMessage="1" showErrorMessage="1" sqref="E6">
      <formula1>"2017,2016,2015,2014,2013"</formula1>
    </dataValidation>
    <dataValidation type="list" allowBlank="1" showInputMessage="1" sqref="E3">
      <formula1>FundList</formula1>
    </dataValidation>
    <dataValidation allowBlank="1" showInputMessage="1" sqref="E19:E20"/>
    <dataValidation type="list" allowBlank="1" showInputMessage="1" showErrorMessage="1" sqref="D31">
      <formula1>"DEV,UAT,LIVE"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reakdown">
    <tabColor theme="9"/>
  </sheetPr>
  <dimension ref="A1:P36"/>
  <sheetViews>
    <sheetView showGridLines="0" zoomScale="85" zoomScaleNormal="85" workbookViewId="0"/>
  </sheetViews>
  <sheetFormatPr defaultRowHeight="15" x14ac:dyDescent="0.25"/>
  <cols>
    <col min="1" max="1" width="13.42578125" bestFit="1" customWidth="1"/>
    <col min="2" max="2" width="20.7109375" bestFit="1" customWidth="1"/>
    <col min="3" max="3" width="11.85546875" bestFit="1" customWidth="1"/>
    <col min="4" max="4" width="15.28515625" bestFit="1" customWidth="1"/>
    <col min="5" max="5" width="10" customWidth="1"/>
    <col min="6" max="6" width="17" customWidth="1"/>
    <col min="7" max="7" width="10.7109375" customWidth="1"/>
    <col min="10" max="10" width="14.85546875" customWidth="1"/>
    <col min="11" max="11" width="10.140625" bestFit="1" customWidth="1"/>
    <col min="12" max="12" width="9.85546875" customWidth="1"/>
    <col min="13" max="13" width="10" customWidth="1"/>
    <col min="15" max="15" width="12.140625" customWidth="1"/>
    <col min="16" max="16" width="10.140625" bestFit="1" customWidth="1"/>
  </cols>
  <sheetData>
    <row r="1" spans="1:16" x14ac:dyDescent="0.25">
      <c r="A1" s="89" t="s">
        <v>370</v>
      </c>
    </row>
    <row r="2" spans="1:16" x14ac:dyDescent="0.25">
      <c r="A2" s="89" t="s">
        <v>371</v>
      </c>
    </row>
    <row r="3" spans="1:16" ht="15.75" thickBot="1" x14ac:dyDescent="0.3">
      <c r="A3" s="90"/>
    </row>
    <row r="4" spans="1:16" ht="30.75" thickBot="1" x14ac:dyDescent="0.3">
      <c r="B4" s="91" t="s">
        <v>374</v>
      </c>
      <c r="C4" s="93" t="s">
        <v>316</v>
      </c>
      <c r="D4" s="92" t="s">
        <v>375</v>
      </c>
      <c r="E4" s="92" t="s">
        <v>384</v>
      </c>
      <c r="F4" s="92" t="s">
        <v>376</v>
      </c>
      <c r="G4" s="92" t="s">
        <v>377</v>
      </c>
      <c r="H4" s="92" t="s">
        <v>366</v>
      </c>
      <c r="I4" s="92" t="s">
        <v>378</v>
      </c>
      <c r="J4" s="92" t="s">
        <v>430</v>
      </c>
      <c r="K4" s="92" t="s">
        <v>379</v>
      </c>
      <c r="L4" s="92" t="s">
        <v>380</v>
      </c>
      <c r="M4" s="92" t="s">
        <v>381</v>
      </c>
      <c r="N4" s="92" t="s">
        <v>382</v>
      </c>
      <c r="O4" s="92" t="s">
        <v>383</v>
      </c>
      <c r="P4" s="93" t="s">
        <v>292</v>
      </c>
    </row>
    <row r="5" spans="1:16" ht="15.75" hidden="1" thickBot="1" x14ac:dyDescent="0.3">
      <c r="D5" t="str">
        <f t="shared" ref="D5:O5" si="0">$B$4&amp;D4</f>
        <v>PtfWeight</v>
      </c>
      <c r="E5" t="str">
        <f t="shared" si="0"/>
        <v>PtfContributionLocal</v>
      </c>
      <c r="F5" t="str">
        <f t="shared" si="0"/>
        <v>PtfNonCreditCarry</v>
      </c>
      <c r="G5" t="str">
        <f t="shared" si="0"/>
        <v>PtfCreditCarry</v>
      </c>
      <c r="H5" t="str">
        <f t="shared" si="0"/>
        <v>PtfCurve</v>
      </c>
      <c r="I5" t="str">
        <f t="shared" si="0"/>
        <v>PtfSpread</v>
      </c>
      <c r="J5" t="str">
        <f t="shared" ref="J5" si="1">$B$4&amp;J4</f>
        <v>PtfCostofHedging</v>
      </c>
      <c r="K5" t="str">
        <f t="shared" si="0"/>
        <v>PtfTrading</v>
      </c>
      <c r="L5" t="str">
        <f t="shared" si="0"/>
        <v>PtfValuation</v>
      </c>
      <c r="M5" t="str">
        <f t="shared" si="0"/>
        <v>PtfModelRes</v>
      </c>
      <c r="N5" t="str">
        <f t="shared" si="0"/>
        <v>PtfCurrencyReturn</v>
      </c>
      <c r="O5" t="str">
        <f t="shared" si="0"/>
        <v>PtfContributionBase</v>
      </c>
      <c r="P5" t="s">
        <v>292</v>
      </c>
    </row>
    <row r="6" spans="1:16" ht="15.75" hidden="1" thickBot="1" x14ac:dyDescent="0.3">
      <c r="A6" t="s">
        <v>373</v>
      </c>
      <c r="D6" t="str">
        <f t="shared" ref="D6:O6" si="2">"["&amp;D5&amp;"]"</f>
        <v>[PtfWeight]</v>
      </c>
      <c r="E6" t="str">
        <f t="shared" si="2"/>
        <v>[PtfContributionLocal]</v>
      </c>
      <c r="F6" t="str">
        <f t="shared" si="2"/>
        <v>[PtfNonCreditCarry]</v>
      </c>
      <c r="G6" t="str">
        <f t="shared" si="2"/>
        <v>[PtfCreditCarry]</v>
      </c>
      <c r="H6" t="str">
        <f t="shared" si="2"/>
        <v>[PtfCurve]</v>
      </c>
      <c r="I6" t="str">
        <f t="shared" si="2"/>
        <v>[PtfSpread]</v>
      </c>
      <c r="J6" t="str">
        <f t="shared" ref="J6" si="3">"["&amp;J5&amp;"]"</f>
        <v>[PtfCostofHedging]</v>
      </c>
      <c r="K6" t="str">
        <f t="shared" si="2"/>
        <v>[PtfTrading]</v>
      </c>
      <c r="L6" t="str">
        <f t="shared" si="2"/>
        <v>[PtfValuation]</v>
      </c>
      <c r="M6" t="str">
        <f t="shared" si="2"/>
        <v>[PtfModelRes]</v>
      </c>
      <c r="N6" t="str">
        <f t="shared" si="2"/>
        <v>[PtfCurrencyReturn]</v>
      </c>
      <c r="O6" t="str">
        <f t="shared" si="2"/>
        <v>[PtfContributionBase]</v>
      </c>
    </row>
    <row r="7" spans="1:16" x14ac:dyDescent="0.25">
      <c r="B7" s="79" t="s">
        <v>318</v>
      </c>
      <c r="C7" s="85">
        <f>VLOOKUP(B7,tblAttributable[],2,0)</f>
        <v>1</v>
      </c>
      <c r="D7" s="80">
        <f t="shared" ref="D7:O9" ca="1" si="4">SUMIF(INDIRECT($A$1&amp;$A$2),$B7,INDIRECT($A$1&amp;D$6))</f>
        <v>0.96800855479999981</v>
      </c>
      <c r="E7" s="80">
        <f t="shared" ca="1" si="4"/>
        <v>1.5169895199999995E-2</v>
      </c>
      <c r="F7" s="80">
        <f t="shared" ca="1" si="4"/>
        <v>8.4707139999999972E-4</v>
      </c>
      <c r="G7" s="80">
        <f t="shared" ca="1" si="4"/>
        <v>6.993399999999999E-4</v>
      </c>
      <c r="H7" s="80">
        <f t="shared" ca="1" si="4"/>
        <v>1.3567350199999996E-2</v>
      </c>
      <c r="I7" s="80">
        <f t="shared" ca="1" si="4"/>
        <v>1.1065089999999976E-4</v>
      </c>
      <c r="J7" s="148"/>
      <c r="K7" s="80">
        <f t="shared" ca="1" si="4"/>
        <v>7.3300000000000001E-7</v>
      </c>
      <c r="L7" s="80">
        <f t="shared" ca="1" si="4"/>
        <v>0</v>
      </c>
      <c r="M7" s="80">
        <f t="shared" ca="1" si="4"/>
        <v>-5.5247599999999901E-5</v>
      </c>
      <c r="N7" s="80">
        <f t="shared" ca="1" si="4"/>
        <v>0</v>
      </c>
      <c r="O7" s="80">
        <f t="shared" ca="1" si="4"/>
        <v>1.5169895199999995E-2</v>
      </c>
      <c r="P7" s="106">
        <f t="shared" ref="P7:P13" ca="1" si="5">IF(OR(C7=1,B7="Forward Contracts"),ROUND(O7-SUM(F7:N7),4),0)</f>
        <v>0</v>
      </c>
    </row>
    <row r="8" spans="1:16" x14ac:dyDescent="0.25">
      <c r="B8" s="81" t="s">
        <v>324</v>
      </c>
      <c r="C8" s="86">
        <f>VLOOKUP(B8,tblAttributable[],2,0)</f>
        <v>1</v>
      </c>
      <c r="D8" s="82">
        <f t="shared" ca="1" si="4"/>
        <v>2.0197856999999999E-3</v>
      </c>
      <c r="E8" s="82">
        <f t="shared" ca="1" si="4"/>
        <v>6.4889799999999997E-5</v>
      </c>
      <c r="F8" s="82">
        <f t="shared" ca="1" si="4"/>
        <v>2.9762E-6</v>
      </c>
      <c r="G8" s="82">
        <f t="shared" ca="1" si="4"/>
        <v>1.5484000000000001E-6</v>
      </c>
      <c r="H8" s="82">
        <f t="shared" ca="1" si="4"/>
        <v>6.39334E-5</v>
      </c>
      <c r="I8" s="82">
        <f t="shared" ca="1" si="4"/>
        <v>-9.8969000000000001E-6</v>
      </c>
      <c r="J8" s="149"/>
      <c r="K8" s="82">
        <f t="shared" ca="1" si="4"/>
        <v>0</v>
      </c>
      <c r="L8" s="82">
        <f t="shared" ca="1" si="4"/>
        <v>0</v>
      </c>
      <c r="M8" s="82">
        <f t="shared" ca="1" si="4"/>
        <v>6.3287000000000001E-6</v>
      </c>
      <c r="N8" s="82">
        <f t="shared" ca="1" si="4"/>
        <v>0</v>
      </c>
      <c r="O8" s="82">
        <f t="shared" ca="1" si="4"/>
        <v>6.4889799999999997E-5</v>
      </c>
      <c r="P8" s="107">
        <f t="shared" ca="1" si="5"/>
        <v>0</v>
      </c>
    </row>
    <row r="9" spans="1:16" x14ac:dyDescent="0.25">
      <c r="B9" s="81" t="s">
        <v>336</v>
      </c>
      <c r="C9" s="86">
        <f>VLOOKUP(B9,tblAttributable[],2,0)</f>
        <v>1</v>
      </c>
      <c r="D9" s="82">
        <f t="shared" ca="1" si="4"/>
        <v>0</v>
      </c>
      <c r="E9" s="82">
        <f t="shared" ca="1" si="4"/>
        <v>0</v>
      </c>
      <c r="F9" s="82">
        <f t="shared" ca="1" si="4"/>
        <v>0</v>
      </c>
      <c r="G9" s="82">
        <f t="shared" ca="1" si="4"/>
        <v>0</v>
      </c>
      <c r="H9" s="82">
        <f t="shared" ca="1" si="4"/>
        <v>0</v>
      </c>
      <c r="I9" s="82">
        <f t="shared" ca="1" si="4"/>
        <v>0</v>
      </c>
      <c r="J9" s="149"/>
      <c r="K9" s="82">
        <f t="shared" ca="1" si="4"/>
        <v>0</v>
      </c>
      <c r="L9" s="82">
        <f t="shared" ca="1" si="4"/>
        <v>0</v>
      </c>
      <c r="M9" s="82">
        <f t="shared" ca="1" si="4"/>
        <v>0</v>
      </c>
      <c r="N9" s="82">
        <f t="shared" ca="1" si="4"/>
        <v>0</v>
      </c>
      <c r="O9" s="82">
        <f t="shared" ca="1" si="4"/>
        <v>0</v>
      </c>
      <c r="P9" s="107">
        <f t="shared" ca="1" si="5"/>
        <v>0</v>
      </c>
    </row>
    <row r="10" spans="1:16" x14ac:dyDescent="0.25">
      <c r="B10" s="81" t="s">
        <v>181</v>
      </c>
      <c r="C10" s="86">
        <f>VLOOKUP(B10,tblAttributable[],2,0)</f>
        <v>0</v>
      </c>
      <c r="D10" s="82">
        <f t="shared" ref="D10:F11" ca="1" si="6">SUMIF(INDIRECT($A$1&amp;$A$2),$B10,INDIRECT($A$1&amp;D$6))</f>
        <v>0</v>
      </c>
      <c r="E10" s="82">
        <f t="shared" ca="1" si="6"/>
        <v>0</v>
      </c>
      <c r="F10" s="82">
        <f t="shared" ca="1" si="6"/>
        <v>0</v>
      </c>
      <c r="G10" s="149"/>
      <c r="H10" s="149"/>
      <c r="I10" s="149"/>
      <c r="J10" s="149"/>
      <c r="K10" s="149"/>
      <c r="L10" s="149"/>
      <c r="M10" s="149"/>
      <c r="N10" s="82">
        <f t="shared" ref="N10:O17" ca="1" si="7">SUMIF(INDIRECT($A$1&amp;$A$2),$B10,INDIRECT($A$1&amp;N$6))</f>
        <v>0</v>
      </c>
      <c r="O10" s="82">
        <f t="shared" ca="1" si="7"/>
        <v>0</v>
      </c>
      <c r="P10" s="107">
        <f t="shared" si="5"/>
        <v>0</v>
      </c>
    </row>
    <row r="11" spans="1:16" x14ac:dyDescent="0.25">
      <c r="B11" s="81" t="s">
        <v>475</v>
      </c>
      <c r="C11" s="86">
        <f>VLOOKUP(B11,tblAttributable[],2,0)</f>
        <v>0</v>
      </c>
      <c r="D11" s="82">
        <f t="shared" ca="1" si="6"/>
        <v>0</v>
      </c>
      <c r="E11" s="82">
        <f t="shared" ca="1" si="6"/>
        <v>0</v>
      </c>
      <c r="F11" s="82">
        <f t="shared" ca="1" si="6"/>
        <v>0</v>
      </c>
      <c r="G11" s="149"/>
      <c r="H11" s="149"/>
      <c r="I11" s="149"/>
      <c r="J11" s="149"/>
      <c r="K11" s="149"/>
      <c r="L11" s="149"/>
      <c r="M11" s="149"/>
      <c r="N11" s="82">
        <f t="shared" ca="1" si="7"/>
        <v>0</v>
      </c>
      <c r="O11" s="82">
        <f t="shared" ca="1" si="7"/>
        <v>0</v>
      </c>
      <c r="P11" s="107">
        <f t="shared" si="5"/>
        <v>0</v>
      </c>
    </row>
    <row r="12" spans="1:16" x14ac:dyDescent="0.25">
      <c r="B12" s="81" t="s">
        <v>329</v>
      </c>
      <c r="C12" s="86">
        <f>VLOOKUP(B12,tblAttributable[],2,0)</f>
        <v>0</v>
      </c>
      <c r="D12" s="82">
        <f t="shared" ref="D12:E17" ca="1" si="8">SUMIF(INDIRECT($A$1&amp;$A$2),$B12,INDIRECT($A$1&amp;D$6))</f>
        <v>2.9971659599999999E-2</v>
      </c>
      <c r="E12" s="82">
        <f t="shared" ca="1" si="8"/>
        <v>2.5389E-6</v>
      </c>
      <c r="F12" s="149"/>
      <c r="G12" s="149"/>
      <c r="H12" s="149"/>
      <c r="I12" s="149"/>
      <c r="J12" s="149"/>
      <c r="K12" s="149"/>
      <c r="L12" s="149"/>
      <c r="M12" s="149"/>
      <c r="N12" s="82">
        <f t="shared" ca="1" si="7"/>
        <v>0</v>
      </c>
      <c r="O12" s="82">
        <f t="shared" ca="1" si="7"/>
        <v>2.5389E-6</v>
      </c>
      <c r="P12" s="107">
        <f t="shared" si="5"/>
        <v>0</v>
      </c>
    </row>
    <row r="13" spans="1:16" x14ac:dyDescent="0.25">
      <c r="B13" s="81" t="s">
        <v>144</v>
      </c>
      <c r="C13" s="86">
        <f>VLOOKUP(B13,tblAttributable[],2,0)</f>
        <v>0</v>
      </c>
      <c r="D13" s="82">
        <f t="shared" ca="1" si="8"/>
        <v>0</v>
      </c>
      <c r="E13" s="82">
        <f t="shared" ca="1" si="8"/>
        <v>0</v>
      </c>
      <c r="F13" s="149"/>
      <c r="G13" s="149"/>
      <c r="H13" s="149"/>
      <c r="I13" s="149"/>
      <c r="J13" s="149"/>
      <c r="K13" s="149"/>
      <c r="L13" s="149"/>
      <c r="M13" s="149"/>
      <c r="N13" s="82">
        <f t="shared" ca="1" si="7"/>
        <v>0</v>
      </c>
      <c r="O13" s="82">
        <f t="shared" ca="1" si="7"/>
        <v>0</v>
      </c>
      <c r="P13" s="107">
        <f t="shared" si="5"/>
        <v>0</v>
      </c>
    </row>
    <row r="14" spans="1:16" x14ac:dyDescent="0.25">
      <c r="B14" s="81" t="s">
        <v>332</v>
      </c>
      <c r="C14" s="86">
        <f>VLOOKUP(B14,tblAttributable[],2,0)</f>
        <v>0</v>
      </c>
      <c r="D14" s="82">
        <f t="shared" ca="1" si="8"/>
        <v>0</v>
      </c>
      <c r="E14" s="82">
        <f t="shared" ca="1" si="8"/>
        <v>0</v>
      </c>
      <c r="F14" s="149"/>
      <c r="G14" s="149"/>
      <c r="H14" s="149"/>
      <c r="I14" s="149"/>
      <c r="J14" s="82">
        <f ca="1">SUMIF(INDIRECT($A$1&amp;$A$2),$B14,INDIRECT($A$1&amp;J$6))</f>
        <v>0</v>
      </c>
      <c r="K14" s="149"/>
      <c r="L14" s="82">
        <f ca="1">SUMIF(INDIRECT($A$1&amp;$A$2),$B14,INDIRECT($A$1&amp;L$6))</f>
        <v>0</v>
      </c>
      <c r="M14" s="149"/>
      <c r="N14" s="82">
        <f t="shared" ca="1" si="7"/>
        <v>0</v>
      </c>
      <c r="O14" s="82">
        <f t="shared" ca="1" si="7"/>
        <v>0</v>
      </c>
      <c r="P14" s="107">
        <f ca="1">IF(OR(C14=1,B14="Forward Contracts"),ROUND(O14-SUM(F14:N14),4),0)</f>
        <v>0</v>
      </c>
    </row>
    <row r="15" spans="1:16" x14ac:dyDescent="0.25">
      <c r="B15" s="81" t="s">
        <v>147</v>
      </c>
      <c r="C15" s="86">
        <f>VLOOKUP(B15,tblAttributable[],2,0)</f>
        <v>0</v>
      </c>
      <c r="D15" s="82">
        <f t="shared" ca="1" si="8"/>
        <v>0</v>
      </c>
      <c r="E15" s="82">
        <f t="shared" ca="1" si="8"/>
        <v>0</v>
      </c>
      <c r="F15" s="149"/>
      <c r="G15" s="149"/>
      <c r="H15" s="149"/>
      <c r="I15" s="149"/>
      <c r="J15" s="149"/>
      <c r="K15" s="149"/>
      <c r="L15" s="149"/>
      <c r="M15" s="149"/>
      <c r="N15" s="82">
        <f t="shared" ca="1" si="7"/>
        <v>0</v>
      </c>
      <c r="O15" s="82">
        <f t="shared" ca="1" si="7"/>
        <v>0</v>
      </c>
      <c r="P15" s="107">
        <f t="shared" ref="P15:P17" si="9">IF(OR(C15=1,B15="Forward Contracts"),ROUND(O15-SUM(F15:N15),4),0)</f>
        <v>0</v>
      </c>
    </row>
    <row r="16" spans="1:16" x14ac:dyDescent="0.25">
      <c r="B16" s="81" t="s">
        <v>146</v>
      </c>
      <c r="C16" s="86">
        <f>VLOOKUP(B16,tblAttributable[],2,0)</f>
        <v>0</v>
      </c>
      <c r="D16" s="82">
        <f t="shared" ca="1" si="8"/>
        <v>0</v>
      </c>
      <c r="E16" s="82">
        <f t="shared" ca="1" si="8"/>
        <v>0</v>
      </c>
      <c r="F16" s="149"/>
      <c r="G16" s="149"/>
      <c r="H16" s="149"/>
      <c r="I16" s="149"/>
      <c r="J16" s="149"/>
      <c r="K16" s="149"/>
      <c r="L16" s="149"/>
      <c r="M16" s="149"/>
      <c r="N16" s="82">
        <f t="shared" ca="1" si="7"/>
        <v>0</v>
      </c>
      <c r="O16" s="82">
        <f t="shared" ca="1" si="7"/>
        <v>0</v>
      </c>
      <c r="P16" s="107">
        <f t="shared" si="9"/>
        <v>0</v>
      </c>
    </row>
    <row r="17" spans="1:16" ht="15.75" thickBot="1" x14ac:dyDescent="0.3">
      <c r="B17" s="83" t="s">
        <v>338</v>
      </c>
      <c r="C17" s="87">
        <f>VLOOKUP(B17,tblAttributable[],2,0)</f>
        <v>0</v>
      </c>
      <c r="D17" s="84">
        <f t="shared" ca="1" si="8"/>
        <v>0</v>
      </c>
      <c r="E17" s="84">
        <f t="shared" ca="1" si="8"/>
        <v>0</v>
      </c>
      <c r="F17" s="150"/>
      <c r="G17" s="150"/>
      <c r="H17" s="150"/>
      <c r="I17" s="150"/>
      <c r="J17" s="150"/>
      <c r="K17" s="150"/>
      <c r="L17" s="150"/>
      <c r="M17" s="150"/>
      <c r="N17" s="84">
        <f t="shared" ca="1" si="7"/>
        <v>0</v>
      </c>
      <c r="O17" s="84">
        <f t="shared" ca="1" si="7"/>
        <v>0</v>
      </c>
      <c r="P17" s="108">
        <f t="shared" si="9"/>
        <v>0</v>
      </c>
    </row>
    <row r="18" spans="1:16" x14ac:dyDescent="0.25">
      <c r="C18" t="s">
        <v>385</v>
      </c>
      <c r="D18" s="48">
        <f t="shared" ref="D18:I18" ca="1" si="10">SUM(D7:D17)</f>
        <v>1.0000000000999998</v>
      </c>
      <c r="E18" s="48">
        <f t="shared" ca="1" si="10"/>
        <v>1.5237323899999995E-2</v>
      </c>
      <c r="F18" s="48">
        <f t="shared" ca="1" si="10"/>
        <v>8.500475999999997E-4</v>
      </c>
      <c r="G18" s="48">
        <f t="shared" ca="1" si="10"/>
        <v>7.0088839999999991E-4</v>
      </c>
      <c r="H18" s="48">
        <f t="shared" ca="1" si="10"/>
        <v>1.3631283599999997E-2</v>
      </c>
      <c r="I18" s="48">
        <f t="shared" ca="1" si="10"/>
        <v>1.0075399999999976E-4</v>
      </c>
      <c r="J18" s="48"/>
      <c r="K18" s="48">
        <f ca="1">SUM(K7:K17)</f>
        <v>7.3300000000000001E-7</v>
      </c>
      <c r="L18" s="48">
        <f ca="1">SUM(L7:L17)</f>
        <v>0</v>
      </c>
      <c r="M18" s="48">
        <f ca="1">SUM(M7:M17)</f>
        <v>-4.8918899999999902E-5</v>
      </c>
      <c r="N18" s="48">
        <f ca="1">SUM(N7:N17)</f>
        <v>0</v>
      </c>
      <c r="O18" s="48">
        <f ca="1">SUM(O7:O17)</f>
        <v>1.5237323899999995E-2</v>
      </c>
      <c r="P18" s="48"/>
    </row>
    <row r="19" spans="1:16" x14ac:dyDescent="0.25">
      <c r="C19" s="97" t="s">
        <v>202</v>
      </c>
      <c r="D19" s="98">
        <f ca="1">ROUND(D18-1,4)</f>
        <v>0</v>
      </c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8">
        <f ca="1">ROUND(O18-tblBOneReturns[DECOMPOSED]/100,4)</f>
        <v>0</v>
      </c>
    </row>
    <row r="20" spans="1:16" ht="45.75" customHeight="1" thickBot="1" x14ac:dyDescent="0.3"/>
    <row r="21" spans="1:16" ht="30.75" thickBot="1" x14ac:dyDescent="0.3">
      <c r="B21" s="94" t="s">
        <v>171</v>
      </c>
      <c r="C21" s="95"/>
      <c r="D21" s="96" t="s">
        <v>375</v>
      </c>
      <c r="E21" s="96" t="s">
        <v>384</v>
      </c>
      <c r="F21" s="96" t="s">
        <v>376</v>
      </c>
      <c r="G21" s="96" t="s">
        <v>377</v>
      </c>
      <c r="H21" s="96" t="s">
        <v>366</v>
      </c>
      <c r="I21" s="96" t="s">
        <v>378</v>
      </c>
      <c r="J21" s="96" t="s">
        <v>430</v>
      </c>
      <c r="K21" s="96"/>
      <c r="L21" s="96"/>
      <c r="M21" s="96" t="s">
        <v>381</v>
      </c>
      <c r="N21" s="96" t="s">
        <v>382</v>
      </c>
      <c r="O21" s="96" t="s">
        <v>383</v>
      </c>
      <c r="P21" s="95" t="s">
        <v>292</v>
      </c>
    </row>
    <row r="22" spans="1:16" hidden="1" x14ac:dyDescent="0.25">
      <c r="A22" t="s">
        <v>373</v>
      </c>
      <c r="C22" t="s">
        <v>316</v>
      </c>
      <c r="D22" t="str">
        <f t="shared" ref="D22:I22" si="11">$B$21&amp;D21</f>
        <v>BMKWeight</v>
      </c>
      <c r="E22" t="str">
        <f t="shared" si="11"/>
        <v>BMKContributionLocal</v>
      </c>
      <c r="F22" t="str">
        <f t="shared" si="11"/>
        <v>BMKNonCreditCarry</v>
      </c>
      <c r="G22" t="str">
        <f t="shared" si="11"/>
        <v>BMKCreditCarry</v>
      </c>
      <c r="H22" t="str">
        <f t="shared" si="11"/>
        <v>BMKCurve</v>
      </c>
      <c r="I22" t="str">
        <f t="shared" si="11"/>
        <v>BMKSpread</v>
      </c>
      <c r="J22" t="str">
        <f t="shared" ref="J22" si="12">$B$21&amp;J21</f>
        <v>BMKCostofHedging</v>
      </c>
      <c r="M22" t="str">
        <f>$B$21&amp;M21</f>
        <v>BMKModelRes</v>
      </c>
      <c r="N22" t="str">
        <f>$B$21&amp;N21</f>
        <v>BMKCurrencyReturn</v>
      </c>
      <c r="O22" t="str">
        <f>$B$21&amp;O21</f>
        <v>BMKContributionBase</v>
      </c>
      <c r="P22" t="s">
        <v>292</v>
      </c>
    </row>
    <row r="23" spans="1:16" ht="15.75" hidden="1" thickBot="1" x14ac:dyDescent="0.3">
      <c r="D23" t="str">
        <f t="shared" ref="D23:I23" si="13">"["&amp;D22&amp;"]"</f>
        <v>[BMKWeight]</v>
      </c>
      <c r="E23" t="str">
        <f t="shared" si="13"/>
        <v>[BMKContributionLocal]</v>
      </c>
      <c r="F23" t="str">
        <f t="shared" si="13"/>
        <v>[BMKNonCreditCarry]</v>
      </c>
      <c r="G23" t="str">
        <f t="shared" si="13"/>
        <v>[BMKCreditCarry]</v>
      </c>
      <c r="H23" t="str">
        <f t="shared" si="13"/>
        <v>[BMKCurve]</v>
      </c>
      <c r="I23" t="str">
        <f t="shared" si="13"/>
        <v>[BMKSpread]</v>
      </c>
      <c r="J23" t="str">
        <f t="shared" ref="J23" si="14">"["&amp;J22&amp;"]"</f>
        <v>[BMKCostofHedging]</v>
      </c>
      <c r="M23" t="str">
        <f t="shared" ref="M23" si="15">"["&amp;M22&amp;"]"</f>
        <v>[BMKModelRes]</v>
      </c>
      <c r="N23" t="str">
        <f t="shared" ref="N23" si="16">"["&amp;N22&amp;"]"</f>
        <v>[BMKCurrencyReturn]</v>
      </c>
      <c r="O23" t="str">
        <f t="shared" ref="O23" si="17">"["&amp;O22&amp;"]"</f>
        <v>[BMKContributionBase]</v>
      </c>
    </row>
    <row r="24" spans="1:16" x14ac:dyDescent="0.25">
      <c r="B24" s="79" t="s">
        <v>318</v>
      </c>
      <c r="C24" s="85">
        <f>VLOOKUP(B24,tblAttributable[],2,0)</f>
        <v>1</v>
      </c>
      <c r="D24" s="80">
        <f t="shared" ref="D24:I26" ca="1" si="18">SUMIF(INDIRECT($A$1&amp;$A$2),$B24,INDIRECT($A$1&amp;D$23))</f>
        <v>0</v>
      </c>
      <c r="E24" s="80">
        <f t="shared" ca="1" si="18"/>
        <v>0</v>
      </c>
      <c r="F24" s="80">
        <f t="shared" ca="1" si="18"/>
        <v>0</v>
      </c>
      <c r="G24" s="80">
        <f t="shared" ca="1" si="18"/>
        <v>0</v>
      </c>
      <c r="H24" s="80">
        <f t="shared" ca="1" si="18"/>
        <v>0</v>
      </c>
      <c r="I24" s="80">
        <f t="shared" ca="1" si="18"/>
        <v>0</v>
      </c>
      <c r="J24" s="148"/>
      <c r="K24" s="148"/>
      <c r="L24" s="148"/>
      <c r="M24" s="80">
        <f t="shared" ref="M24:O26" ca="1" si="19">SUMIF(INDIRECT($A$1&amp;$A$2),$B24,INDIRECT($A$1&amp;M$23))</f>
        <v>0</v>
      </c>
      <c r="N24" s="80">
        <f t="shared" ca="1" si="19"/>
        <v>0</v>
      </c>
      <c r="O24" s="80">
        <f t="shared" ca="1" si="19"/>
        <v>0</v>
      </c>
      <c r="P24" s="106">
        <f t="shared" ref="P24:P34" ca="1" si="20">IF(C24=1,ROUND(O24-SUM(F24:N24),4),0)</f>
        <v>0</v>
      </c>
    </row>
    <row r="25" spans="1:16" x14ac:dyDescent="0.25">
      <c r="B25" s="81" t="s">
        <v>324</v>
      </c>
      <c r="C25" s="86">
        <f>VLOOKUP(B25,tblAttributable[],2,0)</f>
        <v>1</v>
      </c>
      <c r="D25" s="82">
        <f t="shared" ca="1" si="18"/>
        <v>0</v>
      </c>
      <c r="E25" s="82">
        <f t="shared" ca="1" si="18"/>
        <v>0</v>
      </c>
      <c r="F25" s="82">
        <f t="shared" ca="1" si="18"/>
        <v>0</v>
      </c>
      <c r="G25" s="82">
        <f t="shared" ca="1" si="18"/>
        <v>0</v>
      </c>
      <c r="H25" s="82">
        <f t="shared" ca="1" si="18"/>
        <v>0</v>
      </c>
      <c r="I25" s="82">
        <f t="shared" ca="1" si="18"/>
        <v>0</v>
      </c>
      <c r="J25" s="149"/>
      <c r="K25" s="149"/>
      <c r="L25" s="149"/>
      <c r="M25" s="82">
        <f t="shared" ca="1" si="19"/>
        <v>0</v>
      </c>
      <c r="N25" s="82">
        <f t="shared" ca="1" si="19"/>
        <v>0</v>
      </c>
      <c r="O25" s="82">
        <f t="shared" ca="1" si="19"/>
        <v>0</v>
      </c>
      <c r="P25" s="107">
        <f t="shared" ca="1" si="20"/>
        <v>0</v>
      </c>
    </row>
    <row r="26" spans="1:16" x14ac:dyDescent="0.25">
      <c r="B26" s="81" t="s">
        <v>336</v>
      </c>
      <c r="C26" s="86">
        <f>VLOOKUP(B26,tblAttributable[],2,0)</f>
        <v>1</v>
      </c>
      <c r="D26" s="82">
        <f t="shared" ca="1" si="18"/>
        <v>0</v>
      </c>
      <c r="E26" s="82">
        <f t="shared" ca="1" si="18"/>
        <v>0</v>
      </c>
      <c r="F26" s="82">
        <f t="shared" ca="1" si="18"/>
        <v>0</v>
      </c>
      <c r="G26" s="82">
        <f t="shared" ca="1" si="18"/>
        <v>0</v>
      </c>
      <c r="H26" s="82">
        <f t="shared" ca="1" si="18"/>
        <v>0</v>
      </c>
      <c r="I26" s="82">
        <f t="shared" ca="1" si="18"/>
        <v>0</v>
      </c>
      <c r="J26" s="149"/>
      <c r="K26" s="149"/>
      <c r="L26" s="149"/>
      <c r="M26" s="82">
        <f t="shared" ca="1" si="19"/>
        <v>0</v>
      </c>
      <c r="N26" s="82">
        <f t="shared" ca="1" si="19"/>
        <v>0</v>
      </c>
      <c r="O26" s="82">
        <f t="shared" ca="1" si="19"/>
        <v>0</v>
      </c>
      <c r="P26" s="107">
        <f t="shared" ca="1" si="20"/>
        <v>0</v>
      </c>
    </row>
    <row r="27" spans="1:16" x14ac:dyDescent="0.25">
      <c r="B27" s="81" t="s">
        <v>181</v>
      </c>
      <c r="C27" s="86">
        <f>VLOOKUP(B27,tblAttributable[],2,0)</f>
        <v>0</v>
      </c>
      <c r="D27" s="82">
        <f t="shared" ref="D27:F28" ca="1" si="21">SUMIF(INDIRECT($A$1&amp;$A$2),$B27,INDIRECT($A$1&amp;D$23))</f>
        <v>0</v>
      </c>
      <c r="E27" s="82">
        <f t="shared" ca="1" si="21"/>
        <v>0</v>
      </c>
      <c r="F27" s="82">
        <f t="shared" ca="1" si="21"/>
        <v>0</v>
      </c>
      <c r="G27" s="149"/>
      <c r="H27" s="149"/>
      <c r="I27" s="149"/>
      <c r="J27" s="149"/>
      <c r="K27" s="149"/>
      <c r="L27" s="149"/>
      <c r="M27" s="149"/>
      <c r="N27" s="82">
        <f t="shared" ref="N27:O34" ca="1" si="22">SUMIF(INDIRECT($A$1&amp;$A$2),$B27,INDIRECT($A$1&amp;N$23))</f>
        <v>0</v>
      </c>
      <c r="O27" s="82">
        <f t="shared" ca="1" si="22"/>
        <v>0</v>
      </c>
      <c r="P27" s="107">
        <f t="shared" si="20"/>
        <v>0</v>
      </c>
    </row>
    <row r="28" spans="1:16" x14ac:dyDescent="0.25">
      <c r="B28" s="81" t="s">
        <v>475</v>
      </c>
      <c r="C28" s="86">
        <f>VLOOKUP(B28,tblAttributable[],2,0)</f>
        <v>0</v>
      </c>
      <c r="D28" s="82">
        <f t="shared" ca="1" si="21"/>
        <v>0</v>
      </c>
      <c r="E28" s="82">
        <f t="shared" ca="1" si="21"/>
        <v>0</v>
      </c>
      <c r="F28" s="82">
        <f t="shared" ca="1" si="21"/>
        <v>0</v>
      </c>
      <c r="G28" s="149"/>
      <c r="H28" s="149"/>
      <c r="I28" s="149"/>
      <c r="J28" s="149"/>
      <c r="K28" s="149"/>
      <c r="L28" s="149"/>
      <c r="M28" s="149"/>
      <c r="N28" s="82">
        <f t="shared" ca="1" si="22"/>
        <v>0</v>
      </c>
      <c r="O28" s="82">
        <f t="shared" ca="1" si="22"/>
        <v>0</v>
      </c>
      <c r="P28" s="107">
        <f t="shared" ref="P28" si="23">IF(C28=1,ROUND(O28-SUM(F28:N28),4),0)</f>
        <v>0</v>
      </c>
    </row>
    <row r="29" spans="1:16" x14ac:dyDescent="0.25">
      <c r="B29" s="81" t="s">
        <v>329</v>
      </c>
      <c r="C29" s="86">
        <f>VLOOKUP(B29,tblAttributable[],2,0)</f>
        <v>0</v>
      </c>
      <c r="D29" s="82">
        <f t="shared" ref="D29:E34" ca="1" si="24">SUMIF(INDIRECT($A$1&amp;$A$2),$B29,INDIRECT($A$1&amp;D$23))</f>
        <v>0</v>
      </c>
      <c r="E29" s="82">
        <f t="shared" ca="1" si="24"/>
        <v>0</v>
      </c>
      <c r="F29" s="149"/>
      <c r="G29" s="149"/>
      <c r="H29" s="149"/>
      <c r="I29" s="149"/>
      <c r="J29" s="149"/>
      <c r="K29" s="149"/>
      <c r="L29" s="149"/>
      <c r="M29" s="149"/>
      <c r="N29" s="82">
        <f t="shared" ca="1" si="22"/>
        <v>0</v>
      </c>
      <c r="O29" s="82">
        <f t="shared" ca="1" si="22"/>
        <v>0</v>
      </c>
      <c r="P29" s="107">
        <f t="shared" si="20"/>
        <v>0</v>
      </c>
    </row>
    <row r="30" spans="1:16" x14ac:dyDescent="0.25">
      <c r="B30" s="81" t="s">
        <v>144</v>
      </c>
      <c r="C30" s="86">
        <f>VLOOKUP(B30,tblAttributable[],2,0)</f>
        <v>0</v>
      </c>
      <c r="D30" s="82">
        <f t="shared" ca="1" si="24"/>
        <v>0</v>
      </c>
      <c r="E30" s="82">
        <f t="shared" ca="1" si="24"/>
        <v>0</v>
      </c>
      <c r="F30" s="149"/>
      <c r="G30" s="149"/>
      <c r="H30" s="149"/>
      <c r="I30" s="149"/>
      <c r="J30" s="149"/>
      <c r="K30" s="149"/>
      <c r="L30" s="149"/>
      <c r="M30" s="149"/>
      <c r="N30" s="82">
        <f t="shared" ca="1" si="22"/>
        <v>0</v>
      </c>
      <c r="O30" s="82">
        <f t="shared" ca="1" si="22"/>
        <v>0</v>
      </c>
      <c r="P30" s="107">
        <f t="shared" si="20"/>
        <v>0</v>
      </c>
    </row>
    <row r="31" spans="1:16" x14ac:dyDescent="0.25">
      <c r="B31" s="81" t="s">
        <v>332</v>
      </c>
      <c r="C31" s="86">
        <f>VLOOKUP(B31,tblAttributable[],2,0)</f>
        <v>0</v>
      </c>
      <c r="D31" s="82">
        <f t="shared" ca="1" si="24"/>
        <v>0</v>
      </c>
      <c r="E31" s="82">
        <f t="shared" ca="1" si="24"/>
        <v>0</v>
      </c>
      <c r="F31" s="149"/>
      <c r="G31" s="149"/>
      <c r="H31" s="149"/>
      <c r="I31" s="149"/>
      <c r="J31" s="82">
        <f ca="1">SUMIF(INDIRECT($A$1&amp;$A$2),$B31,INDIRECT($A$1&amp;J$23))</f>
        <v>0</v>
      </c>
      <c r="K31" s="149"/>
      <c r="L31" s="149"/>
      <c r="M31" s="149"/>
      <c r="N31" s="82">
        <f t="shared" ca="1" si="22"/>
        <v>0</v>
      </c>
      <c r="O31" s="82">
        <f t="shared" ca="1" si="22"/>
        <v>0</v>
      </c>
      <c r="P31" s="107">
        <f t="shared" si="20"/>
        <v>0</v>
      </c>
    </row>
    <row r="32" spans="1:16" x14ac:dyDescent="0.25">
      <c r="B32" s="81" t="s">
        <v>147</v>
      </c>
      <c r="C32" s="86">
        <f>VLOOKUP(B32,tblAttributable[],2,0)</f>
        <v>0</v>
      </c>
      <c r="D32" s="82">
        <f t="shared" ca="1" si="24"/>
        <v>0</v>
      </c>
      <c r="E32" s="82">
        <f t="shared" ca="1" si="24"/>
        <v>0</v>
      </c>
      <c r="F32" s="149"/>
      <c r="G32" s="149"/>
      <c r="H32" s="149"/>
      <c r="I32" s="149"/>
      <c r="J32" s="149"/>
      <c r="K32" s="149"/>
      <c r="L32" s="149"/>
      <c r="M32" s="149"/>
      <c r="N32" s="82">
        <f t="shared" ca="1" si="22"/>
        <v>0</v>
      </c>
      <c r="O32" s="82">
        <f t="shared" ca="1" si="22"/>
        <v>0</v>
      </c>
      <c r="P32" s="107">
        <f t="shared" si="20"/>
        <v>0</v>
      </c>
    </row>
    <row r="33" spans="2:16" x14ac:dyDescent="0.25">
      <c r="B33" s="81" t="s">
        <v>146</v>
      </c>
      <c r="C33" s="86">
        <f>VLOOKUP(B33,tblAttributable[],2,0)</f>
        <v>0</v>
      </c>
      <c r="D33" s="82">
        <f t="shared" ca="1" si="24"/>
        <v>0</v>
      </c>
      <c r="E33" s="82">
        <f t="shared" ca="1" si="24"/>
        <v>0</v>
      </c>
      <c r="F33" s="149"/>
      <c r="G33" s="149"/>
      <c r="H33" s="149"/>
      <c r="I33" s="149"/>
      <c r="J33" s="149"/>
      <c r="K33" s="149"/>
      <c r="L33" s="149"/>
      <c r="M33" s="149"/>
      <c r="N33" s="82">
        <f t="shared" ca="1" si="22"/>
        <v>0</v>
      </c>
      <c r="O33" s="82">
        <f t="shared" ca="1" si="22"/>
        <v>0</v>
      </c>
      <c r="P33" s="107">
        <f t="shared" si="20"/>
        <v>0</v>
      </c>
    </row>
    <row r="34" spans="2:16" ht="15.75" thickBot="1" x14ac:dyDescent="0.3">
      <c r="B34" s="83" t="s">
        <v>338</v>
      </c>
      <c r="C34" s="87">
        <f>VLOOKUP(B34,tblAttributable[],2,0)</f>
        <v>0</v>
      </c>
      <c r="D34" s="84">
        <f t="shared" ca="1" si="24"/>
        <v>0</v>
      </c>
      <c r="E34" s="84">
        <f t="shared" ca="1" si="24"/>
        <v>0</v>
      </c>
      <c r="F34" s="150"/>
      <c r="G34" s="150"/>
      <c r="H34" s="150"/>
      <c r="I34" s="150"/>
      <c r="J34" s="150"/>
      <c r="K34" s="150"/>
      <c r="L34" s="150"/>
      <c r="M34" s="150"/>
      <c r="N34" s="84">
        <f t="shared" ca="1" si="22"/>
        <v>0</v>
      </c>
      <c r="O34" s="84">
        <f t="shared" ca="1" si="22"/>
        <v>0</v>
      </c>
      <c r="P34" s="108">
        <f t="shared" si="20"/>
        <v>0</v>
      </c>
    </row>
    <row r="35" spans="2:16" x14ac:dyDescent="0.25">
      <c r="C35" t="s">
        <v>385</v>
      </c>
      <c r="D35" s="48">
        <f t="shared" ref="D35:O35" ca="1" si="25">SUM(D24:D34)</f>
        <v>0</v>
      </c>
      <c r="E35" s="48">
        <f t="shared" ca="1" si="25"/>
        <v>0</v>
      </c>
      <c r="F35" s="48">
        <f t="shared" ca="1" si="25"/>
        <v>0</v>
      </c>
      <c r="G35" s="48">
        <f t="shared" ca="1" si="25"/>
        <v>0</v>
      </c>
      <c r="H35" s="48">
        <f t="shared" ca="1" si="25"/>
        <v>0</v>
      </c>
      <c r="I35" s="48">
        <f t="shared" ca="1" si="25"/>
        <v>0</v>
      </c>
      <c r="J35" s="48">
        <f t="shared" ca="1" si="25"/>
        <v>0</v>
      </c>
      <c r="K35" s="48">
        <f t="shared" si="25"/>
        <v>0</v>
      </c>
      <c r="L35" s="48">
        <f t="shared" si="25"/>
        <v>0</v>
      </c>
      <c r="M35" s="48">
        <f t="shared" ca="1" si="25"/>
        <v>0</v>
      </c>
      <c r="N35" s="48">
        <f t="shared" ca="1" si="25"/>
        <v>0</v>
      </c>
      <c r="O35" s="48">
        <f t="shared" ca="1" si="25"/>
        <v>0</v>
      </c>
    </row>
    <row r="36" spans="2:16" x14ac:dyDescent="0.25">
      <c r="C36" s="97" t="s">
        <v>202</v>
      </c>
      <c r="D36" s="98">
        <f ca="1">IF(SUM(D24:D34)=0,0,ROUND(D35-1,4))</f>
        <v>0</v>
      </c>
      <c r="E36" s="97"/>
      <c r="F36" s="97"/>
      <c r="G36" s="97"/>
      <c r="H36" s="97"/>
      <c r="I36" s="97"/>
      <c r="J36" s="97"/>
      <c r="K36" s="97"/>
      <c r="L36" s="97"/>
      <c r="M36" s="97"/>
      <c r="N36" s="97"/>
      <c r="O36" s="98">
        <f ca="1">ROUND(O35-tblBOneReturns[BMK_DECOMPOSED]/100,4)</f>
        <v>0</v>
      </c>
    </row>
  </sheetData>
  <conditionalFormatting sqref="B25:I25 G9:H9 I8:L9 G26:I26 K25:O25 B12:E17 B9:F11 N10:O17 B29:E34 O26:O27 B26:F28 N27:O34">
    <cfRule type="expression" dxfId="194" priority="54">
      <formula>IF($D8=0%,TRUE,FALSE)</formula>
    </cfRule>
  </conditionalFormatting>
  <conditionalFormatting sqref="M9:N9">
    <cfRule type="expression" dxfId="193" priority="36">
      <formula>IF($D9=0%,TRUE,FALSE)</formula>
    </cfRule>
  </conditionalFormatting>
  <conditionalFormatting sqref="M26:N26">
    <cfRule type="expression" dxfId="192" priority="47">
      <formula>IF($D26=0%,TRUE,FALSE)</formula>
    </cfRule>
  </conditionalFormatting>
  <conditionalFormatting sqref="B24:I24 K24:O24">
    <cfRule type="expression" dxfId="191" priority="44">
      <formula>IF($D24=0%,TRUE,FALSE)</formula>
    </cfRule>
  </conditionalFormatting>
  <conditionalFormatting sqref="B8:H8 M8:O8">
    <cfRule type="expression" dxfId="190" priority="41">
      <formula>IF($D8=0%,TRUE,FALSE)</formula>
    </cfRule>
  </conditionalFormatting>
  <conditionalFormatting sqref="O9">
    <cfRule type="expression" dxfId="189" priority="34">
      <formula>IF($D9=0%,TRUE,FALSE)</formula>
    </cfRule>
  </conditionalFormatting>
  <conditionalFormatting sqref="B7:O7">
    <cfRule type="expression" dxfId="188" priority="33">
      <formula>IF($D7=0%,TRUE,FALSE)</formula>
    </cfRule>
  </conditionalFormatting>
  <conditionalFormatting sqref="L14">
    <cfRule type="expression" dxfId="187" priority="28">
      <formula>IF($D14=0%,TRUE,FALSE)</formula>
    </cfRule>
  </conditionalFormatting>
  <conditionalFormatting sqref="P24:P34 P7:P17">
    <cfRule type="cellIs" dxfId="186" priority="12" operator="notEqual">
      <formula>0%</formula>
    </cfRule>
  </conditionalFormatting>
  <conditionalFormatting sqref="P8">
    <cfRule type="cellIs" dxfId="185" priority="11" operator="notEqual">
      <formula>0%</formula>
    </cfRule>
  </conditionalFormatting>
  <conditionalFormatting sqref="P25">
    <cfRule type="cellIs" dxfId="184" priority="9" operator="notEqual">
      <formula>0%</formula>
    </cfRule>
  </conditionalFormatting>
  <conditionalFormatting sqref="D19">
    <cfRule type="cellIs" dxfId="183" priority="8" operator="notEqual">
      <formula>0%</formula>
    </cfRule>
  </conditionalFormatting>
  <conditionalFormatting sqref="O19">
    <cfRule type="cellIs" dxfId="182" priority="7" operator="notEqual">
      <formula>0%</formula>
    </cfRule>
  </conditionalFormatting>
  <conditionalFormatting sqref="D36">
    <cfRule type="cellIs" dxfId="181" priority="6" operator="notEqual">
      <formula>0%</formula>
    </cfRule>
  </conditionalFormatting>
  <conditionalFormatting sqref="O36">
    <cfRule type="cellIs" dxfId="180" priority="5" operator="notEqual">
      <formula>0%</formula>
    </cfRule>
  </conditionalFormatting>
  <conditionalFormatting sqref="J14">
    <cfRule type="expression" dxfId="179" priority="4">
      <formula>IF($D14=0%,TRUE,FALSE)</formula>
    </cfRule>
  </conditionalFormatting>
  <conditionalFormatting sqref="J25:J26">
    <cfRule type="expression" dxfId="178" priority="3">
      <formula>IF($D25=0%,TRUE,FALSE)</formula>
    </cfRule>
  </conditionalFormatting>
  <conditionalFormatting sqref="J24">
    <cfRule type="expression" dxfId="177" priority="2">
      <formula>IF($D24=0%,TRUE,FALSE)</formula>
    </cfRule>
  </conditionalFormatting>
  <conditionalFormatting sqref="J31">
    <cfRule type="expression" dxfId="176" priority="1">
      <formula>IF($D31=0%,TRUE,FALSE)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hecks">
    <tabColor theme="8" tint="-0.249977111117893"/>
  </sheetPr>
  <dimension ref="A1:O20"/>
  <sheetViews>
    <sheetView workbookViewId="0">
      <selection activeCell="C2" sqref="C2"/>
    </sheetView>
  </sheetViews>
  <sheetFormatPr defaultRowHeight="15" x14ac:dyDescent="0.25"/>
  <cols>
    <col min="1" max="1" width="20.7109375" customWidth="1"/>
    <col min="2" max="2" width="29" customWidth="1"/>
    <col min="3" max="3" width="38.140625" customWidth="1"/>
    <col min="4" max="4" width="17.85546875" bestFit="1" customWidth="1"/>
    <col min="6" max="6" width="15.140625" bestFit="1" customWidth="1"/>
    <col min="7" max="7" width="28" bestFit="1" customWidth="1"/>
    <col min="8" max="8" width="19.85546875" bestFit="1" customWidth="1"/>
    <col min="9" max="9" width="47.85546875" bestFit="1" customWidth="1"/>
    <col min="10" max="10" width="34.7109375" customWidth="1"/>
    <col min="11" max="12" width="20.7109375" bestFit="1" customWidth="1"/>
    <col min="13" max="13" width="33.85546875" bestFit="1" customWidth="1"/>
    <col min="14" max="14" width="12.28515625" bestFit="1" customWidth="1"/>
  </cols>
  <sheetData>
    <row r="1" spans="1:4" x14ac:dyDescent="0.25">
      <c r="A1" s="50" t="s">
        <v>211</v>
      </c>
      <c r="B1" s="51" t="s">
        <v>290</v>
      </c>
      <c r="C1" s="51" t="s">
        <v>291</v>
      </c>
      <c r="D1" s="56" t="s">
        <v>306</v>
      </c>
    </row>
    <row r="2" spans="1:4" x14ac:dyDescent="0.25">
      <c r="A2" s="55" t="s">
        <v>215</v>
      </c>
      <c r="B2" s="55">
        <f>rngFundName</f>
        <v>0</v>
      </c>
      <c r="C2" s="152"/>
      <c r="D2" s="58">
        <f>IF(B2=C2,0,1)</f>
        <v>0</v>
      </c>
    </row>
    <row r="3" spans="1:4" x14ac:dyDescent="0.25">
      <c r="A3" s="55" t="s">
        <v>212</v>
      </c>
      <c r="B3" s="153">
        <f>IF(rngBenchmark="",0,rngBenchmark)</f>
        <v>0</v>
      </c>
      <c r="C3" s="153">
        <f>tblFundChecks2[INDEX_NAME]</f>
        <v>0</v>
      </c>
      <c r="D3" s="59">
        <f>IF(B3=C3,0,1)</f>
        <v>0</v>
      </c>
    </row>
    <row r="4" spans="1:4" x14ac:dyDescent="0.25">
      <c r="A4" s="55" t="s">
        <v>213</v>
      </c>
      <c r="B4" s="55">
        <f>rngStrategy</f>
        <v>0</v>
      </c>
      <c r="C4" s="152"/>
      <c r="D4" s="88" t="s">
        <v>299</v>
      </c>
    </row>
    <row r="5" spans="1:4" x14ac:dyDescent="0.25">
      <c r="A5" s="55" t="s">
        <v>180</v>
      </c>
      <c r="B5" s="55">
        <f>rngClassification</f>
        <v>0</v>
      </c>
      <c r="C5" s="152"/>
      <c r="D5" s="88" t="s">
        <v>299</v>
      </c>
    </row>
    <row r="6" spans="1:4" x14ac:dyDescent="0.25">
      <c r="A6" s="55" t="s">
        <v>58</v>
      </c>
      <c r="B6" s="55">
        <f>rngCCY</f>
        <v>0</v>
      </c>
      <c r="C6" s="152" t="str">
        <f>tblFundChecks2[PORTF_CURRENCY]</f>
        <v>GBP</v>
      </c>
      <c r="D6" s="59">
        <f>IF(B6=C6,0,1)</f>
        <v>1</v>
      </c>
    </row>
    <row r="7" spans="1:4" x14ac:dyDescent="0.25">
      <c r="A7" s="55" t="s">
        <v>214</v>
      </c>
      <c r="B7" s="55">
        <f>rngFundCodeDTS</f>
        <v>0</v>
      </c>
      <c r="C7" s="152"/>
      <c r="D7" s="88" t="s">
        <v>299</v>
      </c>
    </row>
    <row r="8" spans="1:4" x14ac:dyDescent="0.25">
      <c r="A8" s="55" t="s">
        <v>258</v>
      </c>
      <c r="B8" s="55">
        <f>rngVendor</f>
        <v>0</v>
      </c>
      <c r="C8" s="152" t="str">
        <f>tblFundChecks2[PROVIDER]</f>
        <v>iBoxx</v>
      </c>
      <c r="D8" s="59">
        <f>IF(B8=C8,0,1)</f>
        <v>1</v>
      </c>
    </row>
    <row r="9" spans="1:4" x14ac:dyDescent="0.25">
      <c r="A9" s="55" t="s">
        <v>216</v>
      </c>
      <c r="B9" s="55" t="str">
        <f>rngTemplate</f>
        <v>Buy and Maintain</v>
      </c>
      <c r="C9" s="152"/>
      <c r="D9" s="88" t="s">
        <v>299</v>
      </c>
    </row>
    <row r="10" spans="1:4" x14ac:dyDescent="0.25">
      <c r="A10" s="55" t="s">
        <v>257</v>
      </c>
      <c r="B10" s="55">
        <f>Control!E19</f>
        <v>0</v>
      </c>
      <c r="C10" s="152"/>
      <c r="D10" s="88" t="s">
        <v>299</v>
      </c>
    </row>
    <row r="11" spans="1:4" x14ac:dyDescent="0.25">
      <c r="A11" s="55" t="s">
        <v>259</v>
      </c>
      <c r="B11" s="55">
        <f>rngFundCode</f>
        <v>0</v>
      </c>
      <c r="C11" s="152"/>
      <c r="D11" s="88" t="s">
        <v>299</v>
      </c>
    </row>
    <row r="12" spans="1:4" x14ac:dyDescent="0.25">
      <c r="A12" s="55" t="s">
        <v>289</v>
      </c>
      <c r="B12" s="55" t="s">
        <v>297</v>
      </c>
      <c r="C12" s="152" t="str">
        <f>tblFundChecks2[VALUATED_ON_WEEKENDS]</f>
        <v>TRUE</v>
      </c>
      <c r="D12" s="60">
        <f>IF(B12=C12,0,1)</f>
        <v>0</v>
      </c>
    </row>
    <row r="13" spans="1:4" x14ac:dyDescent="0.25">
      <c r="D13" s="24"/>
    </row>
    <row r="14" spans="1:4" x14ac:dyDescent="0.25">
      <c r="D14" s="24"/>
    </row>
    <row r="15" spans="1:4" x14ac:dyDescent="0.25">
      <c r="D15" s="24"/>
    </row>
    <row r="16" spans="1:4" x14ac:dyDescent="0.25">
      <c r="D16" s="24"/>
    </row>
    <row r="17" spans="1:15" x14ac:dyDescent="0.25">
      <c r="A17" t="s">
        <v>209</v>
      </c>
      <c r="B17" t="s">
        <v>293</v>
      </c>
      <c r="C17" t="s">
        <v>294</v>
      </c>
      <c r="D17" s="24" t="s">
        <v>306</v>
      </c>
      <c r="F17" t="s">
        <v>209</v>
      </c>
      <c r="G17" t="s">
        <v>295</v>
      </c>
      <c r="H17" t="s">
        <v>296</v>
      </c>
      <c r="I17" t="s">
        <v>238</v>
      </c>
      <c r="J17" t="s">
        <v>298</v>
      </c>
      <c r="K17" t="s">
        <v>239</v>
      </c>
      <c r="L17" t="s">
        <v>240</v>
      </c>
      <c r="M17" t="s">
        <v>241</v>
      </c>
      <c r="N17" t="s">
        <v>242</v>
      </c>
      <c r="O17" t="s">
        <v>202</v>
      </c>
    </row>
    <row r="18" spans="1:15" x14ac:dyDescent="0.25">
      <c r="A18" s="26">
        <v>4547</v>
      </c>
      <c r="B18" t="s">
        <v>2268</v>
      </c>
      <c r="C18" t="s">
        <v>2269</v>
      </c>
      <c r="D18" s="59">
        <f>ISNUMBER(SEARCH("Key",tblFundChecks1[[#This Row],[SWAP_CURVE]]))+ISNUMBER(SEARCH("Key",tblFundChecks1[[#This Row],[SOVEREIGN_CURVE]]))-2</f>
        <v>0</v>
      </c>
      <c r="F18" s="54" t="s">
        <v>494</v>
      </c>
      <c r="G18" s="54" t="s">
        <v>297</v>
      </c>
      <c r="H18" s="54" t="s">
        <v>493</v>
      </c>
      <c r="I18" s="54" t="s">
        <v>491</v>
      </c>
      <c r="J18" s="54" t="s">
        <v>260</v>
      </c>
      <c r="K18" s="54"/>
      <c r="L18" s="54"/>
      <c r="M18" s="54"/>
      <c r="N18" s="54" t="s">
        <v>495</v>
      </c>
      <c r="O18" s="54"/>
    </row>
    <row r="19" spans="1:15" x14ac:dyDescent="0.25">
      <c r="A19" s="26">
        <v>4547</v>
      </c>
      <c r="B19" t="s">
        <v>2270</v>
      </c>
      <c r="C19" t="s">
        <v>2271</v>
      </c>
      <c r="D19" s="178">
        <f>ISNUMBER(SEARCH("Key",tblFundChecks1[[#This Row],[SWAP_CURVE]]))+ISNUMBER(SEARCH("Key",tblFundChecks1[[#This Row],[SOVEREIGN_CURVE]]))-2</f>
        <v>0</v>
      </c>
    </row>
    <row r="20" spans="1:15" x14ac:dyDescent="0.25">
      <c r="A20" s="26">
        <v>4547</v>
      </c>
      <c r="B20" t="s">
        <v>2272</v>
      </c>
      <c r="C20" t="s">
        <v>2273</v>
      </c>
      <c r="D20" s="178">
        <f>ISNUMBER(SEARCH("Key",tblFundChecks1[[#This Row],[SWAP_CURVE]]))+ISNUMBER(SEARCH("Key",tblFundChecks1[[#This Row],[SOVEREIGN_CURVE]]))-2</f>
        <v>0</v>
      </c>
    </row>
  </sheetData>
  <conditionalFormatting sqref="D8">
    <cfRule type="cellIs" priority="3" operator="equal">
      <formula>0</formula>
    </cfRule>
    <cfRule type="cellIs" dxfId="175" priority="4" operator="notEqual">
      <formula>0</formula>
    </cfRule>
  </conditionalFormatting>
  <conditionalFormatting sqref="D18:D20">
    <cfRule type="cellIs" priority="1" operator="equal">
      <formula>0</formula>
    </cfRule>
    <cfRule type="cellIs" dxfId="174" priority="2" operator="notEqual">
      <formula>0</formula>
    </cfRule>
  </conditionalFormatting>
  <conditionalFormatting sqref="D2:D3 D6 D12">
    <cfRule type="cellIs" priority="5" operator="equal">
      <formula>0</formula>
    </cfRule>
    <cfRule type="cellIs" dxfId="173" priority="6" operator="notEqual">
      <formula>0</formula>
    </cfRule>
  </conditionalFormatting>
  <dataValidations count="1">
    <dataValidation allowBlank="1" showInputMessage="1" sqref="B10:B11"/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lculation">
    <tabColor theme="4" tint="-0.249977111117893"/>
  </sheetPr>
  <dimension ref="B1:AN254"/>
  <sheetViews>
    <sheetView showGridLines="0" topLeftCell="AC1" zoomScaleNormal="100" workbookViewId="0">
      <selection activeCell="E1" sqref="E1:AN1"/>
    </sheetView>
  </sheetViews>
  <sheetFormatPr defaultRowHeight="15" x14ac:dyDescent="0.25"/>
  <cols>
    <col min="1" max="1" width="5.42578125" customWidth="1"/>
    <col min="2" max="2" width="26.7109375" bestFit="1" customWidth="1"/>
    <col min="3" max="3" width="11.140625" bestFit="1" customWidth="1"/>
    <col min="4" max="4" width="16" bestFit="1" customWidth="1"/>
    <col min="5" max="5" width="15.42578125" bestFit="1" customWidth="1"/>
    <col min="6" max="6" width="39.140625" bestFit="1" customWidth="1"/>
    <col min="7" max="7" width="15.85546875" bestFit="1" customWidth="1"/>
    <col min="8" max="8" width="9.42578125" bestFit="1" customWidth="1"/>
    <col min="9" max="10" width="19.5703125" bestFit="1" customWidth="1"/>
    <col min="11" max="11" width="15.85546875" bestFit="1" customWidth="1"/>
    <col min="12" max="39" width="19.42578125" customWidth="1"/>
  </cols>
  <sheetData>
    <row r="1" spans="2:40" x14ac:dyDescent="0.25">
      <c r="E1" s="77" t="s">
        <v>3</v>
      </c>
      <c r="F1" s="77" t="s">
        <v>4</v>
      </c>
      <c r="G1" s="77" t="s">
        <v>5</v>
      </c>
      <c r="H1" s="77" t="s">
        <v>131</v>
      </c>
      <c r="I1" s="77" t="s">
        <v>362</v>
      </c>
      <c r="J1" s="77" t="s">
        <v>363</v>
      </c>
      <c r="K1" s="77" t="s">
        <v>173</v>
      </c>
      <c r="L1" s="77" t="s">
        <v>172</v>
      </c>
      <c r="M1" s="77" t="s">
        <v>151</v>
      </c>
      <c r="N1" t="s">
        <v>150</v>
      </c>
      <c r="O1" t="s">
        <v>166</v>
      </c>
      <c r="P1" t="s">
        <v>168</v>
      </c>
      <c r="Q1" t="s">
        <v>400</v>
      </c>
      <c r="R1" t="s">
        <v>401</v>
      </c>
      <c r="S1" t="s">
        <v>154</v>
      </c>
      <c r="T1" t="s">
        <v>153</v>
      </c>
      <c r="U1" t="s">
        <v>365</v>
      </c>
      <c r="V1" t="s">
        <v>152</v>
      </c>
      <c r="W1" t="s">
        <v>429</v>
      </c>
      <c r="X1" t="s">
        <v>155</v>
      </c>
      <c r="Y1" t="s">
        <v>156</v>
      </c>
      <c r="Z1" t="s">
        <v>157</v>
      </c>
      <c r="AA1" t="s">
        <v>158</v>
      </c>
      <c r="AB1" t="s">
        <v>367</v>
      </c>
      <c r="AC1" s="76" t="s">
        <v>159</v>
      </c>
      <c r="AD1" s="76" t="s">
        <v>167</v>
      </c>
      <c r="AE1" s="76" t="s">
        <v>169</v>
      </c>
      <c r="AF1" s="76" t="s">
        <v>160</v>
      </c>
      <c r="AG1" s="76" t="s">
        <v>161</v>
      </c>
      <c r="AH1" s="76" t="s">
        <v>164</v>
      </c>
      <c r="AI1" s="76" t="s">
        <v>163</v>
      </c>
      <c r="AJ1" s="76" t="s">
        <v>368</v>
      </c>
      <c r="AK1" s="76" t="s">
        <v>162</v>
      </c>
      <c r="AL1" s="76" t="s">
        <v>165</v>
      </c>
      <c r="AM1" s="76" t="s">
        <v>452</v>
      </c>
      <c r="AN1" s="76" t="s">
        <v>369</v>
      </c>
    </row>
    <row r="2" spans="2:40" x14ac:dyDescent="0.25">
      <c r="E2" s="7" t="str">
        <f>tblBOneExport[[#This Row],[INSTRUMENT_CODE]]</f>
        <v>S00712197</v>
      </c>
      <c r="F2" s="7" t="str">
        <f>tblBOneExport[[#This Row],[INSTRUMENT]]</f>
        <v>AB INBEV SA/NV 9.75 30/07/24 EMTN</v>
      </c>
      <c r="G2" s="7" t="str">
        <f>IF(tblBOneExport[[#This Row],[ISIN]]&lt;&gt;"", tblBOneExport[[#This Row],[ISIN]],"")</f>
        <v>BE0934986036</v>
      </c>
      <c r="H2" s="7" t="str">
        <f>IF(tblCalculation[[#This Row],[B1Level2]]="CDS",tblBOneExport[[#This Row],[B1_TICKER]],IF(tblCalculation[[#This Row],[ISIN]]="","",INDEX(tblGetStaticData[Ticker],MATCH(tblCalculation[[#This Row],[ISIN]],tblGetStaticData[ISIN],0))))</f>
        <v>ABIBB</v>
      </c>
      <c r="I2" s="7" t="str">
        <f>IF(tblBOneExport[[#This Row],[INSTRUMENT_TYPE]]="Forward Contract","Forward Contract",tblBOneExport[LEVEL2])</f>
        <v>Corporates</v>
      </c>
      <c r="J2" s="7" t="str">
        <f>IF(tblBOneExport[[#This Row],[INSTRUMENT_TYPE]]="Forward Contract","Forward Contract",tblBOneExport[[#This Row],[LEVEL3]])</f>
        <v>Industrials</v>
      </c>
      <c r="K2" s="7" t="str">
        <f>INDEX(tblLvl2Mapping[],MATCH(tblCalculation[[#This Row],[B1Level2]]&amp;"_"&amp;tblCalculation[[#This Row],[B1Level3]],tblLvl2Mapping[B1Level2_B1Level3],0),2)</f>
        <v>Corporate</v>
      </c>
      <c r="L2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" s="7">
        <f>INDEX(tblAttributable[],MATCH(tblCalculation[[#This Row],[Level3]],tblAttributable[Level3],0),2)</f>
        <v>1</v>
      </c>
      <c r="N2" s="16">
        <f>tblBOneExport[[#This Row],[PTF_WEIGHT]]</f>
        <v>1.9442588E-3</v>
      </c>
      <c r="O2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8.4756582708427758E-3</v>
      </c>
      <c r="P2" s="48">
        <f>tblCalculation[[#This Row],[PtfDTS]]/SUM(tblCalculation[PtfDTS])</f>
        <v>1.0278624229671459E-3</v>
      </c>
      <c r="Q2" s="16">
        <f>tblBOneExport[[#This Row],[PTF_CONTRIBUTION]]</f>
        <v>1.7796500000000001E-5</v>
      </c>
      <c r="R2" s="16">
        <f>tblCalculation[[#This Row],[PtfContributionBase]]-tblCalculation[[#This Row],[PtfCurrencyReturn]]</f>
        <v>1.7796500000000001E-5</v>
      </c>
      <c r="S2" s="16">
        <f>IF(tblBOneExport[[#This Row],[LEVEL1]]="Bonds",tblBOneExport[[#This Row],[PTF_GOV_CARRY]],"")</f>
        <v>1.2127000000000001E-6</v>
      </c>
      <c r="T2" s="16">
        <f>tblCalculation[[#This Row],[FIAttributable]]*tblBOneExport[[#This Row],[PTF_CREDIT_CARRY]]</f>
        <v>1.6248000000000001E-6</v>
      </c>
      <c r="U2" s="16">
        <f>tblCalculation[[#This Row],[FIAttributable]]*tblBOneExport[[#This Row],[PTF_TOTAL_CURVE]]</f>
        <v>1.9222800000000002E-5</v>
      </c>
      <c r="V2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-4.0978E-6</v>
      </c>
      <c r="W2" s="16">
        <f>IF(AND(tblCalculation[[#This Row],[Level3]]="Forward Contracts",tblBOneExport[[#This Row],[PTF_COST_OF_CARRY]]=0),tblBOneExport[[#This Row],[PTF_VALUATION]],0)</f>
        <v>0</v>
      </c>
      <c r="X2" s="16">
        <f>SUM(tblCalculation[[#This Row],[PtfTrading]:[PtfModelRes]])</f>
        <v>-1.6610000000000001E-7</v>
      </c>
      <c r="Y2" s="16">
        <f>tblCalculation[[#This Row],[FIAttributable]]*tblBOneExport[[#This Row],[PTF_TRADING]]</f>
        <v>0</v>
      </c>
      <c r="Z2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" s="16">
        <f>tblCalculation[[#This Row],[FIAttributable]]*tblBOneExport[[#This Row],[PTF_MODEL_RESIDUAL]]-PTF_Credit_Adj*tblCalculation[[#This Row],[PtfDTSWeight]]</f>
        <v>-1.6610000000000001E-7</v>
      </c>
      <c r="AB2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" s="16">
        <f>tblBOneExport[[#This Row],[BMK_WEIGHT]]</f>
        <v>0</v>
      </c>
      <c r="AD2" s="78">
        <f>tblCalculation[[#This Row],[FIAttributable]]*SUMIFS(tblDTS[DTSContribution_BM],tblDTS[ISIN],tblCalculation[[#This Row],[ISIN]])</f>
        <v>0</v>
      </c>
      <c r="AE2" s="16">
        <f>IF(SUM(tblCalculation[BMKDTS])=0,0,tblCalculation[[#This Row],[BMKDTS]]/SUM(tblCalculation[BMKDTS]))</f>
        <v>0</v>
      </c>
      <c r="AF2" s="16">
        <f>tblBOneExport[[#This Row],[BMK_CONTRIBUTION]]</f>
        <v>0</v>
      </c>
      <c r="AG2" s="16">
        <f>tblCalculation[[#This Row],[BMKContributionBase]]-tblBOneExport[BMK_SPOT_CCY_RETURN]-tblBOneExport[[#This Row],[BMK_CROSS_EFFECT]]</f>
        <v>0</v>
      </c>
      <c r="AH2" s="16">
        <f>tblCalculation[[#This Row],[FIAttributable]]*(tblBOneExport[[#This Row],[BMK_RETURN_GOV_CARRY]])</f>
        <v>0</v>
      </c>
      <c r="AI2" s="16">
        <f>tblCalculation[[#This Row],[FIAttributable]]*tblBOneExport[[#This Row],[BMK_CREDIT_CARRY]]</f>
        <v>0</v>
      </c>
      <c r="AJ2" s="16">
        <f>tblCalculation[[#This Row],[FIAttributable]]*tblBOneExport[[#This Row],[BMK_TOTAL_CURVE]]</f>
        <v>0</v>
      </c>
      <c r="AK2" s="16">
        <f>tblCalculation[[#This Row],[FIAttributable]]*(tblBOneExport[[#This Row],[BMK_TOTAL_SPREAD]]+BMK_Credit_Adj*tblCalculation[[#This Row],[BmkDTSWeight]])</f>
        <v>0</v>
      </c>
      <c r="AL2" s="16">
        <f>tblCalculation[[#This Row],[FIAttributable]]*tblBOneExport[[#This Row],[BMK_MODEL_RESIDUAL]]-BMK_Credit_Adj*tblCalculation[[#This Row],[BmkDTSWeight]]</f>
        <v>0</v>
      </c>
      <c r="AM2" s="16">
        <f>IF(tblCalculation[[#This Row],[Level3]]="Forward Contracts",tblCalculation[[#This Row],[BMKContributionLocal]],0)</f>
        <v>0</v>
      </c>
      <c r="AN2" s="16">
        <f>tblBOneExport[[#This Row],[BMK_SPOT_CCY_RETURN]]+tblBOneExport[[#This Row],[BMK_CROSS_EFFECT]]</f>
        <v>0</v>
      </c>
    </row>
    <row r="3" spans="2:40" x14ac:dyDescent="0.25">
      <c r="E3" s="7" t="str">
        <f>tblBOneExport[[#This Row],[INSTRUMENT_CODE]]</f>
        <v>BF10BD3</v>
      </c>
      <c r="F3" s="7" t="str">
        <f>tblBOneExport[[#This Row],[INSTRUMENT]]</f>
        <v>AB INBEV SA/NV 4 24/09/25 EMTN</v>
      </c>
      <c r="G3" s="7" t="str">
        <f>IF(tblBOneExport[[#This Row],[ISIN]]&lt;&gt;"", tblBOneExport[[#This Row],[ISIN]],"")</f>
        <v>BE6258029741</v>
      </c>
      <c r="H3" s="7" t="str">
        <f>IF(tblCalculation[[#This Row],[B1Level2]]="CDS",tblBOneExport[[#This Row],[B1_TICKER]],IF(tblCalculation[[#This Row],[ISIN]]="","",INDEX(tblGetStaticData[Ticker],MATCH(tblCalculation[[#This Row],[ISIN]],tblGetStaticData[ISIN],0))))</f>
        <v>ABIBB</v>
      </c>
      <c r="I3" s="7" t="str">
        <f>IF(tblBOneExport[[#This Row],[INSTRUMENT_TYPE]]="Forward Contract","Forward Contract",tblBOneExport[LEVEL2])</f>
        <v>Corporates</v>
      </c>
      <c r="J3" s="7" t="str">
        <f>IF(tblBOneExport[[#This Row],[INSTRUMENT_TYPE]]="Forward Contract","Forward Contract",tblBOneExport[[#This Row],[LEVEL3]])</f>
        <v>Industrials</v>
      </c>
      <c r="K3" s="7" t="str">
        <f>INDEX(tblLvl2Mapping[],MATCH(tblCalculation[[#This Row],[B1Level2]]&amp;"_"&amp;tblCalculation[[#This Row],[B1Level3]],tblLvl2Mapping[B1Level2_B1Level3],0),2)</f>
        <v>Corporate</v>
      </c>
      <c r="L3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3" s="7">
        <f>INDEX(tblAttributable[],MATCH(tblCalculation[[#This Row],[Level3]],tblAttributable[Level3],0),2)</f>
        <v>1</v>
      </c>
      <c r="N3" s="16">
        <f>tblBOneExport[[#This Row],[PTF_WEIGHT]]</f>
        <v>1.05292554E-2</v>
      </c>
      <c r="O3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5.6927934098515542E-2</v>
      </c>
      <c r="P3" s="48">
        <f>tblCalculation[[#This Row],[PtfDTS]]/SUM(tblCalculation[PtfDTS])</f>
        <v>6.9037804978887909E-3</v>
      </c>
      <c r="Q3" s="16">
        <f>tblBOneExport[[#This Row],[PTF_CONTRIBUTION]]</f>
        <v>1.331347E-4</v>
      </c>
      <c r="R3" s="16">
        <f>tblCalculation[[#This Row],[PtfContributionBase]]-tblCalculation[[#This Row],[PtfCurrencyReturn]]</f>
        <v>1.331347E-4</v>
      </c>
      <c r="S3" s="16">
        <f>IF(tblBOneExport[[#This Row],[LEVEL1]]="Bonds",tblBOneExport[[#This Row],[PTF_GOV_CARRY]],"")</f>
        <v>7.8002000000000003E-6</v>
      </c>
      <c r="T3" s="16">
        <f>tblCalculation[[#This Row],[FIAttributable]]*tblBOneExport[[#This Row],[PTF_CREDIT_CARRY]]</f>
        <v>8.5103000000000005E-6</v>
      </c>
      <c r="U3" s="16">
        <f>tblCalculation[[#This Row],[FIAttributable]]*tblBOneExport[[#This Row],[PTF_TOTAL_CURVE]]</f>
        <v>1.4434229999999999E-4</v>
      </c>
      <c r="V3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-2.41649E-5</v>
      </c>
      <c r="W3" s="16">
        <f>IF(AND(tblCalculation[[#This Row],[Level3]]="Forward Contracts",tblBOneExport[[#This Row],[PTF_COST_OF_CARRY]]=0),tblBOneExport[[#This Row],[PTF_VALUATION]],0)</f>
        <v>0</v>
      </c>
      <c r="X3" s="16">
        <f>SUM(tblCalculation[[#This Row],[PtfTrading]:[PtfModelRes]])</f>
        <v>-3.3531999999999999E-6</v>
      </c>
      <c r="Y3" s="16">
        <f>tblCalculation[[#This Row],[FIAttributable]]*tblBOneExport[[#This Row],[PTF_TRADING]]</f>
        <v>0</v>
      </c>
      <c r="Z3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3" s="16">
        <f>tblCalculation[[#This Row],[FIAttributable]]*tblBOneExport[[#This Row],[PTF_MODEL_RESIDUAL]]-PTF_Credit_Adj*tblCalculation[[#This Row],[PtfDTSWeight]]</f>
        <v>-3.3531999999999999E-6</v>
      </c>
      <c r="AB3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3" s="16">
        <f>tblBOneExport[[#This Row],[BMK_WEIGHT]]</f>
        <v>0</v>
      </c>
      <c r="AD3" s="78">
        <f>tblCalculation[[#This Row],[FIAttributable]]*SUMIFS(tblDTS[DTSContribution_BM],tblDTS[ISIN],tblCalculation[[#This Row],[ISIN]])</f>
        <v>7.513892599152884E-2</v>
      </c>
      <c r="AE3" s="16">
        <f>IF(SUM(tblCalculation[BMKDTS])=0,0,tblCalculation[[#This Row],[BMKDTS]]/SUM(tblCalculation[BMKDTS]))</f>
        <v>8.9302824731148835E-3</v>
      </c>
      <c r="AF3" s="16">
        <f>tblBOneExport[[#This Row],[BMK_CONTRIBUTION]]</f>
        <v>0</v>
      </c>
      <c r="AG3" s="16">
        <f>tblCalculation[[#This Row],[BMKContributionBase]]-tblBOneExport[BMK_SPOT_CCY_RETURN]-tblBOneExport[[#This Row],[BMK_CROSS_EFFECT]]</f>
        <v>0</v>
      </c>
      <c r="AH3" s="16">
        <f>tblCalculation[[#This Row],[FIAttributable]]*(tblBOneExport[[#This Row],[BMK_RETURN_GOV_CARRY]])</f>
        <v>0</v>
      </c>
      <c r="AI3" s="16">
        <f>tblCalculation[[#This Row],[FIAttributable]]*tblBOneExport[[#This Row],[BMK_CREDIT_CARRY]]</f>
        <v>0</v>
      </c>
      <c r="AJ3" s="16">
        <f>tblCalculation[[#This Row],[FIAttributable]]*tblBOneExport[[#This Row],[BMK_TOTAL_CURVE]]</f>
        <v>0</v>
      </c>
      <c r="AK3" s="16">
        <f>tblCalculation[[#This Row],[FIAttributable]]*(tblBOneExport[[#This Row],[BMK_TOTAL_SPREAD]]+BMK_Credit_Adj*tblCalculation[[#This Row],[BmkDTSWeight]])</f>
        <v>0</v>
      </c>
      <c r="AL3" s="16">
        <f>tblCalculation[[#This Row],[FIAttributable]]*tblBOneExport[[#This Row],[BMK_MODEL_RESIDUAL]]-BMK_Credit_Adj*tblCalculation[[#This Row],[BmkDTSWeight]]</f>
        <v>0</v>
      </c>
      <c r="AM3" s="16">
        <f>IF(tblCalculation[[#This Row],[Level3]]="Forward Contracts",tblCalculation[[#This Row],[BMKContributionLocal]],0)</f>
        <v>0</v>
      </c>
      <c r="AN3" s="16">
        <f>tblBOneExport[[#This Row],[BMK_SPOT_CCY_RETURN]]+tblBOneExport[[#This Row],[BMK_CROSS_EFFECT]]</f>
        <v>0</v>
      </c>
    </row>
    <row r="4" spans="2:40" x14ac:dyDescent="0.25">
      <c r="E4" s="7" t="str">
        <f>tblBOneExport[[#This Row],[INSTRUMENT_CODE]]</f>
        <v>B7MC8T7</v>
      </c>
      <c r="F4" s="7" t="str">
        <f>tblBOneExport[[#This Row],[INSTRUMENT]]</f>
        <v>SIEMENS FINAN 2.75 10/09/25 EMTN</v>
      </c>
      <c r="G4" s="7" t="str">
        <f>IF(tblBOneExport[[#This Row],[ISIN]]&lt;&gt;"", tblBOneExport[[#This Row],[ISIN]],"")</f>
        <v>DE000A1G85C2</v>
      </c>
      <c r="H4" s="7" t="str">
        <f>IF(tblCalculation[[#This Row],[B1Level2]]="CDS",tblBOneExport[[#This Row],[B1_TICKER]],IF(tblCalculation[[#This Row],[ISIN]]="","",INDEX(tblGetStaticData[Ticker],MATCH(tblCalculation[[#This Row],[ISIN]],tblGetStaticData[ISIN],0))))</f>
        <v>SIEGR</v>
      </c>
      <c r="I4" s="7" t="str">
        <f>IF(tblBOneExport[[#This Row],[INSTRUMENT_TYPE]]="Forward Contract","Forward Contract",tblBOneExport[LEVEL2])</f>
        <v>Corporates</v>
      </c>
      <c r="J4" s="7" t="str">
        <f>IF(tblBOneExport[[#This Row],[INSTRUMENT_TYPE]]="Forward Contract","Forward Contract",tblBOneExport[[#This Row],[LEVEL3]])</f>
        <v>Industrials</v>
      </c>
      <c r="K4" s="7" t="str">
        <f>INDEX(tblLvl2Mapping[],MATCH(tblCalculation[[#This Row],[B1Level2]]&amp;"_"&amp;tblCalculation[[#This Row],[B1Level3]],tblLvl2Mapping[B1Level2_B1Level3],0),2)</f>
        <v>Corporate</v>
      </c>
      <c r="L4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4" s="7">
        <f>INDEX(tblAttributable[],MATCH(tblCalculation[[#This Row],[Level3]],tblAttributable[Level3],0),2)</f>
        <v>1</v>
      </c>
      <c r="N4" s="16">
        <f>tblBOneExport[[#This Row],[PTF_WEIGHT]]</f>
        <v>1.0386029499999999E-2</v>
      </c>
      <c r="O4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3.3231548000161031E-2</v>
      </c>
      <c r="P4" s="48">
        <f>tblCalculation[[#This Row],[PtfDTS]]/SUM(tblCalculation[PtfDTS])</f>
        <v>4.0300656721732227E-3</v>
      </c>
      <c r="Q4" s="16">
        <f>tblBOneExport[[#This Row],[PTF_CONTRIBUTION]]</f>
        <v>1.4648880000000001E-4</v>
      </c>
      <c r="R4" s="16">
        <f>tblCalculation[[#This Row],[PtfContributionBase]]-tblCalculation[[#This Row],[PtfCurrencyReturn]]</f>
        <v>1.4648880000000001E-4</v>
      </c>
      <c r="S4" s="16">
        <f>IF(tblBOneExport[[#This Row],[LEVEL1]]="Bonds",tblBOneExport[[#This Row],[PTF_GOV_CARRY]],"")</f>
        <v>7.6754999999999996E-6</v>
      </c>
      <c r="T4" s="16">
        <f>tblCalculation[[#This Row],[FIAttributable]]*tblBOneExport[[#This Row],[PTF_CREDIT_CARRY]]</f>
        <v>5.3662000000000004E-6</v>
      </c>
      <c r="U4" s="16">
        <f>tblCalculation[[#This Row],[FIAttributable]]*tblBOneExport[[#This Row],[PTF_TOTAL_CURVE]]</f>
        <v>1.4811760000000001E-4</v>
      </c>
      <c r="V4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-1.9242E-5</v>
      </c>
      <c r="W4" s="16">
        <f>IF(AND(tblCalculation[[#This Row],[Level3]]="Forward Contracts",tblBOneExport[[#This Row],[PTF_COST_OF_CARRY]]=0),tblBOneExport[[#This Row],[PTF_VALUATION]],0)</f>
        <v>0</v>
      </c>
      <c r="X4" s="16">
        <f>SUM(tblCalculation[[#This Row],[PtfTrading]:[PtfModelRes]])</f>
        <v>4.5715000000000002E-6</v>
      </c>
      <c r="Y4" s="16">
        <f>tblCalculation[[#This Row],[FIAttributable]]*tblBOneExport[[#This Row],[PTF_TRADING]]</f>
        <v>0</v>
      </c>
      <c r="Z4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4" s="16">
        <f>tblCalculation[[#This Row],[FIAttributable]]*tblBOneExport[[#This Row],[PTF_MODEL_RESIDUAL]]-PTF_Credit_Adj*tblCalculation[[#This Row],[PtfDTSWeight]]</f>
        <v>4.5715000000000002E-6</v>
      </c>
      <c r="AB4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4" s="16">
        <f>tblBOneExport[[#This Row],[BMK_WEIGHT]]</f>
        <v>0</v>
      </c>
      <c r="AD4" s="78">
        <f>tblCalculation[[#This Row],[FIAttributable]]*SUMIFS(tblDTS[DTSContribution_BM],tblDTS[ISIN],tblCalculation[[#This Row],[ISIN]])</f>
        <v>3.728186509982051E-2</v>
      </c>
      <c r="AE4" s="16">
        <f>IF(SUM(tblCalculation[BMKDTS])=0,0,tblCalculation[[#This Row],[BMKDTS]]/SUM(tblCalculation[BMKDTS]))</f>
        <v>4.4309601457904252E-3</v>
      </c>
      <c r="AF4" s="16">
        <f>tblBOneExport[[#This Row],[BMK_CONTRIBUTION]]</f>
        <v>0</v>
      </c>
      <c r="AG4" s="16">
        <f>tblCalculation[[#This Row],[BMKContributionBase]]-tblBOneExport[BMK_SPOT_CCY_RETURN]-tblBOneExport[[#This Row],[BMK_CROSS_EFFECT]]</f>
        <v>0</v>
      </c>
      <c r="AH4" s="16">
        <f>tblCalculation[[#This Row],[FIAttributable]]*(tblBOneExport[[#This Row],[BMK_RETURN_GOV_CARRY]])</f>
        <v>0</v>
      </c>
      <c r="AI4" s="16">
        <f>tblCalculation[[#This Row],[FIAttributable]]*tblBOneExport[[#This Row],[BMK_CREDIT_CARRY]]</f>
        <v>0</v>
      </c>
      <c r="AJ4" s="16">
        <f>tblCalculation[[#This Row],[FIAttributable]]*tblBOneExport[[#This Row],[BMK_TOTAL_CURVE]]</f>
        <v>0</v>
      </c>
      <c r="AK4" s="16">
        <f>tblCalculation[[#This Row],[FIAttributable]]*(tblBOneExport[[#This Row],[BMK_TOTAL_SPREAD]]+BMK_Credit_Adj*tblCalculation[[#This Row],[BmkDTSWeight]])</f>
        <v>0</v>
      </c>
      <c r="AL4" s="16">
        <f>tblCalculation[[#This Row],[FIAttributable]]*tblBOneExport[[#This Row],[BMK_MODEL_RESIDUAL]]-BMK_Credit_Adj*tblCalculation[[#This Row],[BmkDTSWeight]]</f>
        <v>0</v>
      </c>
      <c r="AM4" s="16">
        <f>IF(tblCalculation[[#This Row],[Level3]]="Forward Contracts",tblCalculation[[#This Row],[BMKContributionLocal]],0)</f>
        <v>0</v>
      </c>
      <c r="AN4" s="16">
        <f>tblBOneExport[[#This Row],[BMK_SPOT_CCY_RETURN]]+tblBOneExport[[#This Row],[BMK_CROSS_EFFECT]]</f>
        <v>0</v>
      </c>
    </row>
    <row r="5" spans="2:40" x14ac:dyDescent="0.25">
      <c r="E5" s="7" t="str">
        <f>tblBOneExport[[#This Row],[INSTRUMENT_CODE]]</f>
        <v>B8N14J2</v>
      </c>
      <c r="F5" s="7" t="str">
        <f>tblBOneExport[[#This Row],[INSTRUMENT]]</f>
        <v>SIEMENS FINAN 3.75 10/09/42 EMTN</v>
      </c>
      <c r="G5" s="7" t="str">
        <f>IF(tblBOneExport[[#This Row],[ISIN]]&lt;&gt;"", tblBOneExport[[#This Row],[ISIN]],"")</f>
        <v>DE000A1G85D0</v>
      </c>
      <c r="H5" s="7" t="str">
        <f>IF(tblCalculation[[#This Row],[B1Level2]]="CDS",tblBOneExport[[#This Row],[B1_TICKER]],IF(tblCalculation[[#This Row],[ISIN]]="","",INDEX(tblGetStaticData[Ticker],MATCH(tblCalculation[[#This Row],[ISIN]],tblGetStaticData[ISIN],0))))</f>
        <v>SIEGR</v>
      </c>
      <c r="I5" s="7" t="str">
        <f>IF(tblBOneExport[[#This Row],[INSTRUMENT_TYPE]]="Forward Contract","Forward Contract",tblBOneExport[LEVEL2])</f>
        <v>Corporates</v>
      </c>
      <c r="J5" s="7" t="str">
        <f>IF(tblBOneExport[[#This Row],[INSTRUMENT_TYPE]]="Forward Contract","Forward Contract",tblBOneExport[[#This Row],[LEVEL3]])</f>
        <v>Industrials</v>
      </c>
      <c r="K5" s="7" t="str">
        <f>INDEX(tblLvl2Mapping[],MATCH(tblCalculation[[#This Row],[B1Level2]]&amp;"_"&amp;tblCalculation[[#This Row],[B1Level3]],tblLvl2Mapping[B1Level2_B1Level3],0),2)</f>
        <v>Corporate</v>
      </c>
      <c r="L5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5" s="7">
        <f>INDEX(tblAttributable[],MATCH(tblCalculation[[#This Row],[Level3]],tblAttributable[Level3],0),2)</f>
        <v>1</v>
      </c>
      <c r="N5" s="16">
        <f>tblBOneExport[[#This Row],[PTF_WEIGHT]]</f>
        <v>3.5413478000000001E-3</v>
      </c>
      <c r="O5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5.98489507070799E-2</v>
      </c>
      <c r="P5" s="48">
        <f>tblCalculation[[#This Row],[PtfDTS]]/SUM(tblCalculation[PtfDTS])</f>
        <v>7.2580188488066003E-3</v>
      </c>
      <c r="Q5" s="16">
        <f>tblBOneExport[[#This Row],[PTF_CONTRIBUTION]]</f>
        <v>9.3913900000000002E-5</v>
      </c>
      <c r="R5" s="16">
        <f>tblCalculation[[#This Row],[PtfContributionBase]]-tblCalculation[[#This Row],[PtfCurrencyReturn]]</f>
        <v>9.3913900000000002E-5</v>
      </c>
      <c r="S5" s="16">
        <f>IF(tblBOneExport[[#This Row],[LEVEL1]]="Bonds",tblBOneExport[[#This Row],[PTF_GOV_CARRY]],"")</f>
        <v>5.2455E-6</v>
      </c>
      <c r="T5" s="16">
        <f>tblCalculation[[#This Row],[FIAttributable]]*tblBOneExport[[#This Row],[PTF_CREDIT_CARRY]]</f>
        <v>2.1658000000000001E-6</v>
      </c>
      <c r="U5" s="16">
        <f>tblCalculation[[#This Row],[FIAttributable]]*tblBOneExport[[#This Row],[PTF_TOTAL_CURVE]]</f>
        <v>9.7036399999999998E-5</v>
      </c>
      <c r="V5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-1.2311699999999999E-5</v>
      </c>
      <c r="W5" s="16">
        <f>IF(AND(tblCalculation[[#This Row],[Level3]]="Forward Contracts",tblBOneExport[[#This Row],[PTF_COST_OF_CARRY]]=0),tblBOneExport[[#This Row],[PTF_VALUATION]],0)</f>
        <v>0</v>
      </c>
      <c r="X5" s="16">
        <f>SUM(tblCalculation[[#This Row],[PtfTrading]:[PtfModelRes]])</f>
        <v>1.778E-6</v>
      </c>
      <c r="Y5" s="16">
        <f>tblCalculation[[#This Row],[FIAttributable]]*tblBOneExport[[#This Row],[PTF_TRADING]]</f>
        <v>0</v>
      </c>
      <c r="Z5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5" s="16">
        <f>tblCalculation[[#This Row],[FIAttributable]]*tblBOneExport[[#This Row],[PTF_MODEL_RESIDUAL]]-PTF_Credit_Adj*tblCalculation[[#This Row],[PtfDTSWeight]]</f>
        <v>1.778E-6</v>
      </c>
      <c r="AB5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5" s="16">
        <f>tblBOneExport[[#This Row],[BMK_WEIGHT]]</f>
        <v>0</v>
      </c>
      <c r="AD5" s="78">
        <f>tblCalculation[[#This Row],[FIAttributable]]*SUMIFS(tblDTS[DTSContribution_BM],tblDTS[ISIN],tblCalculation[[#This Row],[ISIN]])</f>
        <v>6.5828125581077632E-2</v>
      </c>
      <c r="AE5" s="16">
        <f>IF(SUM(tblCalculation[BMKDTS])=0,0,tblCalculation[[#This Row],[BMKDTS]]/SUM(tblCalculation[BMKDTS]))</f>
        <v>7.8236912273803166E-3</v>
      </c>
      <c r="AF5" s="16">
        <f>tblBOneExport[[#This Row],[BMK_CONTRIBUTION]]</f>
        <v>0</v>
      </c>
      <c r="AG5" s="16">
        <f>tblCalculation[[#This Row],[BMKContributionBase]]-tblBOneExport[BMK_SPOT_CCY_RETURN]-tblBOneExport[[#This Row],[BMK_CROSS_EFFECT]]</f>
        <v>0</v>
      </c>
      <c r="AH5" s="16">
        <f>tblCalculation[[#This Row],[FIAttributable]]*(tblBOneExport[[#This Row],[BMK_RETURN_GOV_CARRY]])</f>
        <v>0</v>
      </c>
      <c r="AI5" s="16">
        <f>tblCalculation[[#This Row],[FIAttributable]]*tblBOneExport[[#This Row],[BMK_CREDIT_CARRY]]</f>
        <v>0</v>
      </c>
      <c r="AJ5" s="16">
        <f>tblCalculation[[#This Row],[FIAttributable]]*tblBOneExport[[#This Row],[BMK_TOTAL_CURVE]]</f>
        <v>0</v>
      </c>
      <c r="AK5" s="16">
        <f>tblCalculation[[#This Row],[FIAttributable]]*(tblBOneExport[[#This Row],[BMK_TOTAL_SPREAD]]+BMK_Credit_Adj*tblCalculation[[#This Row],[BmkDTSWeight]])</f>
        <v>0</v>
      </c>
      <c r="AL5" s="16">
        <f>tblCalculation[[#This Row],[FIAttributable]]*tblBOneExport[[#This Row],[BMK_MODEL_RESIDUAL]]-BMK_Credit_Adj*tblCalculation[[#This Row],[BmkDTSWeight]]</f>
        <v>0</v>
      </c>
      <c r="AM5" s="16">
        <f>IF(tblCalculation[[#This Row],[Level3]]="Forward Contracts",tblCalculation[[#This Row],[BMKContributionLocal]],0)</f>
        <v>0</v>
      </c>
      <c r="AN5" s="16">
        <f>tblBOneExport[[#This Row],[BMK_SPOT_CCY_RETURN]]+tblBOneExport[[#This Row],[BMK_CROSS_EFFECT]]</f>
        <v>0</v>
      </c>
    </row>
    <row r="6" spans="2:40" x14ac:dyDescent="0.25">
      <c r="E6" s="7" t="str">
        <f>tblBOneExport[[#This Row],[INSTRUMENT_CODE]]</f>
        <v>B71RT45</v>
      </c>
      <c r="F6" s="7" t="str">
        <f>tblBOneExport[[#This Row],[INSTRUMENT]]</f>
        <v>ALLIANZ FINANCE 4.5 13/03/43 62</v>
      </c>
      <c r="G6" s="7" t="str">
        <f>IF(tblBOneExport[[#This Row],[ISIN]]&lt;&gt;"", tblBOneExport[[#This Row],[ISIN]],"")</f>
        <v>DE000A1HG1L4</v>
      </c>
      <c r="H6" s="7" t="str">
        <f>IF(tblCalculation[[#This Row],[B1Level2]]="CDS",tblBOneExport[[#This Row],[B1_TICKER]],IF(tblCalculation[[#This Row],[ISIN]]="","",INDEX(tblGetStaticData[Ticker],MATCH(tblCalculation[[#This Row],[ISIN]],tblGetStaticData[ISIN],0))))</f>
        <v>ALVGR</v>
      </c>
      <c r="I6" s="7" t="str">
        <f>IF(tblBOneExport[[#This Row],[INSTRUMENT_TYPE]]="Forward Contract","Forward Contract",tblBOneExport[LEVEL2])</f>
        <v>Corporates</v>
      </c>
      <c r="J6" s="7" t="str">
        <f>IF(tblBOneExport[[#This Row],[INSTRUMENT_TYPE]]="Forward Contract","Forward Contract",tblBOneExport[[#This Row],[LEVEL3]])</f>
        <v>Financial Institutions</v>
      </c>
      <c r="K6" s="7" t="str">
        <f>INDEX(tblLvl2Mapping[],MATCH(tblCalculation[[#This Row],[B1Level2]]&amp;"_"&amp;tblCalculation[[#This Row],[B1Level3]],tblLvl2Mapping[B1Level2_B1Level3],0),2)</f>
        <v>Corporate</v>
      </c>
      <c r="L6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6" s="7">
        <f>INDEX(tblAttributable[],MATCH(tblCalculation[[#This Row],[Level3]],tblAttributable[Level3],0),2)</f>
        <v>1</v>
      </c>
      <c r="N6" s="16">
        <f>tblBOneExport[[#This Row],[PTF_WEIGHT]]</f>
        <v>1.6119133000000001E-3</v>
      </c>
      <c r="O6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2.9025216691416313E-2</v>
      </c>
      <c r="P6" s="48">
        <f>tblCalculation[[#This Row],[PtfDTS]]/SUM(tblCalculation[PtfDTS])</f>
        <v>3.5199542740199556E-3</v>
      </c>
      <c r="Q6" s="16">
        <f>tblBOneExport[[#This Row],[PTF_CONTRIBUTION]]</f>
        <v>2.5242400000000001E-5</v>
      </c>
      <c r="R6" s="16">
        <f>tblCalculation[[#This Row],[PtfContributionBase]]-tblCalculation[[#This Row],[PtfCurrencyReturn]]</f>
        <v>2.5242400000000001E-5</v>
      </c>
      <c r="S6" s="16">
        <f>IF(tblBOneExport[[#This Row],[LEVEL1]]="Bonds",tblBOneExport[[#This Row],[PTF_GOV_CARRY]],"")</f>
        <v>2.3848E-6</v>
      </c>
      <c r="T6" s="16">
        <f>tblCalculation[[#This Row],[FIAttributable]]*tblBOneExport[[#This Row],[PTF_CREDIT_CARRY]]</f>
        <v>1.0762E-6</v>
      </c>
      <c r="U6" s="16">
        <f>tblCalculation[[#This Row],[FIAttributable]]*tblBOneExport[[#This Row],[PTF_TOTAL_CURVE]]</f>
        <v>4.3885899999999999E-5</v>
      </c>
      <c r="V6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-1.1027500000000001E-5</v>
      </c>
      <c r="W6" s="16">
        <f>IF(AND(tblCalculation[[#This Row],[Level3]]="Forward Contracts",tblBOneExport[[#This Row],[PTF_COST_OF_CARRY]]=0),tblBOneExport[[#This Row],[PTF_VALUATION]],0)</f>
        <v>0</v>
      </c>
      <c r="X6" s="16">
        <f>SUM(tblCalculation[[#This Row],[PtfTrading]:[PtfModelRes]])</f>
        <v>-1.1077000000000001E-5</v>
      </c>
      <c r="Y6" s="16">
        <f>tblCalculation[[#This Row],[FIAttributable]]*tblBOneExport[[#This Row],[PTF_TRADING]]</f>
        <v>0</v>
      </c>
      <c r="Z6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6" s="16">
        <f>tblCalculation[[#This Row],[FIAttributable]]*tblBOneExport[[#This Row],[PTF_MODEL_RESIDUAL]]-PTF_Credit_Adj*tblCalculation[[#This Row],[PtfDTSWeight]]</f>
        <v>-1.1077000000000001E-5</v>
      </c>
      <c r="AB6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6" s="16">
        <f>tblBOneExport[[#This Row],[BMK_WEIGHT]]</f>
        <v>0</v>
      </c>
      <c r="AD6" s="78">
        <f>tblCalculation[[#This Row],[FIAttributable]]*SUMIFS(tblDTS[DTSContribution_BM],tblDTS[ISIN],tblCalculation[[#This Row],[ISIN]])</f>
        <v>3.831130796635699E-2</v>
      </c>
      <c r="AE6" s="16">
        <f>IF(SUM(tblCalculation[BMKDTS])=0,0,tblCalculation[[#This Row],[BMKDTS]]/SUM(tblCalculation[BMKDTS]))</f>
        <v>4.5533097198200067E-3</v>
      </c>
      <c r="AF6" s="16">
        <f>tblBOneExport[[#This Row],[BMK_CONTRIBUTION]]</f>
        <v>0</v>
      </c>
      <c r="AG6" s="16">
        <f>tblCalculation[[#This Row],[BMKContributionBase]]-tblBOneExport[BMK_SPOT_CCY_RETURN]-tblBOneExport[[#This Row],[BMK_CROSS_EFFECT]]</f>
        <v>0</v>
      </c>
      <c r="AH6" s="16">
        <f>tblCalculation[[#This Row],[FIAttributable]]*(tblBOneExport[[#This Row],[BMK_RETURN_GOV_CARRY]])</f>
        <v>0</v>
      </c>
      <c r="AI6" s="16">
        <f>tblCalculation[[#This Row],[FIAttributable]]*tblBOneExport[[#This Row],[BMK_CREDIT_CARRY]]</f>
        <v>0</v>
      </c>
      <c r="AJ6" s="16">
        <f>tblCalculation[[#This Row],[FIAttributable]]*tblBOneExport[[#This Row],[BMK_TOTAL_CURVE]]</f>
        <v>0</v>
      </c>
      <c r="AK6" s="16">
        <f>tblCalculation[[#This Row],[FIAttributable]]*(tblBOneExport[[#This Row],[BMK_TOTAL_SPREAD]]+BMK_Credit_Adj*tblCalculation[[#This Row],[BmkDTSWeight]])</f>
        <v>0</v>
      </c>
      <c r="AL6" s="16">
        <f>tblCalculation[[#This Row],[FIAttributable]]*tblBOneExport[[#This Row],[BMK_MODEL_RESIDUAL]]-BMK_Credit_Adj*tblCalculation[[#This Row],[BmkDTSWeight]]</f>
        <v>0</v>
      </c>
      <c r="AM6" s="16">
        <f>IF(tblCalculation[[#This Row],[Level3]]="Forward Contracts",tblCalculation[[#This Row],[BMKContributionLocal]],0)</f>
        <v>0</v>
      </c>
      <c r="AN6" s="16">
        <f>tblBOneExport[[#This Row],[BMK_SPOT_CCY_RETURN]]+tblBOneExport[[#This Row],[BMK_CROSS_EFFECT]]</f>
        <v>0</v>
      </c>
    </row>
    <row r="7" spans="2:40" x14ac:dyDescent="0.25">
      <c r="E7" s="7" t="str">
        <f>tblBOneExport[[#This Row],[INSTRUMENT_CODE]]</f>
        <v>BSP5ZF5</v>
      </c>
      <c r="F7" s="7" t="str">
        <f>tblBOneExport[[#This Row],[INSTRUMENT]]</f>
        <v>BMW US CAP LLC 2 20/11/19 EMTN</v>
      </c>
      <c r="G7" s="7" t="str">
        <f>IF(tblBOneExport[[#This Row],[ISIN]]&lt;&gt;"", tblBOneExport[[#This Row],[ISIN]],"")</f>
        <v>DE000A1ZSQC7</v>
      </c>
      <c r="H7" s="7" t="str">
        <f>IF(tblCalculation[[#This Row],[B1Level2]]="CDS",tblBOneExport[[#This Row],[B1_TICKER]],IF(tblCalculation[[#This Row],[ISIN]]="","",INDEX(tblGetStaticData[Ticker],MATCH(tblCalculation[[#This Row],[ISIN]],tblGetStaticData[ISIN],0))))</f>
        <v>BMW</v>
      </c>
      <c r="I7" s="7" t="str">
        <f>IF(tblBOneExport[[#This Row],[INSTRUMENT_TYPE]]="Forward Contract","Forward Contract",tblBOneExport[LEVEL2])</f>
        <v>Corporates</v>
      </c>
      <c r="J7" s="7" t="str">
        <f>IF(tblBOneExport[[#This Row],[INSTRUMENT_TYPE]]="Forward Contract","Forward Contract",tblBOneExport[[#This Row],[LEVEL3]])</f>
        <v>Industrials</v>
      </c>
      <c r="K7" s="7" t="str">
        <f>INDEX(tblLvl2Mapping[],MATCH(tblCalculation[[#This Row],[B1Level2]]&amp;"_"&amp;tblCalculation[[#This Row],[B1Level3]],tblLvl2Mapping[B1Level2_B1Level3],0),2)</f>
        <v>Corporate</v>
      </c>
      <c r="L7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7" s="7">
        <f>INDEX(tblAttributable[],MATCH(tblCalculation[[#This Row],[Level3]],tblAttributable[Level3],0),2)</f>
        <v>1</v>
      </c>
      <c r="N7" s="16">
        <f>tblBOneExport[[#This Row],[PTF_WEIGHT]]</f>
        <v>1.8033999999999999E-3</v>
      </c>
      <c r="O7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1.6163361408690071E-3</v>
      </c>
      <c r="P7" s="48">
        <f>tblCalculation[[#This Row],[PtfDTS]]/SUM(tblCalculation[PtfDTS])</f>
        <v>1.9601677285624984E-4</v>
      </c>
      <c r="Q7" s="16">
        <f>tblBOneExport[[#This Row],[PTF_CONTRIBUTION]]</f>
        <v>4.6448E-6</v>
      </c>
      <c r="R7" s="16">
        <f>tblCalculation[[#This Row],[PtfContributionBase]]-tblCalculation[[#This Row],[PtfCurrencyReturn]]</f>
        <v>4.6448E-6</v>
      </c>
      <c r="S7" s="16">
        <f>IF(tblBOneExport[[#This Row],[LEVEL1]]="Bonds",tblBOneExport[[#This Row],[PTF_GOV_CARRY]],"")</f>
        <v>3.3929999999999997E-7</v>
      </c>
      <c r="T7" s="16">
        <f>tblCalculation[[#This Row],[FIAttributable]]*tblBOneExport[[#This Row],[PTF_CREDIT_CARRY]]</f>
        <v>1.0414000000000001E-6</v>
      </c>
      <c r="U7" s="16">
        <f>tblCalculation[[#This Row],[FIAttributable]]*tblBOneExport[[#This Row],[PTF_TOTAL_CURVE]]</f>
        <v>4.0818999999999998E-6</v>
      </c>
      <c r="V7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-4.017E-7</v>
      </c>
      <c r="W7" s="16">
        <f>IF(AND(tblCalculation[[#This Row],[Level3]]="Forward Contracts",tblBOneExport[[#This Row],[PTF_COST_OF_CARRY]]=0),tblBOneExport[[#This Row],[PTF_VALUATION]],0)</f>
        <v>0</v>
      </c>
      <c r="X7" s="16">
        <f>SUM(tblCalculation[[#This Row],[PtfTrading]:[PtfModelRes]])</f>
        <v>-4.1609999999999997E-7</v>
      </c>
      <c r="Y7" s="16">
        <f>tblCalculation[[#This Row],[FIAttributable]]*tblBOneExport[[#This Row],[PTF_TRADING]]</f>
        <v>0</v>
      </c>
      <c r="Z7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7" s="16">
        <f>tblCalculation[[#This Row],[FIAttributable]]*tblBOneExport[[#This Row],[PTF_MODEL_RESIDUAL]]-PTF_Credit_Adj*tblCalculation[[#This Row],[PtfDTSWeight]]</f>
        <v>-4.1609999999999997E-7</v>
      </c>
      <c r="AB7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7" s="16">
        <f>tblBOneExport[[#This Row],[BMK_WEIGHT]]</f>
        <v>0</v>
      </c>
      <c r="AD7" s="78">
        <f>tblCalculation[[#This Row],[FIAttributable]]*SUMIFS(tblDTS[DTSContribution_BM],tblDTS[ISIN],tblCalculation[[#This Row],[ISIN]])</f>
        <v>2.1332816706465967E-3</v>
      </c>
      <c r="AE7" s="16">
        <f>IF(SUM(tblCalculation[BMKDTS])=0,0,tblCalculation[[#This Row],[BMKDTS]]/SUM(tblCalculation[BMKDTS]))</f>
        <v>2.5354112614998421E-4</v>
      </c>
      <c r="AF7" s="16">
        <f>tblBOneExport[[#This Row],[BMK_CONTRIBUTION]]</f>
        <v>0</v>
      </c>
      <c r="AG7" s="16">
        <f>tblCalculation[[#This Row],[BMKContributionBase]]-tblBOneExport[BMK_SPOT_CCY_RETURN]-tblBOneExport[[#This Row],[BMK_CROSS_EFFECT]]</f>
        <v>0</v>
      </c>
      <c r="AH7" s="16">
        <f>tblCalculation[[#This Row],[FIAttributable]]*(tblBOneExport[[#This Row],[BMK_RETURN_GOV_CARRY]])</f>
        <v>0</v>
      </c>
      <c r="AI7" s="16">
        <f>tblCalculation[[#This Row],[FIAttributable]]*tblBOneExport[[#This Row],[BMK_CREDIT_CARRY]]</f>
        <v>0</v>
      </c>
      <c r="AJ7" s="16">
        <f>tblCalculation[[#This Row],[FIAttributable]]*tblBOneExport[[#This Row],[BMK_TOTAL_CURVE]]</f>
        <v>0</v>
      </c>
      <c r="AK7" s="16">
        <f>tblCalculation[[#This Row],[FIAttributable]]*(tblBOneExport[[#This Row],[BMK_TOTAL_SPREAD]]+BMK_Credit_Adj*tblCalculation[[#This Row],[BmkDTSWeight]])</f>
        <v>0</v>
      </c>
      <c r="AL7" s="16">
        <f>tblCalculation[[#This Row],[FIAttributable]]*tblBOneExport[[#This Row],[BMK_MODEL_RESIDUAL]]-BMK_Credit_Adj*tblCalculation[[#This Row],[BmkDTSWeight]]</f>
        <v>0</v>
      </c>
      <c r="AM7" s="16">
        <f>IF(tblCalculation[[#This Row],[Level3]]="Forward Contracts",tblCalculation[[#This Row],[BMKContributionLocal]],0)</f>
        <v>0</v>
      </c>
      <c r="AN7" s="16">
        <f>tblBOneExport[[#This Row],[BMK_SPOT_CCY_RETURN]]+tblBOneExport[[#This Row],[BMK_CROSS_EFFECT]]</f>
        <v>0</v>
      </c>
    </row>
    <row r="8" spans="2:40" x14ac:dyDescent="0.25">
      <c r="E8" s="7" t="str">
        <f>tblBOneExport[[#This Row],[INSTRUMENT_CODE]]</f>
        <v>S00181770</v>
      </c>
      <c r="F8" s="7" t="str">
        <f>tblBOneExport[[#This Row],[INSTRUMENT]]</f>
        <v>FRANCE TELECOM 7.25 10/11/20 EMTN</v>
      </c>
      <c r="G8" s="7" t="str">
        <f>IF(tblBOneExport[[#This Row],[ISIN]]&lt;&gt;"", tblBOneExport[[#This Row],[ISIN]],"")</f>
        <v>FR0000483687</v>
      </c>
      <c r="H8" s="7" t="str">
        <f>IF(tblCalculation[[#This Row],[B1Level2]]="CDS",tblBOneExport[[#This Row],[B1_TICKER]],IF(tblCalculation[[#This Row],[ISIN]]="","",INDEX(tblGetStaticData[Ticker],MATCH(tblCalculation[[#This Row],[ISIN]],tblGetStaticData[ISIN],0))))</f>
        <v>ORAFP</v>
      </c>
      <c r="I8" s="7" t="str">
        <f>IF(tblBOneExport[[#This Row],[INSTRUMENT_TYPE]]="Forward Contract","Forward Contract",tblBOneExport[LEVEL2])</f>
        <v>Corporates</v>
      </c>
      <c r="J8" s="7" t="str">
        <f>IF(tblBOneExport[[#This Row],[INSTRUMENT_TYPE]]="Forward Contract","Forward Contract",tblBOneExport[[#This Row],[LEVEL3]])</f>
        <v>Industrials</v>
      </c>
      <c r="K8" s="7" t="str">
        <f>INDEX(tblLvl2Mapping[],MATCH(tblCalculation[[#This Row],[B1Level2]]&amp;"_"&amp;tblCalculation[[#This Row],[B1Level3]],tblLvl2Mapping[B1Level2_B1Level3],0),2)</f>
        <v>Corporate</v>
      </c>
      <c r="L8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8" s="7">
        <f>INDEX(tblAttributable[],MATCH(tblCalculation[[#This Row],[Level3]],tblAttributable[Level3],0),2)</f>
        <v>1</v>
      </c>
      <c r="N8" s="16">
        <f>tblBOneExport[[#This Row],[PTF_WEIGHT]]</f>
        <v>1.7412894E-3</v>
      </c>
      <c r="O8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1.6779995464068617E-3</v>
      </c>
      <c r="P8" s="48">
        <f>tblCalculation[[#This Row],[PtfDTS]]/SUM(tblCalculation[PtfDTS])</f>
        <v>2.0349483478361477E-4</v>
      </c>
      <c r="Q8" s="16">
        <f>tblBOneExport[[#This Row],[PTF_CONTRIBUTION]]</f>
        <v>6.4191000000000001E-6</v>
      </c>
      <c r="R8" s="16">
        <f>tblCalculation[[#This Row],[PtfContributionBase]]-tblCalculation[[#This Row],[PtfCurrencyReturn]]</f>
        <v>6.4191000000000001E-6</v>
      </c>
      <c r="S8" s="16">
        <f>IF(tblBOneExport[[#This Row],[LEVEL1]]="Bonds",tblBOneExport[[#This Row],[PTF_GOV_CARRY]],"")</f>
        <v>3.8579999999999997E-7</v>
      </c>
      <c r="T8" s="16">
        <f>tblCalculation[[#This Row],[FIAttributable]]*tblBOneExport[[#This Row],[PTF_CREDIT_CARRY]]</f>
        <v>1.0728999999999999E-6</v>
      </c>
      <c r="U8" s="16">
        <f>tblCalculation[[#This Row],[FIAttributable]]*tblBOneExport[[#This Row],[PTF_TOTAL_CURVE]]</f>
        <v>6.1341000000000003E-6</v>
      </c>
      <c r="V8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-1.0065E-6</v>
      </c>
      <c r="W8" s="16">
        <f>IF(AND(tblCalculation[[#This Row],[Level3]]="Forward Contracts",tblBOneExport[[#This Row],[PTF_COST_OF_CARRY]]=0),tblBOneExport[[#This Row],[PTF_VALUATION]],0)</f>
        <v>0</v>
      </c>
      <c r="X8" s="16">
        <f>SUM(tblCalculation[[#This Row],[PtfTrading]:[PtfModelRes]])</f>
        <v>-1.6710000000000001E-7</v>
      </c>
      <c r="Y8" s="16">
        <f>tblCalculation[[#This Row],[FIAttributable]]*tblBOneExport[[#This Row],[PTF_TRADING]]</f>
        <v>0</v>
      </c>
      <c r="Z8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8" s="16">
        <f>tblCalculation[[#This Row],[FIAttributable]]*tblBOneExport[[#This Row],[PTF_MODEL_RESIDUAL]]-PTF_Credit_Adj*tblCalculation[[#This Row],[PtfDTSWeight]]</f>
        <v>-1.6710000000000001E-7</v>
      </c>
      <c r="AB8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8" s="16">
        <f>tblBOneExport[[#This Row],[BMK_WEIGHT]]</f>
        <v>0</v>
      </c>
      <c r="AD8" s="78">
        <f>tblCalculation[[#This Row],[FIAttributable]]*SUMIFS(tblDTS[DTSContribution_BM],tblDTS[ISIN],tblCalculation[[#This Row],[ISIN]])</f>
        <v>2.2146242596650816E-3</v>
      </c>
      <c r="AE8" s="16">
        <f>IF(SUM(tblCalculation[BMKDTS])=0,0,tblCalculation[[#This Row],[BMKDTS]]/SUM(tblCalculation[BMKDTS]))</f>
        <v>2.6320871571749359E-4</v>
      </c>
      <c r="AF8" s="16">
        <f>tblBOneExport[[#This Row],[BMK_CONTRIBUTION]]</f>
        <v>0</v>
      </c>
      <c r="AG8" s="16">
        <f>tblCalculation[[#This Row],[BMKContributionBase]]-tblBOneExport[BMK_SPOT_CCY_RETURN]-tblBOneExport[[#This Row],[BMK_CROSS_EFFECT]]</f>
        <v>0</v>
      </c>
      <c r="AH8" s="16">
        <f>tblCalculation[[#This Row],[FIAttributable]]*(tblBOneExport[[#This Row],[BMK_RETURN_GOV_CARRY]])</f>
        <v>0</v>
      </c>
      <c r="AI8" s="16">
        <f>tblCalculation[[#This Row],[FIAttributable]]*tblBOneExport[[#This Row],[BMK_CREDIT_CARRY]]</f>
        <v>0</v>
      </c>
      <c r="AJ8" s="16">
        <f>tblCalculation[[#This Row],[FIAttributable]]*tblBOneExport[[#This Row],[BMK_TOTAL_CURVE]]</f>
        <v>0</v>
      </c>
      <c r="AK8" s="16">
        <f>tblCalculation[[#This Row],[FIAttributable]]*(tblBOneExport[[#This Row],[BMK_TOTAL_SPREAD]]+BMK_Credit_Adj*tblCalculation[[#This Row],[BmkDTSWeight]])</f>
        <v>0</v>
      </c>
      <c r="AL8" s="16">
        <f>tblCalculation[[#This Row],[FIAttributable]]*tblBOneExport[[#This Row],[BMK_MODEL_RESIDUAL]]-BMK_Credit_Adj*tblCalculation[[#This Row],[BmkDTSWeight]]</f>
        <v>0</v>
      </c>
      <c r="AM8" s="16">
        <f>IF(tblCalculation[[#This Row],[Level3]]="Forward Contracts",tblCalculation[[#This Row],[BMKContributionLocal]],0)</f>
        <v>0</v>
      </c>
      <c r="AN8" s="16">
        <f>tblBOneExport[[#This Row],[BMK_SPOT_CCY_RETURN]]+tblBOneExport[[#This Row],[BMK_CROSS_EFFECT]]</f>
        <v>0</v>
      </c>
    </row>
    <row r="9" spans="2:40" x14ac:dyDescent="0.25">
      <c r="E9" s="7" t="str">
        <f>tblBOneExport[[#This Row],[INSTRUMENT_CODE]]</f>
        <v>S00498670</v>
      </c>
      <c r="F9" s="7" t="str">
        <f>tblBOneExport[[#This Row],[INSTRUMENT]]</f>
        <v>FRANCE TELECOM 5.625 23/01/34 EMTN</v>
      </c>
      <c r="G9" s="7" t="str">
        <f>IF(tblBOneExport[[#This Row],[ISIN]]&lt;&gt;"", tblBOneExport[[#This Row],[ISIN]],"")</f>
        <v>FR0010039008</v>
      </c>
      <c r="H9" s="7" t="str">
        <f>IF(tblCalculation[[#This Row],[B1Level2]]="CDS",tblBOneExport[[#This Row],[B1_TICKER]],IF(tblCalculation[[#This Row],[ISIN]]="","",INDEX(tblGetStaticData[Ticker],MATCH(tblCalculation[[#This Row],[ISIN]],tblGetStaticData[ISIN],0))))</f>
        <v>ORAFP</v>
      </c>
      <c r="I9" s="7" t="str">
        <f>IF(tblBOneExport[[#This Row],[INSTRUMENT_TYPE]]="Forward Contract","Forward Contract",tblBOneExport[LEVEL2])</f>
        <v>Corporates</v>
      </c>
      <c r="J9" s="7" t="str">
        <f>IF(tblBOneExport[[#This Row],[INSTRUMENT_TYPE]]="Forward Contract","Forward Contract",tblBOneExport[[#This Row],[LEVEL3]])</f>
        <v>Industrials</v>
      </c>
      <c r="K9" s="7" t="str">
        <f>INDEX(tblLvl2Mapping[],MATCH(tblCalculation[[#This Row],[B1Level2]]&amp;"_"&amp;tblCalculation[[#This Row],[B1Level3]],tblLvl2Mapping[B1Level2_B1Level3],0),2)</f>
        <v>Corporate</v>
      </c>
      <c r="L9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9" s="7">
        <f>INDEX(tblAttributable[],MATCH(tblCalculation[[#This Row],[Level3]],tblAttributable[Level3],0),2)</f>
        <v>1</v>
      </c>
      <c r="N9" s="16">
        <f>tblBOneExport[[#This Row],[PTF_WEIGHT]]</f>
        <v>4.0522120000000003E-3</v>
      </c>
      <c r="O9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6.7175912017984826E-2</v>
      </c>
      <c r="P9" s="48">
        <f>tblCalculation[[#This Row],[PtfDTS]]/SUM(tblCalculation[PtfDTS])</f>
        <v>8.1465761697076967E-3</v>
      </c>
      <c r="Q9" s="16">
        <f>tblBOneExport[[#This Row],[PTF_CONTRIBUTION]]</f>
        <v>8.0152099999999994E-5</v>
      </c>
      <c r="R9" s="16">
        <f>tblCalculation[[#This Row],[PtfContributionBase]]-tblCalculation[[#This Row],[PtfCurrencyReturn]]</f>
        <v>8.0152099999999994E-5</v>
      </c>
      <c r="S9" s="16">
        <f>IF(tblBOneExport[[#This Row],[LEVEL1]]="Bonds",tblBOneExport[[#This Row],[PTF_GOV_CARRY]],"")</f>
        <v>5.1708999999999999E-6</v>
      </c>
      <c r="T9" s="16">
        <f>tblCalculation[[#This Row],[FIAttributable]]*tblBOneExport[[#This Row],[PTF_CREDIT_CARRY]]</f>
        <v>4.4417000000000002E-6</v>
      </c>
      <c r="U9" s="16">
        <f>tblCalculation[[#This Row],[FIAttributable]]*tblBOneExport[[#This Row],[PTF_TOTAL_CURVE]]</f>
        <v>6.9516800000000005E-5</v>
      </c>
      <c r="V9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1.5936000000000001E-6</v>
      </c>
      <c r="W9" s="16">
        <f>IF(AND(tblCalculation[[#This Row],[Level3]]="Forward Contracts",tblBOneExport[[#This Row],[PTF_COST_OF_CARRY]]=0),tblBOneExport[[#This Row],[PTF_VALUATION]],0)</f>
        <v>0</v>
      </c>
      <c r="X9" s="16">
        <f>SUM(tblCalculation[[#This Row],[PtfTrading]:[PtfModelRes]])</f>
        <v>-5.708E-7</v>
      </c>
      <c r="Y9" s="16">
        <f>tblCalculation[[#This Row],[FIAttributable]]*tblBOneExport[[#This Row],[PTF_TRADING]]</f>
        <v>0</v>
      </c>
      <c r="Z9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9" s="16">
        <f>tblCalculation[[#This Row],[FIAttributable]]*tblBOneExport[[#This Row],[PTF_MODEL_RESIDUAL]]-PTF_Credit_Adj*tblCalculation[[#This Row],[PtfDTSWeight]]</f>
        <v>-5.708E-7</v>
      </c>
      <c r="AB9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9" s="16">
        <f>tblBOneExport[[#This Row],[BMK_WEIGHT]]</f>
        <v>0</v>
      </c>
      <c r="AD9" s="78">
        <f>tblCalculation[[#This Row],[FIAttributable]]*SUMIFS(tblDTS[DTSContribution_BM],tblDTS[ISIN],tblCalculation[[#This Row],[ISIN]])</f>
        <v>5.3197774270966003E-2</v>
      </c>
      <c r="AE9" s="16">
        <f>IF(SUM(tblCalculation[BMKDTS])=0,0,tblCalculation[[#This Row],[BMKDTS]]/SUM(tblCalculation[BMKDTS]))</f>
        <v>6.322570424207143E-3</v>
      </c>
      <c r="AF9" s="16">
        <f>tblBOneExport[[#This Row],[BMK_CONTRIBUTION]]</f>
        <v>0</v>
      </c>
      <c r="AG9" s="16">
        <f>tblCalculation[[#This Row],[BMKContributionBase]]-tblBOneExport[BMK_SPOT_CCY_RETURN]-tblBOneExport[[#This Row],[BMK_CROSS_EFFECT]]</f>
        <v>0</v>
      </c>
      <c r="AH9" s="16">
        <f>tblCalculation[[#This Row],[FIAttributable]]*(tblBOneExport[[#This Row],[BMK_RETURN_GOV_CARRY]])</f>
        <v>0</v>
      </c>
      <c r="AI9" s="16">
        <f>tblCalculation[[#This Row],[FIAttributable]]*tblBOneExport[[#This Row],[BMK_CREDIT_CARRY]]</f>
        <v>0</v>
      </c>
      <c r="AJ9" s="16">
        <f>tblCalculation[[#This Row],[FIAttributable]]*tblBOneExport[[#This Row],[BMK_TOTAL_CURVE]]</f>
        <v>0</v>
      </c>
      <c r="AK9" s="16">
        <f>tblCalculation[[#This Row],[FIAttributable]]*(tblBOneExport[[#This Row],[BMK_TOTAL_SPREAD]]+BMK_Credit_Adj*tblCalculation[[#This Row],[BmkDTSWeight]])</f>
        <v>0</v>
      </c>
      <c r="AL9" s="16">
        <f>tblCalculation[[#This Row],[FIAttributable]]*tblBOneExport[[#This Row],[BMK_MODEL_RESIDUAL]]-BMK_Credit_Adj*tblCalculation[[#This Row],[BmkDTSWeight]]</f>
        <v>0</v>
      </c>
      <c r="AM9" s="16">
        <f>IF(tblCalculation[[#This Row],[Level3]]="Forward Contracts",tblCalculation[[#This Row],[BMKContributionLocal]],0)</f>
        <v>0</v>
      </c>
      <c r="AN9" s="16">
        <f>tblBOneExport[[#This Row],[BMK_SPOT_CCY_RETURN]]+tblBOneExport[[#This Row],[BMK_CROSS_EFFECT]]</f>
        <v>0</v>
      </c>
    </row>
    <row r="10" spans="2:40" x14ac:dyDescent="0.25">
      <c r="B10" s="16"/>
      <c r="E10" s="7" t="str">
        <f>tblBOneExport[[#This Row],[INSTRUMENT_CODE]]</f>
        <v>S00516293</v>
      </c>
      <c r="F10" s="7" t="str">
        <f>tblBOneExport[[#This Row],[INSTRUMENT]]</f>
        <v>VEOLIA ENVRNMT 6.125 29/10/37 EMTN</v>
      </c>
      <c r="G10" s="7" t="str">
        <f>IF(tblBOneExport[[#This Row],[ISIN]]&lt;&gt;"", tblBOneExport[[#This Row],[ISIN]],"")</f>
        <v>FR0010535567</v>
      </c>
      <c r="H10" s="7" t="str">
        <f>IF(tblCalculation[[#This Row],[B1Level2]]="CDS",tblBOneExport[[#This Row],[B1_TICKER]],IF(tblCalculation[[#This Row],[ISIN]]="","",INDEX(tblGetStaticData[Ticker],MATCH(tblCalculation[[#This Row],[ISIN]],tblGetStaticData[ISIN],0))))</f>
        <v>VIEFP</v>
      </c>
      <c r="I10" s="7" t="str">
        <f>IF(tblBOneExport[[#This Row],[INSTRUMENT_TYPE]]="Forward Contract","Forward Contract",tblBOneExport[LEVEL2])</f>
        <v>Corporates</v>
      </c>
      <c r="J10" s="7" t="str">
        <f>IF(tblBOneExport[[#This Row],[INSTRUMENT_TYPE]]="Forward Contract","Forward Contract",tblBOneExport[[#This Row],[LEVEL3]])</f>
        <v>Utilities</v>
      </c>
      <c r="K10" s="7" t="str">
        <f>INDEX(tblLvl2Mapping[],MATCH(tblCalculation[[#This Row],[B1Level2]]&amp;"_"&amp;tblCalculation[[#This Row],[B1Level3]],tblLvl2Mapping[B1Level2_B1Level3],0),2)</f>
        <v>Corporate</v>
      </c>
      <c r="L10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0" s="7">
        <f>INDEX(tblAttributable[],MATCH(tblCalculation[[#This Row],[Level3]],tblAttributable[Level3],0),2)</f>
        <v>1</v>
      </c>
      <c r="N10" s="16">
        <f>tblBOneExport[[#This Row],[PTF_WEIGHT]]</f>
        <v>5.3720714999999997E-3</v>
      </c>
      <c r="O10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0.1009053987370557</v>
      </c>
      <c r="P10" s="48">
        <f>tblCalculation[[#This Row],[PtfDTS]]/SUM(tblCalculation[PtfDTS])</f>
        <v>1.2237028006796101E-2</v>
      </c>
      <c r="Q10" s="16">
        <f>tblBOneExport[[#This Row],[PTF_CONTRIBUTION]]</f>
        <v>1.2603469999999999E-4</v>
      </c>
      <c r="R10" s="16">
        <f>tblCalculation[[#This Row],[PtfContributionBase]]-tblCalculation[[#This Row],[PtfCurrencyReturn]]</f>
        <v>1.2603469999999999E-4</v>
      </c>
      <c r="S10" s="16">
        <f>IF(tblBOneExport[[#This Row],[LEVEL1]]="Bonds",tblBOneExport[[#This Row],[PTF_GOV_CARRY]],"")</f>
        <v>7.4468999999999998E-6</v>
      </c>
      <c r="T10" s="16">
        <f>tblCalculation[[#This Row],[FIAttributable]]*tblBOneExport[[#This Row],[PTF_CREDIT_CARRY]]</f>
        <v>5.5578999999999998E-6</v>
      </c>
      <c r="U10" s="16">
        <f>tblCalculation[[#This Row],[FIAttributable]]*tblBOneExport[[#This Row],[PTF_TOTAL_CURVE]]</f>
        <v>5.5031999999999998E-5</v>
      </c>
      <c r="V10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5.0486699999999999E-5</v>
      </c>
      <c r="W10" s="16">
        <f>IF(AND(tblCalculation[[#This Row],[Level3]]="Forward Contracts",tblBOneExport[[#This Row],[PTF_COST_OF_CARRY]]=0),tblBOneExport[[#This Row],[PTF_VALUATION]],0)</f>
        <v>0</v>
      </c>
      <c r="X10" s="16">
        <f>SUM(tblCalculation[[#This Row],[PtfTrading]:[PtfModelRes]])</f>
        <v>7.5112000000000002E-6</v>
      </c>
      <c r="Y10" s="16">
        <f>tblCalculation[[#This Row],[FIAttributable]]*tblBOneExport[[#This Row],[PTF_TRADING]]</f>
        <v>0</v>
      </c>
      <c r="Z10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0" s="16">
        <f>tblCalculation[[#This Row],[FIAttributable]]*tblBOneExport[[#This Row],[PTF_MODEL_RESIDUAL]]-PTF_Credit_Adj*tblCalculation[[#This Row],[PtfDTSWeight]]</f>
        <v>7.5112000000000002E-6</v>
      </c>
      <c r="AB10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0" s="16">
        <f>tblBOneExport[[#This Row],[BMK_WEIGHT]]</f>
        <v>0</v>
      </c>
      <c r="AD10" s="78">
        <f>tblCalculation[[#This Row],[FIAttributable]]*SUMIFS(tblDTS[DTSContribution_BM],tblDTS[ISIN],tblCalculation[[#This Row],[ISIN]])</f>
        <v>0.13318310920454055</v>
      </c>
      <c r="AE10" s="16">
        <f>IF(SUM(tblCalculation[BMKDTS])=0,0,tblCalculation[[#This Row],[BMKDTS]]/SUM(tblCalculation[BMKDTS]))</f>
        <v>1.58288499622465E-2</v>
      </c>
      <c r="AF10" s="16">
        <f>tblBOneExport[[#This Row],[BMK_CONTRIBUTION]]</f>
        <v>0</v>
      </c>
      <c r="AG10" s="16">
        <f>tblCalculation[[#This Row],[BMKContributionBase]]-tblBOneExport[BMK_SPOT_CCY_RETURN]-tblBOneExport[[#This Row],[BMK_CROSS_EFFECT]]</f>
        <v>0</v>
      </c>
      <c r="AH10" s="16">
        <f>tblCalculation[[#This Row],[FIAttributable]]*(tblBOneExport[[#This Row],[BMK_RETURN_GOV_CARRY]])</f>
        <v>0</v>
      </c>
      <c r="AI10" s="16">
        <f>tblCalculation[[#This Row],[FIAttributable]]*tblBOneExport[[#This Row],[BMK_CREDIT_CARRY]]</f>
        <v>0</v>
      </c>
      <c r="AJ10" s="16">
        <f>tblCalculation[[#This Row],[FIAttributable]]*tblBOneExport[[#This Row],[BMK_TOTAL_CURVE]]</f>
        <v>0</v>
      </c>
      <c r="AK10" s="16">
        <f>tblCalculation[[#This Row],[FIAttributable]]*(tblBOneExport[[#This Row],[BMK_TOTAL_SPREAD]]+BMK_Credit_Adj*tblCalculation[[#This Row],[BmkDTSWeight]])</f>
        <v>0</v>
      </c>
      <c r="AL10" s="16">
        <f>tblCalculation[[#This Row],[FIAttributable]]*tblBOneExport[[#This Row],[BMK_MODEL_RESIDUAL]]-BMK_Credit_Adj*tblCalculation[[#This Row],[BmkDTSWeight]]</f>
        <v>0</v>
      </c>
      <c r="AM10" s="16">
        <f>IF(tblCalculation[[#This Row],[Level3]]="Forward Contracts",tblCalculation[[#This Row],[BMKContributionLocal]],0)</f>
        <v>0</v>
      </c>
      <c r="AN10" s="16">
        <f>tblBOneExport[[#This Row],[BMK_SPOT_CCY_RETURN]]+tblBOneExport[[#This Row],[BMK_CROSS_EFFECT]]</f>
        <v>0</v>
      </c>
    </row>
    <row r="11" spans="2:40" x14ac:dyDescent="0.25">
      <c r="E11" s="7" t="str">
        <f>tblBOneExport[[#This Row],[INSTRUMENT_CODE]]</f>
        <v>S00686985</v>
      </c>
      <c r="F11" s="7" t="str">
        <f>tblBOneExport[[#This Row],[INSTRUMENT]]</f>
        <v>GDF SUEZ 7 30/10/28 EMTN</v>
      </c>
      <c r="G11" s="7" t="str">
        <f>IF(tblBOneExport[[#This Row],[ISIN]]&lt;&gt;"", tblBOneExport[[#This Row],[ISIN]],"")</f>
        <v>FR0010680041</v>
      </c>
      <c r="H11" s="7" t="str">
        <f>IF(tblCalculation[[#This Row],[B1Level2]]="CDS",tblBOneExport[[#This Row],[B1_TICKER]],IF(tblCalculation[[#This Row],[ISIN]]="","",INDEX(tblGetStaticData[Ticker],MATCH(tblCalculation[[#This Row],[ISIN]],tblGetStaticData[ISIN],0))))</f>
        <v>ENGIFP</v>
      </c>
      <c r="I11" s="7" t="str">
        <f>IF(tblBOneExport[[#This Row],[INSTRUMENT_TYPE]]="Forward Contract","Forward Contract",tblBOneExport[LEVEL2])</f>
        <v>Corporates</v>
      </c>
      <c r="J11" s="7" t="str">
        <f>IF(tblBOneExport[[#This Row],[INSTRUMENT_TYPE]]="Forward Contract","Forward Contract",tblBOneExport[[#This Row],[LEVEL3]])</f>
        <v>Utilities</v>
      </c>
      <c r="K11" s="7" t="str">
        <f>INDEX(tblLvl2Mapping[],MATCH(tblCalculation[[#This Row],[B1Level2]]&amp;"_"&amp;tblCalculation[[#This Row],[B1Level3]],tblLvl2Mapping[B1Level2_B1Level3],0),2)</f>
        <v>Corporate</v>
      </c>
      <c r="L11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1" s="7">
        <f>INDEX(tblAttributable[],MATCH(tblCalculation[[#This Row],[Level3]],tblAttributable[Level3],0),2)</f>
        <v>1</v>
      </c>
      <c r="N11" s="16">
        <f>tblBOneExport[[#This Row],[PTF_WEIGHT]]</f>
        <v>4.2992042000000001E-3</v>
      </c>
      <c r="O11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3.1156061014142443E-2</v>
      </c>
      <c r="P11" s="48">
        <f>tblCalculation[[#This Row],[PtfDTS]]/SUM(tblCalculation[PtfDTS])</f>
        <v>3.7783666283804015E-3</v>
      </c>
      <c r="Q11" s="16">
        <f>tblBOneExport[[#This Row],[PTF_CONTRIBUTION]]</f>
        <v>8.0391700000000005E-5</v>
      </c>
      <c r="R11" s="16">
        <f>tblCalculation[[#This Row],[PtfContributionBase]]-tblCalculation[[#This Row],[PtfCurrencyReturn]]</f>
        <v>8.0391700000000005E-5</v>
      </c>
      <c r="S11" s="16">
        <f>IF(tblBOneExport[[#This Row],[LEVEL1]]="Bonds",tblBOneExport[[#This Row],[PTF_GOV_CARRY]],"")</f>
        <v>4.5542999999999997E-6</v>
      </c>
      <c r="T11" s="16">
        <f>tblCalculation[[#This Row],[FIAttributable]]*tblBOneExport[[#This Row],[PTF_CREDIT_CARRY]]</f>
        <v>2.9457E-6</v>
      </c>
      <c r="U11" s="16">
        <f>tblCalculation[[#This Row],[FIAttributable]]*tblBOneExport[[#This Row],[PTF_TOTAL_CURVE]]</f>
        <v>7.2093800000000004E-5</v>
      </c>
      <c r="V11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-1.1449E-6</v>
      </c>
      <c r="W11" s="16">
        <f>IF(AND(tblCalculation[[#This Row],[Level3]]="Forward Contracts",tblBOneExport[[#This Row],[PTF_COST_OF_CARRY]]=0),tblBOneExport[[#This Row],[PTF_VALUATION]],0)</f>
        <v>0</v>
      </c>
      <c r="X11" s="16">
        <f>SUM(tblCalculation[[#This Row],[PtfTrading]:[PtfModelRes]])</f>
        <v>1.9427000000000001E-6</v>
      </c>
      <c r="Y11" s="16">
        <f>tblCalculation[[#This Row],[FIAttributable]]*tblBOneExport[[#This Row],[PTF_TRADING]]</f>
        <v>0</v>
      </c>
      <c r="Z11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1" s="16">
        <f>tblCalculation[[#This Row],[FIAttributable]]*tblBOneExport[[#This Row],[PTF_MODEL_RESIDUAL]]-PTF_Credit_Adj*tblCalculation[[#This Row],[PtfDTSWeight]]</f>
        <v>1.9427000000000001E-6</v>
      </c>
      <c r="AB11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1" s="16">
        <f>tblBOneExport[[#This Row],[BMK_WEIGHT]]</f>
        <v>0</v>
      </c>
      <c r="AD11" s="78">
        <f>tblCalculation[[#This Row],[FIAttributable]]*SUMIFS(tblDTS[DTSContribution_BM],tblDTS[ISIN],tblCalculation[[#This Row],[ISIN]])</f>
        <v>4.1121089343438826E-2</v>
      </c>
      <c r="AE11" s="16">
        <f>IF(SUM(tblCalculation[BMKDTS])=0,0,tblCalculation[[#This Row],[BMKDTS]]/SUM(tblCalculation[BMKDTS]))</f>
        <v>4.8872530262211045E-3</v>
      </c>
      <c r="AF11" s="16">
        <f>tblBOneExport[[#This Row],[BMK_CONTRIBUTION]]</f>
        <v>0</v>
      </c>
      <c r="AG11" s="16">
        <f>tblCalculation[[#This Row],[BMKContributionBase]]-tblBOneExport[BMK_SPOT_CCY_RETURN]-tblBOneExport[[#This Row],[BMK_CROSS_EFFECT]]</f>
        <v>0</v>
      </c>
      <c r="AH11" s="16">
        <f>tblCalculation[[#This Row],[FIAttributable]]*(tblBOneExport[[#This Row],[BMK_RETURN_GOV_CARRY]])</f>
        <v>0</v>
      </c>
      <c r="AI11" s="16">
        <f>tblCalculation[[#This Row],[FIAttributable]]*tblBOneExport[[#This Row],[BMK_CREDIT_CARRY]]</f>
        <v>0</v>
      </c>
      <c r="AJ11" s="16">
        <f>tblCalculation[[#This Row],[FIAttributable]]*tblBOneExport[[#This Row],[BMK_TOTAL_CURVE]]</f>
        <v>0</v>
      </c>
      <c r="AK11" s="16">
        <f>tblCalculation[[#This Row],[FIAttributable]]*(tblBOneExport[[#This Row],[BMK_TOTAL_SPREAD]]+BMK_Credit_Adj*tblCalculation[[#This Row],[BmkDTSWeight]])</f>
        <v>0</v>
      </c>
      <c r="AL11" s="16">
        <f>tblCalculation[[#This Row],[FIAttributable]]*tblBOneExport[[#This Row],[BMK_MODEL_RESIDUAL]]-BMK_Credit_Adj*tblCalculation[[#This Row],[BmkDTSWeight]]</f>
        <v>0</v>
      </c>
      <c r="AM11" s="16">
        <f>IF(tblCalculation[[#This Row],[Level3]]="Forward Contracts",tblCalculation[[#This Row],[BMKContributionLocal]],0)</f>
        <v>0</v>
      </c>
      <c r="AN11" s="16">
        <f>tblBOneExport[[#This Row],[BMK_SPOT_CCY_RETURN]]+tblBOneExport[[#This Row],[BMK_CROSS_EFFECT]]</f>
        <v>0</v>
      </c>
    </row>
    <row r="12" spans="2:40" x14ac:dyDescent="0.25">
      <c r="B12" s="110"/>
      <c r="C12" s="111"/>
      <c r="D12" s="111"/>
      <c r="E12" s="7" t="str">
        <f>tblBOneExport[[#This Row],[INSTRUMENT_CODE]]</f>
        <v>S00760439</v>
      </c>
      <c r="F12" s="7" t="str">
        <f>tblBOneExport[[#This Row],[INSTRUMENT]]</f>
        <v>ELEC DE FRANCE 6.125 02/06/34 EMTN</v>
      </c>
      <c r="G12" s="7" t="str">
        <f>IF(tblBOneExport[[#This Row],[ISIN]]&lt;&gt;"", tblBOneExport[[#This Row],[ISIN]],"")</f>
        <v>FR0010763177</v>
      </c>
      <c r="H12" s="7" t="str">
        <f>IF(tblCalculation[[#This Row],[B1Level2]]="CDS",tblBOneExport[[#This Row],[B1_TICKER]],IF(tblCalculation[[#This Row],[ISIN]]="","",INDEX(tblGetStaticData[Ticker],MATCH(tblCalculation[[#This Row],[ISIN]],tblGetStaticData[ISIN],0))))</f>
        <v>EDF</v>
      </c>
      <c r="I12" s="7" t="str">
        <f>IF(tblBOneExport[[#This Row],[INSTRUMENT_TYPE]]="Forward Contract","Forward Contract",tblBOneExport[LEVEL2])</f>
        <v>Non-Corporate</v>
      </c>
      <c r="J12" s="7" t="str">
        <f>IF(tblBOneExport[[#This Row],[INSTRUMENT_TYPE]]="Forward Contract","Forward Contract",tblBOneExport[[#This Row],[LEVEL3]])</f>
        <v>Foreign Agency</v>
      </c>
      <c r="K12" s="7" t="str">
        <f>INDEX(tblLvl2Mapping[],MATCH(tblCalculation[[#This Row],[B1Level2]]&amp;"_"&amp;tblCalculation[[#This Row],[B1Level3]],tblLvl2Mapping[B1Level2_B1Level3],0),2)</f>
        <v>Corporate</v>
      </c>
      <c r="L12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2" s="7">
        <f>INDEX(tblAttributable[],MATCH(tblCalculation[[#This Row],[Level3]],tblAttributable[Level3],0),2)</f>
        <v>1</v>
      </c>
      <c r="N12" s="16">
        <f>tblBOneExport[[#This Row],[PTF_WEIGHT]]</f>
        <v>2.4287193999999999E-3</v>
      </c>
      <c r="O12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4.9746500333197705E-2</v>
      </c>
      <c r="P12" s="48">
        <f>tblCalculation[[#This Row],[PtfDTS]]/SUM(tblCalculation[PtfDTS])</f>
        <v>6.0328716345865799E-3</v>
      </c>
      <c r="Q12" s="16">
        <f>tblBOneExport[[#This Row],[PTF_CONTRIBUTION]]</f>
        <v>4.5790300000000001E-5</v>
      </c>
      <c r="R12" s="16">
        <f>tblCalculation[[#This Row],[PtfContributionBase]]-tblCalculation[[#This Row],[PtfCurrencyReturn]]</f>
        <v>4.5790300000000001E-5</v>
      </c>
      <c r="S12" s="16">
        <f>IF(tblBOneExport[[#This Row],[LEVEL1]]="Bonds",tblBOneExport[[#This Row],[PTF_GOV_CARRY]],"")</f>
        <v>3.1151999999999998E-6</v>
      </c>
      <c r="T12" s="16">
        <f>tblCalculation[[#This Row],[FIAttributable]]*tblBOneExport[[#This Row],[PTF_CREDIT_CARRY]]</f>
        <v>3.3206999999999998E-6</v>
      </c>
      <c r="U12" s="16">
        <f>tblCalculation[[#This Row],[FIAttributable]]*tblBOneExport[[#This Row],[PTF_TOTAL_CURVE]]</f>
        <v>3.9812599999999999E-5</v>
      </c>
      <c r="V12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-2.4874000000000001E-6</v>
      </c>
      <c r="W12" s="16">
        <f>IF(AND(tblCalculation[[#This Row],[Level3]]="Forward Contracts",tblBOneExport[[#This Row],[PTF_COST_OF_CARRY]]=0),tblBOneExport[[#This Row],[PTF_VALUATION]],0)</f>
        <v>0</v>
      </c>
      <c r="X12" s="16">
        <f>SUM(tblCalculation[[#This Row],[PtfTrading]:[PtfModelRes]])</f>
        <v>2.0292E-6</v>
      </c>
      <c r="Y12" s="16">
        <f>tblCalculation[[#This Row],[FIAttributable]]*tblBOneExport[[#This Row],[PTF_TRADING]]</f>
        <v>0</v>
      </c>
      <c r="Z12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2" s="16">
        <f>tblCalculation[[#This Row],[FIAttributable]]*tblBOneExport[[#This Row],[PTF_MODEL_RESIDUAL]]-PTF_Credit_Adj*tblCalculation[[#This Row],[PtfDTSWeight]]</f>
        <v>2.0292E-6</v>
      </c>
      <c r="AB12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2" s="16">
        <f>tblBOneExport[[#This Row],[BMK_WEIGHT]]</f>
        <v>0</v>
      </c>
      <c r="AD12" s="78">
        <f>tblCalculation[[#This Row],[FIAttributable]]*SUMIFS(tblDTS[DTSContribution_BM],tblDTS[ISIN],tblCalculation[[#This Row],[ISIN]])</f>
        <v>6.5657750906644399E-2</v>
      </c>
      <c r="AE12" s="16">
        <f>IF(SUM(tblCalculation[BMKDTS])=0,0,tblCalculation[[#This Row],[BMKDTS]]/SUM(tblCalculation[BMKDTS]))</f>
        <v>7.8034421494373443E-3</v>
      </c>
      <c r="AF12" s="16">
        <f>tblBOneExport[[#This Row],[BMK_CONTRIBUTION]]</f>
        <v>0</v>
      </c>
      <c r="AG12" s="16">
        <f>tblCalculation[[#This Row],[BMKContributionBase]]-tblBOneExport[BMK_SPOT_CCY_RETURN]-tblBOneExport[[#This Row],[BMK_CROSS_EFFECT]]</f>
        <v>0</v>
      </c>
      <c r="AH12" s="16">
        <f>tblCalculation[[#This Row],[FIAttributable]]*(tblBOneExport[[#This Row],[BMK_RETURN_GOV_CARRY]])</f>
        <v>0</v>
      </c>
      <c r="AI12" s="16">
        <f>tblCalculation[[#This Row],[FIAttributable]]*tblBOneExport[[#This Row],[BMK_CREDIT_CARRY]]</f>
        <v>0</v>
      </c>
      <c r="AJ12" s="16">
        <f>tblCalculation[[#This Row],[FIAttributable]]*tblBOneExport[[#This Row],[BMK_TOTAL_CURVE]]</f>
        <v>0</v>
      </c>
      <c r="AK12" s="16">
        <f>tblCalculation[[#This Row],[FIAttributable]]*(tblBOneExport[[#This Row],[BMK_TOTAL_SPREAD]]+BMK_Credit_Adj*tblCalculation[[#This Row],[BmkDTSWeight]])</f>
        <v>0</v>
      </c>
      <c r="AL12" s="16">
        <f>tblCalculation[[#This Row],[FIAttributable]]*tblBOneExport[[#This Row],[BMK_MODEL_RESIDUAL]]-BMK_Credit_Adj*tblCalculation[[#This Row],[BmkDTSWeight]]</f>
        <v>0</v>
      </c>
      <c r="AM12" s="16">
        <f>IF(tblCalculation[[#This Row],[Level3]]="Forward Contracts",tblCalculation[[#This Row],[BMKContributionLocal]],0)</f>
        <v>0</v>
      </c>
      <c r="AN12" s="16">
        <f>tblBOneExport[[#This Row],[BMK_SPOT_CCY_RETURN]]+tblBOneExport[[#This Row],[BMK_CROSS_EFFECT]]</f>
        <v>0</v>
      </c>
    </row>
    <row r="13" spans="2:40" x14ac:dyDescent="0.25">
      <c r="B13" s="111"/>
      <c r="C13" s="112"/>
      <c r="D13" s="112"/>
      <c r="E13" s="7" t="str">
        <f>tblBOneExport[[#This Row],[INSTRUMENT_CODE]]</f>
        <v>S00935769</v>
      </c>
      <c r="F13" s="7" t="str">
        <f>tblBOneExport[[#This Row],[INSTRUMENT]]</f>
        <v>ELEC DE FRANCE 5.125 22/09/50 EMTN</v>
      </c>
      <c r="G13" s="7" t="str">
        <f>IF(tblBOneExport[[#This Row],[ISIN]]&lt;&gt;"", tblBOneExport[[#This Row],[ISIN]],"")</f>
        <v>FR0010945436</v>
      </c>
      <c r="H13" s="7" t="str">
        <f>IF(tblCalculation[[#This Row],[B1Level2]]="CDS",tblBOneExport[[#This Row],[B1_TICKER]],IF(tblCalculation[[#This Row],[ISIN]]="","",INDEX(tblGetStaticData[Ticker],MATCH(tblCalculation[[#This Row],[ISIN]],tblGetStaticData[ISIN],0))))</f>
        <v>EDF</v>
      </c>
      <c r="I13" s="7" t="str">
        <f>IF(tblBOneExport[[#This Row],[INSTRUMENT_TYPE]]="Forward Contract","Forward Contract",tblBOneExport[LEVEL2])</f>
        <v>Non-Corporate</v>
      </c>
      <c r="J13" s="7" t="str">
        <f>IF(tblBOneExport[[#This Row],[INSTRUMENT_TYPE]]="Forward Contract","Forward Contract",tblBOneExport[[#This Row],[LEVEL3]])</f>
        <v>Foreign Agency</v>
      </c>
      <c r="K13" s="7" t="str">
        <f>INDEX(tblLvl2Mapping[],MATCH(tblCalculation[[#This Row],[B1Level2]]&amp;"_"&amp;tblCalculation[[#This Row],[B1Level3]],tblLvl2Mapping[B1Level2_B1Level3],0),2)</f>
        <v>Corporate</v>
      </c>
      <c r="L13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3" s="7">
        <f>INDEX(tblAttributable[],MATCH(tblCalculation[[#This Row],[Level3]],tblAttributable[Level3],0),2)</f>
        <v>1</v>
      </c>
      <c r="N13" s="16">
        <f>tblBOneExport[[#This Row],[PTF_WEIGHT]]</f>
        <v>4.2796943000000002E-3</v>
      </c>
      <c r="O13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0.15294483576597645</v>
      </c>
      <c r="P13" s="48">
        <f>tblCalculation[[#This Row],[PtfDTS]]/SUM(tblCalculation[PtfDTS])</f>
        <v>1.8547969307768818E-2</v>
      </c>
      <c r="Q13" s="16">
        <f>tblBOneExport[[#This Row],[PTF_CONTRIBUTION]]</f>
        <v>8.9793699999999994E-5</v>
      </c>
      <c r="R13" s="16">
        <f>tblCalculation[[#This Row],[PtfContributionBase]]-tblCalculation[[#This Row],[PtfCurrencyReturn]]</f>
        <v>8.9793699999999994E-5</v>
      </c>
      <c r="S13" s="16">
        <f>IF(tblBOneExport[[#This Row],[LEVEL1]]="Bonds",tblBOneExport[[#This Row],[PTF_GOV_CARRY]],"")</f>
        <v>6.1039000000000001E-6</v>
      </c>
      <c r="T13" s="16">
        <f>tblCalculation[[#This Row],[FIAttributable]]*tblBOneExport[[#This Row],[PTF_CREDIT_CARRY]]</f>
        <v>6.4316000000000004E-6</v>
      </c>
      <c r="U13" s="16">
        <f>tblCalculation[[#This Row],[FIAttributable]]*tblBOneExport[[#This Row],[PTF_TOTAL_CURVE]]</f>
        <v>1.1628680000000001E-4</v>
      </c>
      <c r="V13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-3.5923100000000002E-5</v>
      </c>
      <c r="W13" s="16">
        <f>IF(AND(tblCalculation[[#This Row],[Level3]]="Forward Contracts",tblBOneExport[[#This Row],[PTF_COST_OF_CARRY]]=0),tblBOneExport[[#This Row],[PTF_VALUATION]],0)</f>
        <v>0</v>
      </c>
      <c r="X13" s="16">
        <f>SUM(tblCalculation[[#This Row],[PtfTrading]:[PtfModelRes]])</f>
        <v>-3.1053999999999999E-6</v>
      </c>
      <c r="Y13" s="16">
        <f>tblCalculation[[#This Row],[FIAttributable]]*tblBOneExport[[#This Row],[PTF_TRADING]]</f>
        <v>0</v>
      </c>
      <c r="Z13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3" s="16">
        <f>tblCalculation[[#This Row],[FIAttributable]]*tblBOneExport[[#This Row],[PTF_MODEL_RESIDUAL]]-PTF_Credit_Adj*tblCalculation[[#This Row],[PtfDTSWeight]]</f>
        <v>-3.1053999999999999E-6</v>
      </c>
      <c r="AB13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3" s="16">
        <f>tblBOneExport[[#This Row],[BMK_WEIGHT]]</f>
        <v>0</v>
      </c>
      <c r="AD13" s="78">
        <f>tblCalculation[[#This Row],[FIAttributable]]*SUMIFS(tblDTS[DTSContribution_BM],tblDTS[ISIN],tblCalculation[[#This Row],[ISIN]])</f>
        <v>0.11214851108338018</v>
      </c>
      <c r="AE13" s="16">
        <f>IF(SUM(tblCalculation[BMKDTS])=0,0,tblCalculation[[#This Row],[BMKDTS]]/SUM(tblCalculation[BMKDTS]))</f>
        <v>1.3328882063429432E-2</v>
      </c>
      <c r="AF13" s="16">
        <f>tblBOneExport[[#This Row],[BMK_CONTRIBUTION]]</f>
        <v>0</v>
      </c>
      <c r="AG13" s="16">
        <f>tblCalculation[[#This Row],[BMKContributionBase]]-tblBOneExport[BMK_SPOT_CCY_RETURN]-tblBOneExport[[#This Row],[BMK_CROSS_EFFECT]]</f>
        <v>0</v>
      </c>
      <c r="AH13" s="16">
        <f>tblCalculation[[#This Row],[FIAttributable]]*(tblBOneExport[[#This Row],[BMK_RETURN_GOV_CARRY]])</f>
        <v>0</v>
      </c>
      <c r="AI13" s="16">
        <f>tblCalculation[[#This Row],[FIAttributable]]*tblBOneExport[[#This Row],[BMK_CREDIT_CARRY]]</f>
        <v>0</v>
      </c>
      <c r="AJ13" s="16">
        <f>tblCalculation[[#This Row],[FIAttributable]]*tblBOneExport[[#This Row],[BMK_TOTAL_CURVE]]</f>
        <v>0</v>
      </c>
      <c r="AK13" s="16">
        <f>tblCalculation[[#This Row],[FIAttributable]]*(tblBOneExport[[#This Row],[BMK_TOTAL_SPREAD]]+BMK_Credit_Adj*tblCalculation[[#This Row],[BmkDTSWeight]])</f>
        <v>0</v>
      </c>
      <c r="AL13" s="16">
        <f>tblCalculation[[#This Row],[FIAttributable]]*tblBOneExport[[#This Row],[BMK_MODEL_RESIDUAL]]-BMK_Credit_Adj*tblCalculation[[#This Row],[BmkDTSWeight]]</f>
        <v>0</v>
      </c>
      <c r="AM13" s="16">
        <f>IF(tblCalculation[[#This Row],[Level3]]="Forward Contracts",tblCalculation[[#This Row],[BMKContributionLocal]],0)</f>
        <v>0</v>
      </c>
      <c r="AN13" s="16">
        <f>tblBOneExport[[#This Row],[BMK_SPOT_CCY_RETURN]]+tblBOneExport[[#This Row],[BMK_CROSS_EFFECT]]</f>
        <v>0</v>
      </c>
    </row>
    <row r="14" spans="2:40" x14ac:dyDescent="0.25">
      <c r="B14" s="111"/>
      <c r="C14" s="112"/>
      <c r="D14" s="112"/>
      <c r="E14" s="7" t="str">
        <f>tblBOneExport[[#This Row],[INSTRUMENT_CODE]]</f>
        <v>S00937801</v>
      </c>
      <c r="F14" s="7" t="str">
        <f>tblBOneExport[[#This Row],[INSTRUMENT]]</f>
        <v>GDF SUEZ 5 01/10/60 EMTN</v>
      </c>
      <c r="G14" s="7" t="str">
        <f>IF(tblBOneExport[[#This Row],[ISIN]]&lt;&gt;"", tblBOneExport[[#This Row],[ISIN]],"")</f>
        <v>FR0010946855</v>
      </c>
      <c r="H14" s="7" t="str">
        <f>IF(tblCalculation[[#This Row],[B1Level2]]="CDS",tblBOneExport[[#This Row],[B1_TICKER]],IF(tblCalculation[[#This Row],[ISIN]]="","",INDEX(tblGetStaticData[Ticker],MATCH(tblCalculation[[#This Row],[ISIN]],tblGetStaticData[ISIN],0))))</f>
        <v>ENGIFP</v>
      </c>
      <c r="I14" s="7" t="str">
        <f>IF(tblBOneExport[[#This Row],[INSTRUMENT_TYPE]]="Forward Contract","Forward Contract",tblBOneExport[LEVEL2])</f>
        <v>Corporates</v>
      </c>
      <c r="J14" s="7" t="str">
        <f>IF(tblBOneExport[[#This Row],[INSTRUMENT_TYPE]]="Forward Contract","Forward Contract",tblBOneExport[[#This Row],[LEVEL3]])</f>
        <v>Utilities</v>
      </c>
      <c r="K14" s="7" t="str">
        <f>INDEX(tblLvl2Mapping[],MATCH(tblCalculation[[#This Row],[B1Level2]]&amp;"_"&amp;tblCalculation[[#This Row],[B1Level3]],tblLvl2Mapping[B1Level2_B1Level3],0),2)</f>
        <v>Corporate</v>
      </c>
      <c r="L14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4" s="7">
        <f>INDEX(tblAttributable[],MATCH(tblCalculation[[#This Row],[Level3]],tblAttributable[Level3],0),2)</f>
        <v>1</v>
      </c>
      <c r="N14" s="16">
        <f>tblBOneExport[[#This Row],[PTF_WEIGHT]]</f>
        <v>4.8545576E-3</v>
      </c>
      <c r="O14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0.12282815820181563</v>
      </c>
      <c r="P14" s="48">
        <f>tblCalculation[[#This Row],[PtfDTS]]/SUM(tblCalculation[PtfDTS])</f>
        <v>1.4895651082609826E-2</v>
      </c>
      <c r="Q14" s="16">
        <f>tblBOneExport[[#This Row],[PTF_CONTRIBUTION]]</f>
        <v>1.6750679999999999E-4</v>
      </c>
      <c r="R14" s="16">
        <f>tblCalculation[[#This Row],[PtfContributionBase]]-tblCalculation[[#This Row],[PtfCurrencyReturn]]</f>
        <v>1.6750679999999999E-4</v>
      </c>
      <c r="S14" s="16">
        <f>IF(tblBOneExport[[#This Row],[LEVEL1]]="Bonds",tblBOneExport[[#This Row],[PTF_GOV_CARRY]],"")</f>
        <v>6.5892000000000004E-6</v>
      </c>
      <c r="T14" s="16">
        <f>tblCalculation[[#This Row],[FIAttributable]]*tblBOneExport[[#This Row],[PTF_CREDIT_CARRY]]</f>
        <v>3.754E-6</v>
      </c>
      <c r="U14" s="16">
        <f>tblCalculation[[#This Row],[FIAttributable]]*tblBOneExport[[#This Row],[PTF_TOTAL_CURVE]]</f>
        <v>1.615756E-4</v>
      </c>
      <c r="V14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2.7045999999999999E-6</v>
      </c>
      <c r="W14" s="16">
        <f>IF(AND(tblCalculation[[#This Row],[Level3]]="Forward Contracts",tblBOneExport[[#This Row],[PTF_COST_OF_CARRY]]=0),tblBOneExport[[#This Row],[PTF_VALUATION]],0)</f>
        <v>0</v>
      </c>
      <c r="X14" s="16">
        <f>SUM(tblCalculation[[#This Row],[PtfTrading]:[PtfModelRes]])</f>
        <v>-7.1165999999999998E-6</v>
      </c>
      <c r="Y14" s="16">
        <f>tblCalculation[[#This Row],[FIAttributable]]*tblBOneExport[[#This Row],[PTF_TRADING]]</f>
        <v>0</v>
      </c>
      <c r="Z14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4" s="16">
        <f>tblCalculation[[#This Row],[FIAttributable]]*tblBOneExport[[#This Row],[PTF_MODEL_RESIDUAL]]-PTF_Credit_Adj*tblCalculation[[#This Row],[PtfDTSWeight]]</f>
        <v>-7.1165999999999998E-6</v>
      </c>
      <c r="AB14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4" s="16">
        <f>tblBOneExport[[#This Row],[BMK_WEIGHT]]</f>
        <v>0</v>
      </c>
      <c r="AD14" s="78">
        <f>tblCalculation[[#This Row],[FIAttributable]]*SUMIFS(tblDTS[DTSContribution_BM],tblDTS[ISIN],tblCalculation[[#This Row],[ISIN]])</f>
        <v>0.16211957120469481</v>
      </c>
      <c r="AE14" s="16">
        <f>IF(SUM(tblCalculation[BMKDTS])=0,0,tblCalculation[[#This Row],[BMKDTS]]/SUM(tblCalculation[BMKDTS]))</f>
        <v>1.9267956604029825E-2</v>
      </c>
      <c r="AF14" s="16">
        <f>tblBOneExport[[#This Row],[BMK_CONTRIBUTION]]</f>
        <v>0</v>
      </c>
      <c r="AG14" s="16">
        <f>tblCalculation[[#This Row],[BMKContributionBase]]-tblBOneExport[BMK_SPOT_CCY_RETURN]-tblBOneExport[[#This Row],[BMK_CROSS_EFFECT]]</f>
        <v>0</v>
      </c>
      <c r="AH14" s="16">
        <f>tblCalculation[[#This Row],[FIAttributable]]*(tblBOneExport[[#This Row],[BMK_RETURN_GOV_CARRY]])</f>
        <v>0</v>
      </c>
      <c r="AI14" s="16">
        <f>tblCalculation[[#This Row],[FIAttributable]]*tblBOneExport[[#This Row],[BMK_CREDIT_CARRY]]</f>
        <v>0</v>
      </c>
      <c r="AJ14" s="16">
        <f>tblCalculation[[#This Row],[FIAttributable]]*tblBOneExport[[#This Row],[BMK_TOTAL_CURVE]]</f>
        <v>0</v>
      </c>
      <c r="AK14" s="16">
        <f>tblCalculation[[#This Row],[FIAttributable]]*(tblBOneExport[[#This Row],[BMK_TOTAL_SPREAD]]+BMK_Credit_Adj*tblCalculation[[#This Row],[BmkDTSWeight]])</f>
        <v>0</v>
      </c>
      <c r="AL14" s="16">
        <f>tblCalculation[[#This Row],[FIAttributable]]*tblBOneExport[[#This Row],[BMK_MODEL_RESIDUAL]]-BMK_Credit_Adj*tblCalculation[[#This Row],[BmkDTSWeight]]</f>
        <v>0</v>
      </c>
      <c r="AM14" s="16">
        <f>IF(tblCalculation[[#This Row],[Level3]]="Forward Contracts",tblCalculation[[#This Row],[BMKContributionLocal]],0)</f>
        <v>0</v>
      </c>
      <c r="AN14" s="16">
        <f>tblBOneExport[[#This Row],[BMK_SPOT_CCY_RETURN]]+tblBOneExport[[#This Row],[BMK_CROSS_EFFECT]]</f>
        <v>0</v>
      </c>
    </row>
    <row r="15" spans="2:40" x14ac:dyDescent="0.25">
      <c r="B15" s="2" t="s">
        <v>196</v>
      </c>
      <c r="C15" s="34" t="s">
        <v>170</v>
      </c>
      <c r="D15" s="111"/>
      <c r="E15" s="7" t="str">
        <f>tblBOneExport[[#This Row],[INSTRUMENT_CODE]]</f>
        <v>B75J851</v>
      </c>
      <c r="F15" s="7" t="str">
        <f>tblBOneExport[[#This Row],[INSTRUMENT]]</f>
        <v>ELEC DE FRANCE 5.5 17/10/41 EMTN</v>
      </c>
      <c r="G15" s="7" t="str">
        <f>IF(tblBOneExport[[#This Row],[ISIN]]&lt;&gt;"", tblBOneExport[[#This Row],[ISIN]],"")</f>
        <v>FR0011132356</v>
      </c>
      <c r="H15" s="7" t="str">
        <f>IF(tblCalculation[[#This Row],[B1Level2]]="CDS",tblBOneExport[[#This Row],[B1_TICKER]],IF(tblCalculation[[#This Row],[ISIN]]="","",INDEX(tblGetStaticData[Ticker],MATCH(tblCalculation[[#This Row],[ISIN]],tblGetStaticData[ISIN],0))))</f>
        <v>EDF</v>
      </c>
      <c r="I15" s="7" t="str">
        <f>IF(tblBOneExport[[#This Row],[INSTRUMENT_TYPE]]="Forward Contract","Forward Contract",tblBOneExport[LEVEL2])</f>
        <v>Non-Corporate</v>
      </c>
      <c r="J15" s="7" t="str">
        <f>IF(tblBOneExport[[#This Row],[INSTRUMENT_TYPE]]="Forward Contract","Forward Contract",tblBOneExport[[#This Row],[LEVEL3]])</f>
        <v>Foreign Agency</v>
      </c>
      <c r="K15" s="7" t="str">
        <f>INDEX(tblLvl2Mapping[],MATCH(tblCalculation[[#This Row],[B1Level2]]&amp;"_"&amp;tblCalculation[[#This Row],[B1Level3]],tblLvl2Mapping[B1Level2_B1Level3],0),2)</f>
        <v>Corporate</v>
      </c>
      <c r="L15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5" s="7">
        <f>INDEX(tblAttributable[],MATCH(tblCalculation[[#This Row],[Level3]],tblAttributable[Level3],0),2)</f>
        <v>1</v>
      </c>
      <c r="N15" s="16">
        <f>tblBOneExport[[#This Row],[PTF_WEIGHT]]</f>
        <v>1.6066183000000001E-3</v>
      </c>
      <c r="O15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4.5849117734743039E-2</v>
      </c>
      <c r="P15" s="48">
        <f>tblCalculation[[#This Row],[PtfDTS]]/SUM(tblCalculation[PtfDTS])</f>
        <v>5.5602271516608575E-3</v>
      </c>
      <c r="Q15" s="16">
        <f>tblBOneExport[[#This Row],[PTF_CONTRIBUTION]]</f>
        <v>3.4993000000000002E-5</v>
      </c>
      <c r="R15" s="16">
        <f>tblCalculation[[#This Row],[PtfContributionBase]]-tblCalculation[[#This Row],[PtfCurrencyReturn]]</f>
        <v>3.4993000000000002E-5</v>
      </c>
      <c r="S15" s="16">
        <f>IF(tblBOneExport[[#This Row],[LEVEL1]]="Bonds",tblBOneExport[[#This Row],[PTF_GOV_CARRY]],"")</f>
        <v>2.3338E-6</v>
      </c>
      <c r="T15" s="16">
        <f>tblCalculation[[#This Row],[FIAttributable]]*tblBOneExport[[#This Row],[PTF_CREDIT_CARRY]]</f>
        <v>2.283E-6</v>
      </c>
      <c r="U15" s="16">
        <f>tblCalculation[[#This Row],[FIAttributable]]*tblBOneExport[[#This Row],[PTF_TOTAL_CURVE]]</f>
        <v>3.4832000000000001E-5</v>
      </c>
      <c r="V15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-3.7633E-6</v>
      </c>
      <c r="W15" s="16">
        <f>IF(AND(tblCalculation[[#This Row],[Level3]]="Forward Contracts",tblBOneExport[[#This Row],[PTF_COST_OF_CARRY]]=0),tblBOneExport[[#This Row],[PTF_VALUATION]],0)</f>
        <v>0</v>
      </c>
      <c r="X15" s="16">
        <f>SUM(tblCalculation[[#This Row],[PtfTrading]:[PtfModelRes]])</f>
        <v>-6.9250000000000004E-7</v>
      </c>
      <c r="Y15" s="16">
        <f>tblCalculation[[#This Row],[FIAttributable]]*tblBOneExport[[#This Row],[PTF_TRADING]]</f>
        <v>0</v>
      </c>
      <c r="Z15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5" s="16">
        <f>tblCalculation[[#This Row],[FIAttributable]]*tblBOneExport[[#This Row],[PTF_MODEL_RESIDUAL]]-PTF_Credit_Adj*tblCalculation[[#This Row],[PtfDTSWeight]]</f>
        <v>-6.9250000000000004E-7</v>
      </c>
      <c r="AB15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5" s="16">
        <f>tblBOneExport[[#This Row],[BMK_WEIGHT]]</f>
        <v>0</v>
      </c>
      <c r="AD15" s="78">
        <f>tblCalculation[[#This Row],[FIAttributable]]*SUMIFS(tblDTS[DTSContribution_BM],tblDTS[ISIN],tblCalculation[[#This Row],[ISIN]])</f>
        <v>6.0515922006703124E-2</v>
      </c>
      <c r="AE15" s="16">
        <f>IF(SUM(tblCalculation[BMKDTS])=0,0,tblCalculation[[#This Row],[BMKDTS]]/SUM(tblCalculation[BMKDTS]))</f>
        <v>7.192334339484378E-3</v>
      </c>
      <c r="AF15" s="16">
        <f>tblBOneExport[[#This Row],[BMK_CONTRIBUTION]]</f>
        <v>0</v>
      </c>
      <c r="AG15" s="16">
        <f>tblCalculation[[#This Row],[BMKContributionBase]]-tblBOneExport[BMK_SPOT_CCY_RETURN]-tblBOneExport[[#This Row],[BMK_CROSS_EFFECT]]</f>
        <v>0</v>
      </c>
      <c r="AH15" s="16">
        <f>tblCalculation[[#This Row],[FIAttributable]]*(tblBOneExport[[#This Row],[BMK_RETURN_GOV_CARRY]])</f>
        <v>0</v>
      </c>
      <c r="AI15" s="16">
        <f>tblCalculation[[#This Row],[FIAttributable]]*tblBOneExport[[#This Row],[BMK_CREDIT_CARRY]]</f>
        <v>0</v>
      </c>
      <c r="AJ15" s="16">
        <f>tblCalculation[[#This Row],[FIAttributable]]*tblBOneExport[[#This Row],[BMK_TOTAL_CURVE]]</f>
        <v>0</v>
      </c>
      <c r="AK15" s="16">
        <f>tblCalculation[[#This Row],[FIAttributable]]*(tblBOneExport[[#This Row],[BMK_TOTAL_SPREAD]]+BMK_Credit_Adj*tblCalculation[[#This Row],[BmkDTSWeight]])</f>
        <v>0</v>
      </c>
      <c r="AL15" s="16">
        <f>tblCalculation[[#This Row],[FIAttributable]]*tblBOneExport[[#This Row],[BMK_MODEL_RESIDUAL]]-BMK_Credit_Adj*tblCalculation[[#This Row],[BmkDTSWeight]]</f>
        <v>0</v>
      </c>
      <c r="AM15" s="16">
        <f>IF(tblCalculation[[#This Row],[Level3]]="Forward Contracts",tblCalculation[[#This Row],[BMKContributionLocal]],0)</f>
        <v>0</v>
      </c>
      <c r="AN15" s="16">
        <f>tblBOneExport[[#This Row],[BMK_SPOT_CCY_RETURN]]+tblBOneExport[[#This Row],[BMK_CROSS_EFFECT]]</f>
        <v>0</v>
      </c>
    </row>
    <row r="16" spans="2:40" x14ac:dyDescent="0.25">
      <c r="B16" s="20" t="s">
        <v>199</v>
      </c>
      <c r="C16" s="35">
        <f>SUMIFS(tblDTS[DTSWeight],tblDTS[AssetType],"&lt;&gt;CDS",tblDTS[AssetType],"&lt;&gt;CDI")</f>
        <v>0.99999999999999933</v>
      </c>
      <c r="D16" s="127"/>
      <c r="E16" s="7" t="str">
        <f>tblBOneExport[[#This Row],[INSTRUMENT_CODE]]</f>
        <v>B7D5Y64</v>
      </c>
      <c r="F16" s="7" t="str">
        <f>tblBOneExport[[#This Row],[INSTRUMENT]]</f>
        <v>SUEZ ENVIRON 5.375 02/12/30 EMTN</v>
      </c>
      <c r="G16" s="7" t="str">
        <f>IF(tblBOneExport[[#This Row],[ISIN]]&lt;&gt;"", tblBOneExport[[#This Row],[ISIN]],"")</f>
        <v>FR0011158849</v>
      </c>
      <c r="H16" s="7" t="str">
        <f>IF(tblCalculation[[#This Row],[B1Level2]]="CDS",tblBOneExport[[#This Row],[B1_TICKER]],IF(tblCalculation[[#This Row],[ISIN]]="","",INDEX(tblGetStaticData[Ticker],MATCH(tblCalculation[[#This Row],[ISIN]],tblGetStaticData[ISIN],0))))</f>
        <v>SEVFP</v>
      </c>
      <c r="I16" s="7" t="str">
        <f>IF(tblBOneExport[[#This Row],[INSTRUMENT_TYPE]]="Forward Contract","Forward Contract",tblBOneExport[LEVEL2])</f>
        <v>Corporates</v>
      </c>
      <c r="J16" s="7" t="str">
        <f>IF(tblBOneExport[[#This Row],[INSTRUMENT_TYPE]]="Forward Contract","Forward Contract",tblBOneExport[[#This Row],[LEVEL3]])</f>
        <v>Utilities</v>
      </c>
      <c r="K16" s="7" t="str">
        <f>INDEX(tblLvl2Mapping[],MATCH(tblCalculation[[#This Row],[B1Level2]]&amp;"_"&amp;tblCalculation[[#This Row],[B1Level3]],tblLvl2Mapping[B1Level2_B1Level3],0),2)</f>
        <v>Corporate</v>
      </c>
      <c r="L16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6" s="7">
        <f>INDEX(tblAttributable[],MATCH(tblCalculation[[#This Row],[Level3]],tblAttributable[Level3],0),2)</f>
        <v>1</v>
      </c>
      <c r="N16" s="16">
        <f>tblBOneExport[[#This Row],[PTF_WEIGHT]]</f>
        <v>1.05717143E-2</v>
      </c>
      <c r="O16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0.11003952958086273</v>
      </c>
      <c r="P16" s="48">
        <f>tblCalculation[[#This Row],[PtfDTS]]/SUM(tblCalculation[PtfDTS])</f>
        <v>1.3344744901554869E-2</v>
      </c>
      <c r="Q16" s="16">
        <f>tblBOneExport[[#This Row],[PTF_CONTRIBUTION]]</f>
        <v>1.9872910000000001E-4</v>
      </c>
      <c r="R16" s="16">
        <f>tblCalculation[[#This Row],[PtfContributionBase]]-tblCalculation[[#This Row],[PtfCurrencyReturn]]</f>
        <v>1.9872910000000001E-4</v>
      </c>
      <c r="S16" s="16">
        <f>IF(tblBOneExport[[#This Row],[LEVEL1]]="Bonds",tblBOneExport[[#This Row],[PTF_GOV_CARRY]],"")</f>
        <v>1.25082E-5</v>
      </c>
      <c r="T16" s="16">
        <f>tblCalculation[[#This Row],[FIAttributable]]*tblBOneExport[[#This Row],[PTF_CREDIT_CARRY]]</f>
        <v>8.5086000000000002E-6</v>
      </c>
      <c r="U16" s="16">
        <f>tblCalculation[[#This Row],[FIAttributable]]*tblBOneExport[[#This Row],[PTF_TOTAL_CURVE]]</f>
        <v>1.9494980000000001E-4</v>
      </c>
      <c r="V16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-1.8329500000000001E-5</v>
      </c>
      <c r="W16" s="16">
        <f>IF(AND(tblCalculation[[#This Row],[Level3]]="Forward Contracts",tblBOneExport[[#This Row],[PTF_COST_OF_CARRY]]=0),tblBOneExport[[#This Row],[PTF_VALUATION]],0)</f>
        <v>0</v>
      </c>
      <c r="X16" s="16">
        <f>SUM(tblCalculation[[#This Row],[PtfTrading]:[PtfModelRes]])</f>
        <v>1.0921000000000001E-6</v>
      </c>
      <c r="Y16" s="16">
        <f>tblCalculation[[#This Row],[FIAttributable]]*tblBOneExport[[#This Row],[PTF_TRADING]]</f>
        <v>0</v>
      </c>
      <c r="Z16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6" s="16">
        <f>tblCalculation[[#This Row],[FIAttributable]]*tblBOneExport[[#This Row],[PTF_MODEL_RESIDUAL]]-PTF_Credit_Adj*tblCalculation[[#This Row],[PtfDTSWeight]]</f>
        <v>1.0921000000000001E-6</v>
      </c>
      <c r="AB16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6" s="16">
        <f>tblBOneExport[[#This Row],[BMK_WEIGHT]]</f>
        <v>0</v>
      </c>
      <c r="AD16" s="78">
        <f>tblCalculation[[#This Row],[FIAttributable]]*SUMIFS(tblDTS[DTSContribution_BM],tblDTS[ISIN],tblCalculation[[#This Row],[ISIN]])</f>
        <v>0.13643556383026256</v>
      </c>
      <c r="AE16" s="16">
        <f>IF(SUM(tblCalculation[BMKDTS])=0,0,tblCalculation[[#This Row],[BMKDTS]]/SUM(tblCalculation[BMKDTS]))</f>
        <v>1.6215405108669027E-2</v>
      </c>
      <c r="AF16" s="16">
        <f>tblBOneExport[[#This Row],[BMK_CONTRIBUTION]]</f>
        <v>0</v>
      </c>
      <c r="AG16" s="16">
        <f>tblCalculation[[#This Row],[BMKContributionBase]]-tblBOneExport[BMK_SPOT_CCY_RETURN]-tblBOneExport[[#This Row],[BMK_CROSS_EFFECT]]</f>
        <v>0</v>
      </c>
      <c r="AH16" s="16">
        <f>tblCalculation[[#This Row],[FIAttributable]]*(tblBOneExport[[#This Row],[BMK_RETURN_GOV_CARRY]])</f>
        <v>0</v>
      </c>
      <c r="AI16" s="16">
        <f>tblCalculation[[#This Row],[FIAttributable]]*tblBOneExport[[#This Row],[BMK_CREDIT_CARRY]]</f>
        <v>0</v>
      </c>
      <c r="AJ16" s="16">
        <f>tblCalculation[[#This Row],[FIAttributable]]*tblBOneExport[[#This Row],[BMK_TOTAL_CURVE]]</f>
        <v>0</v>
      </c>
      <c r="AK16" s="16">
        <f>tblCalculation[[#This Row],[FIAttributable]]*(tblBOneExport[[#This Row],[BMK_TOTAL_SPREAD]]+BMK_Credit_Adj*tblCalculation[[#This Row],[BmkDTSWeight]])</f>
        <v>0</v>
      </c>
      <c r="AL16" s="16">
        <f>tblCalculation[[#This Row],[FIAttributable]]*tblBOneExport[[#This Row],[BMK_MODEL_RESIDUAL]]-BMK_Credit_Adj*tblCalculation[[#This Row],[BmkDTSWeight]]</f>
        <v>0</v>
      </c>
      <c r="AM16" s="16">
        <f>IF(tblCalculation[[#This Row],[Level3]]="Forward Contracts",tblCalculation[[#This Row],[BMKContributionLocal]],0)</f>
        <v>0</v>
      </c>
      <c r="AN16" s="16">
        <f>tblBOneExport[[#This Row],[BMK_SPOT_CCY_RETURN]]+tblBOneExport[[#This Row],[BMK_CROSS_EFFECT]]</f>
        <v>0</v>
      </c>
    </row>
    <row r="17" spans="2:40" x14ac:dyDescent="0.25">
      <c r="B17" s="19" t="s">
        <v>197</v>
      </c>
      <c r="C17" s="36">
        <f>SUMIF(tblDTS[AssetType],"CDI",tblDTS[DTSWeight])</f>
        <v>0</v>
      </c>
      <c r="D17" s="128"/>
      <c r="E17" s="7" t="str">
        <f>tblBOneExport[[#This Row],[INSTRUMENT_CODE]]</f>
        <v>BQVBNM6</v>
      </c>
      <c r="F17" s="7" t="str">
        <f>tblBOneExport[[#This Row],[INSTRUMENT]]</f>
        <v>LVMH MOET HENNES 1.625 20/12/17 EMTN</v>
      </c>
      <c r="G17" s="7" t="str">
        <f>IF(tblBOneExport[[#This Row],[ISIN]]&lt;&gt;"", tblBOneExport[[#This Row],[ISIN]],"")</f>
        <v>FR0012171221</v>
      </c>
      <c r="H17" s="7" t="str">
        <f>IF(tblCalculation[[#This Row],[B1Level2]]="CDS",tblBOneExport[[#This Row],[B1_TICKER]],IF(tblCalculation[[#This Row],[ISIN]]="","",INDEX(tblGetStaticData[Ticker],MATCH(tblCalculation[[#This Row],[ISIN]],tblGetStaticData[ISIN],0))))</f>
        <v>MCFP</v>
      </c>
      <c r="I17" s="7" t="str">
        <f>IF(tblBOneExport[[#This Row],[INSTRUMENT_TYPE]]="Forward Contract","Forward Contract",tblBOneExport[LEVEL2])</f>
        <v>Corporates</v>
      </c>
      <c r="J17" s="7" t="str">
        <f>IF(tblBOneExport[[#This Row],[INSTRUMENT_TYPE]]="Forward Contract","Forward Contract",tblBOneExport[[#This Row],[LEVEL3]])</f>
        <v>Industrials</v>
      </c>
      <c r="K17" s="7" t="str">
        <f>INDEX(tblLvl2Mapping[],MATCH(tblCalculation[[#This Row],[B1Level2]]&amp;"_"&amp;tblCalculation[[#This Row],[B1Level3]],tblLvl2Mapping[B1Level2_B1Level3],0),2)</f>
        <v>Corporate</v>
      </c>
      <c r="L17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7" s="7">
        <f>INDEX(tblAttributable[],MATCH(tblCalculation[[#This Row],[Level3]],tblAttributable[Level3],0),2)</f>
        <v>1</v>
      </c>
      <c r="N17" s="16">
        <f>tblBOneExport[[#This Row],[PTF_WEIGHT]]</f>
        <v>9.3011639999999996E-4</v>
      </c>
      <c r="O17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1.2635550017200061E-4</v>
      </c>
      <c r="P17" s="48">
        <f>tblCalculation[[#This Row],[PtfDTS]]/SUM(tblCalculation[PtfDTS])</f>
        <v>1.5323419893981163E-5</v>
      </c>
      <c r="Q17" s="16">
        <f>tblBOneExport[[#This Row],[PTF_CONTRIBUTION]]</f>
        <v>4.7170000000000002E-7</v>
      </c>
      <c r="R17" s="16">
        <f>tblCalculation[[#This Row],[PtfContributionBase]]-tblCalculation[[#This Row],[PtfCurrencyReturn]]</f>
        <v>4.7170000000000002E-7</v>
      </c>
      <c r="S17" s="16">
        <f>IF(tblBOneExport[[#This Row],[LEVEL1]]="Bonds",tblBOneExport[[#This Row],[PTF_GOV_CARRY]],"")</f>
        <v>1.3580000000000001E-7</v>
      </c>
      <c r="T17" s="16">
        <f>tblCalculation[[#This Row],[FIAttributable]]*tblBOneExport[[#This Row],[PTF_CREDIT_CARRY]]</f>
        <v>3.664E-7</v>
      </c>
      <c r="U17" s="16">
        <f>tblCalculation[[#This Row],[FIAttributable]]*tblBOneExport[[#This Row],[PTF_TOTAL_CURVE]]</f>
        <v>-1.9399999999999998E-8</v>
      </c>
      <c r="V17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-1.173E-7</v>
      </c>
      <c r="W17" s="16">
        <f>IF(AND(tblCalculation[[#This Row],[Level3]]="Forward Contracts",tblBOneExport[[#This Row],[PTF_COST_OF_CARRY]]=0),tblBOneExport[[#This Row],[PTF_VALUATION]],0)</f>
        <v>0</v>
      </c>
      <c r="X17" s="16">
        <f>SUM(tblCalculation[[#This Row],[PtfTrading]:[PtfModelRes]])</f>
        <v>1.0630000000000001E-7</v>
      </c>
      <c r="Y17" s="16">
        <f>tblCalculation[[#This Row],[FIAttributable]]*tblBOneExport[[#This Row],[PTF_TRADING]]</f>
        <v>0</v>
      </c>
      <c r="Z17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7" s="16">
        <f>tblCalculation[[#This Row],[FIAttributable]]*tblBOneExport[[#This Row],[PTF_MODEL_RESIDUAL]]-PTF_Credit_Adj*tblCalculation[[#This Row],[PtfDTSWeight]]</f>
        <v>1.0630000000000001E-7</v>
      </c>
      <c r="AB17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7" s="16">
        <f>tblBOneExport[[#This Row],[BMK_WEIGHT]]</f>
        <v>0</v>
      </c>
      <c r="AD17" s="78">
        <f>tblCalculation[[#This Row],[FIAttributable]]*SUMIFS(tblDTS[DTSContribution_BM],tblDTS[ISIN],tblCalculation[[#This Row],[ISIN]])</f>
        <v>1.6677793741980246E-4</v>
      </c>
      <c r="AE17" s="16">
        <f>IF(SUM(tblCalculation[BMKDTS])=0,0,tblCalculation[[#This Row],[BMKDTS]]/SUM(tblCalculation[BMKDTS]))</f>
        <v>1.9821604738005236E-5</v>
      </c>
      <c r="AF17" s="16">
        <f>tblBOneExport[[#This Row],[BMK_CONTRIBUTION]]</f>
        <v>0</v>
      </c>
      <c r="AG17" s="16">
        <f>tblCalculation[[#This Row],[BMKContributionBase]]-tblBOneExport[BMK_SPOT_CCY_RETURN]-tblBOneExport[[#This Row],[BMK_CROSS_EFFECT]]</f>
        <v>0</v>
      </c>
      <c r="AH17" s="16">
        <f>tblCalculation[[#This Row],[FIAttributable]]*(tblBOneExport[[#This Row],[BMK_RETURN_GOV_CARRY]])</f>
        <v>0</v>
      </c>
      <c r="AI17" s="16">
        <f>tblCalculation[[#This Row],[FIAttributable]]*tblBOneExport[[#This Row],[BMK_CREDIT_CARRY]]</f>
        <v>0</v>
      </c>
      <c r="AJ17" s="16">
        <f>tblCalculation[[#This Row],[FIAttributable]]*tblBOneExport[[#This Row],[BMK_TOTAL_CURVE]]</f>
        <v>0</v>
      </c>
      <c r="AK17" s="16">
        <f>tblCalculation[[#This Row],[FIAttributable]]*(tblBOneExport[[#This Row],[BMK_TOTAL_SPREAD]]+BMK_Credit_Adj*tblCalculation[[#This Row],[BmkDTSWeight]])</f>
        <v>0</v>
      </c>
      <c r="AL17" s="16">
        <f>tblCalculation[[#This Row],[FIAttributable]]*tblBOneExport[[#This Row],[BMK_MODEL_RESIDUAL]]-BMK_Credit_Adj*tblCalculation[[#This Row],[BmkDTSWeight]]</f>
        <v>0</v>
      </c>
      <c r="AM17" s="16">
        <f>IF(tblCalculation[[#This Row],[Level3]]="Forward Contracts",tblCalculation[[#This Row],[BMKContributionLocal]],0)</f>
        <v>0</v>
      </c>
      <c r="AN17" s="16">
        <f>tblBOneExport[[#This Row],[BMK_SPOT_CCY_RETURN]]+tblBOneExport[[#This Row],[BMK_CROSS_EFFECT]]</f>
        <v>0</v>
      </c>
    </row>
    <row r="18" spans="2:40" x14ac:dyDescent="0.25">
      <c r="B18" s="20" t="s">
        <v>198</v>
      </c>
      <c r="C18" s="35">
        <f>SUMIF(tblDTS[AssetType],"CDS",tblDTS[DTSWeight])</f>
        <v>0</v>
      </c>
      <c r="D18" s="128"/>
      <c r="E18" s="7" t="str">
        <f>tblBOneExport[[#This Row],[INSTRUMENT_CODE]]</f>
        <v>BF34058</v>
      </c>
      <c r="F18" s="7" t="str">
        <f>tblBOneExport[[#This Row],[INSTRUMENT]]</f>
        <v>LVMH MOET HENNES 1 14/06/22 EMTN</v>
      </c>
      <c r="G18" s="7" t="str">
        <f>IF(tblBOneExport[[#This Row],[ISIN]]&lt;&gt;"", tblBOneExport[[#This Row],[ISIN]],"")</f>
        <v>FR0013260841</v>
      </c>
      <c r="H18" s="7" t="str">
        <f>IF(tblCalculation[[#This Row],[B1Level2]]="CDS",tblBOneExport[[#This Row],[B1_TICKER]],IF(tblCalculation[[#This Row],[ISIN]]="","",INDEX(tblGetStaticData[Ticker],MATCH(tblCalculation[[#This Row],[ISIN]],tblGetStaticData[ISIN],0))))</f>
        <v>MCFP</v>
      </c>
      <c r="I18" s="7" t="str">
        <f>IF(tblBOneExport[[#This Row],[INSTRUMENT_TYPE]]="Forward Contract","Forward Contract",tblBOneExport[LEVEL2])</f>
        <v>Corporates</v>
      </c>
      <c r="J18" s="7" t="str">
        <f>IF(tblBOneExport[[#This Row],[INSTRUMENT_TYPE]]="Forward Contract","Forward Contract",tblBOneExport[[#This Row],[LEVEL3]])</f>
        <v>Industrials</v>
      </c>
      <c r="K18" s="7" t="str">
        <f>INDEX(tblLvl2Mapping[],MATCH(tblCalculation[[#This Row],[B1Level2]]&amp;"_"&amp;tblCalculation[[#This Row],[B1Level3]],tblLvl2Mapping[B1Level2_B1Level3],0),2)</f>
        <v>Corporate</v>
      </c>
      <c r="L18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8" s="7">
        <f>INDEX(tblAttributable[],MATCH(tblCalculation[[#This Row],[Level3]],tblAttributable[Level3],0),2)</f>
        <v>1</v>
      </c>
      <c r="N18" s="16">
        <f>tblBOneExport[[#This Row],[PTF_WEIGHT]]</f>
        <v>8.9911981999999998E-3</v>
      </c>
      <c r="O18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9.0184794717507975E-3</v>
      </c>
      <c r="P18" s="48">
        <f>tblCalculation[[#This Row],[PtfDTS]]/SUM(tblCalculation[PtfDTS])</f>
        <v>1.0936915889120083E-3</v>
      </c>
      <c r="Q18" s="16">
        <f>tblBOneExport[[#This Row],[PTF_CONTRIBUTION]]</f>
        <v>7.2811299999999999E-5</v>
      </c>
      <c r="R18" s="16">
        <f>tblCalculation[[#This Row],[PtfContributionBase]]-tblCalculation[[#This Row],[PtfCurrencyReturn]]</f>
        <v>7.2811299999999999E-5</v>
      </c>
      <c r="S18" s="16">
        <f>IF(tblBOneExport[[#This Row],[LEVEL1]]="Bonds",tblBOneExport[[#This Row],[PTF_GOV_CARRY]],"")</f>
        <v>3.1916999999999999E-6</v>
      </c>
      <c r="T18" s="16">
        <f>tblCalculation[[#This Row],[FIAttributable]]*tblBOneExport[[#This Row],[PTF_CREDIT_CARRY]]</f>
        <v>4.6278E-6</v>
      </c>
      <c r="U18" s="16">
        <f>tblCalculation[[#This Row],[FIAttributable]]*tblBOneExport[[#This Row],[PTF_TOTAL_CURVE]]</f>
        <v>6.5193500000000005E-5</v>
      </c>
      <c r="V18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2.336E-7</v>
      </c>
      <c r="W18" s="16">
        <f>IF(AND(tblCalculation[[#This Row],[Level3]]="Forward Contracts",tblBOneExport[[#This Row],[PTF_COST_OF_CARRY]]=0),tblBOneExport[[#This Row],[PTF_VALUATION]],0)</f>
        <v>0</v>
      </c>
      <c r="X18" s="16">
        <f>SUM(tblCalculation[[#This Row],[PtfTrading]:[PtfModelRes]])</f>
        <v>-4.3529999999999999E-7</v>
      </c>
      <c r="Y18" s="16">
        <f>tblCalculation[[#This Row],[FIAttributable]]*tblBOneExport[[#This Row],[PTF_TRADING]]</f>
        <v>0</v>
      </c>
      <c r="Z18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8" s="16">
        <f>tblCalculation[[#This Row],[FIAttributable]]*tblBOneExport[[#This Row],[PTF_MODEL_RESIDUAL]]-PTF_Credit_Adj*tblCalculation[[#This Row],[PtfDTSWeight]]</f>
        <v>-4.3529999999999999E-7</v>
      </c>
      <c r="AB18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8" s="16">
        <f>tblBOneExport[[#This Row],[BMK_WEIGHT]]</f>
        <v>0</v>
      </c>
      <c r="AD18" s="78">
        <f>tblCalculation[[#This Row],[FIAttributable]]*SUMIFS(tblDTS[DTSContribution_BM],tblDTS[ISIN],tblCalculation[[#This Row],[ISIN]])</f>
        <v>0</v>
      </c>
      <c r="AE18" s="16">
        <f>IF(SUM(tblCalculation[BMKDTS])=0,0,tblCalculation[[#This Row],[BMKDTS]]/SUM(tblCalculation[BMKDTS]))</f>
        <v>0</v>
      </c>
      <c r="AF18" s="16">
        <f>tblBOneExport[[#This Row],[BMK_CONTRIBUTION]]</f>
        <v>0</v>
      </c>
      <c r="AG18" s="16">
        <f>tblCalculation[[#This Row],[BMKContributionBase]]-tblBOneExport[BMK_SPOT_CCY_RETURN]-tblBOneExport[[#This Row],[BMK_CROSS_EFFECT]]</f>
        <v>0</v>
      </c>
      <c r="AH18" s="16">
        <f>tblCalculation[[#This Row],[FIAttributable]]*(tblBOneExport[[#This Row],[BMK_RETURN_GOV_CARRY]])</f>
        <v>0</v>
      </c>
      <c r="AI18" s="16">
        <f>tblCalculation[[#This Row],[FIAttributable]]*tblBOneExport[[#This Row],[BMK_CREDIT_CARRY]]</f>
        <v>0</v>
      </c>
      <c r="AJ18" s="16">
        <f>tblCalculation[[#This Row],[FIAttributable]]*tblBOneExport[[#This Row],[BMK_TOTAL_CURVE]]</f>
        <v>0</v>
      </c>
      <c r="AK18" s="16">
        <f>tblCalculation[[#This Row],[FIAttributable]]*(tblBOneExport[[#This Row],[BMK_TOTAL_SPREAD]]+BMK_Credit_Adj*tblCalculation[[#This Row],[BmkDTSWeight]])</f>
        <v>0</v>
      </c>
      <c r="AL18" s="16">
        <f>tblCalculation[[#This Row],[FIAttributable]]*tblBOneExport[[#This Row],[BMK_MODEL_RESIDUAL]]-BMK_Credit_Adj*tblCalculation[[#This Row],[BmkDTSWeight]]</f>
        <v>0</v>
      </c>
      <c r="AM18" s="16">
        <f>IF(tblCalculation[[#This Row],[Level3]]="Forward Contracts",tblCalculation[[#This Row],[BMKContributionLocal]],0)</f>
        <v>0</v>
      </c>
      <c r="AN18" s="16">
        <f>tblBOneExport[[#This Row],[BMK_SPOT_CCY_RETURN]]+tblBOneExport[[#This Row],[BMK_CROSS_EFFECT]]</f>
        <v>0</v>
      </c>
    </row>
    <row r="19" spans="2:40" x14ac:dyDescent="0.25">
      <c r="B19" s="21" t="s">
        <v>201</v>
      </c>
      <c r="C19" s="37">
        <f>C18+C17</f>
        <v>0</v>
      </c>
      <c r="D19" s="128"/>
      <c r="E19" s="7" t="str">
        <f>tblBOneExport[[#This Row],[INSTRUMENT_CODE]]</f>
        <v>S00645813</v>
      </c>
      <c r="F19" s="7" t="str">
        <f>tblBOneExport[[#This Row],[INSTRUMENT]]</f>
        <v>TNT N.V. 7.5 14/08/18</v>
      </c>
      <c r="G19" s="7" t="str">
        <f>IF(tblBOneExport[[#This Row],[ISIN]]&lt;&gt;"", tblBOneExport[[#This Row],[ISIN]],"")</f>
        <v>NL0006380537</v>
      </c>
      <c r="H19" s="7" t="str">
        <f>IF(tblCalculation[[#This Row],[B1Level2]]="CDS",tblBOneExport[[#This Row],[B1_TICKER]],IF(tblCalculation[[#This Row],[ISIN]]="","",INDEX(tblGetStaticData[Ticker],MATCH(tblCalculation[[#This Row],[ISIN]],tblGetStaticData[ISIN],0))))</f>
        <v>PNLNA</v>
      </c>
      <c r="I19" s="7" t="str">
        <f>IF(tblBOneExport[[#This Row],[INSTRUMENT_TYPE]]="Forward Contract","Forward Contract",tblBOneExport[LEVEL2])</f>
        <v>Corporates</v>
      </c>
      <c r="J19" s="7" t="str">
        <f>IF(tblBOneExport[[#This Row],[INSTRUMENT_TYPE]]="Forward Contract","Forward Contract",tblBOneExport[[#This Row],[LEVEL3]])</f>
        <v>Industrials</v>
      </c>
      <c r="K19" s="7" t="str">
        <f>INDEX(tblLvl2Mapping[],MATCH(tblCalculation[[#This Row],[B1Level2]]&amp;"_"&amp;tblCalculation[[#This Row],[B1Level3]],tblLvl2Mapping[B1Level2_B1Level3],0),2)</f>
        <v>Corporate</v>
      </c>
      <c r="L19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9" s="7">
        <f>INDEX(tblAttributable[],MATCH(tblCalculation[[#This Row],[Level3]],tblAttributable[Level3],0),2)</f>
        <v>1</v>
      </c>
      <c r="N19" s="16">
        <f>tblBOneExport[[#This Row],[PTF_WEIGHT]]</f>
        <v>1.4335284E-3</v>
      </c>
      <c r="O19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9.2240306305269514E-4</v>
      </c>
      <c r="P19" s="48">
        <f>tblCalculation[[#This Row],[PtfDTS]]/SUM(tblCalculation[PtfDTS])</f>
        <v>1.118619247077532E-4</v>
      </c>
      <c r="Q19" s="16">
        <f>tblBOneExport[[#This Row],[PTF_CONTRIBUTION]]</f>
        <v>2.9156999999999999E-6</v>
      </c>
      <c r="R19" s="16">
        <f>tblCalculation[[#This Row],[PtfContributionBase]]-tblCalculation[[#This Row],[PtfCurrencyReturn]]</f>
        <v>2.9156999999999999E-6</v>
      </c>
      <c r="S19" s="16">
        <f>IF(tblBOneExport[[#This Row],[LEVEL1]]="Bonds",tblBOneExport[[#This Row],[PTF_GOV_CARRY]],"")</f>
        <v>2.6370000000000001E-7</v>
      </c>
      <c r="T19" s="16">
        <f>tblCalculation[[#This Row],[FIAttributable]]*tblBOneExport[[#This Row],[PTF_CREDIT_CARRY]]</f>
        <v>1.0300000000000001E-6</v>
      </c>
      <c r="U19" s="16">
        <f>tblCalculation[[#This Row],[FIAttributable]]*tblBOneExport[[#This Row],[PTF_TOTAL_CURVE]]</f>
        <v>2.0041E-6</v>
      </c>
      <c r="V19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7.075E-7</v>
      </c>
      <c r="W19" s="16">
        <f>IF(AND(tblCalculation[[#This Row],[Level3]]="Forward Contracts",tblBOneExport[[#This Row],[PTF_COST_OF_CARRY]]=0),tblBOneExport[[#This Row],[PTF_VALUATION]],0)</f>
        <v>0</v>
      </c>
      <c r="X19" s="16">
        <f>SUM(tblCalculation[[#This Row],[PtfTrading]:[PtfModelRes]])</f>
        <v>-1.0893999999999999E-6</v>
      </c>
      <c r="Y19" s="16">
        <f>tblCalculation[[#This Row],[FIAttributable]]*tblBOneExport[[#This Row],[PTF_TRADING]]</f>
        <v>0</v>
      </c>
      <c r="Z19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9" s="16">
        <f>tblCalculation[[#This Row],[FIAttributable]]*tblBOneExport[[#This Row],[PTF_MODEL_RESIDUAL]]-PTF_Credit_Adj*tblCalculation[[#This Row],[PtfDTSWeight]]</f>
        <v>-1.0893999999999999E-6</v>
      </c>
      <c r="AB19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9" s="16">
        <f>tblBOneExport[[#This Row],[BMK_WEIGHT]]</f>
        <v>0</v>
      </c>
      <c r="AD19" s="78">
        <f>tblCalculation[[#This Row],[FIAttributable]]*SUMIFS(tblDTS[DTSContribution_BM],tblDTS[ISIN],tblCalculation[[#This Row],[ISIN]])</f>
        <v>2.1548245429916361E-3</v>
      </c>
      <c r="AE19" s="16">
        <f>IF(SUM(tblCalculation[BMKDTS])=0,0,tblCalculation[[#This Row],[BMKDTS]]/SUM(tblCalculation[BMKDTS]))</f>
        <v>2.5610150258316807E-4</v>
      </c>
      <c r="AF19" s="16">
        <f>tblBOneExport[[#This Row],[BMK_CONTRIBUTION]]</f>
        <v>0</v>
      </c>
      <c r="AG19" s="16">
        <f>tblCalculation[[#This Row],[BMKContributionBase]]-tblBOneExport[BMK_SPOT_CCY_RETURN]-tblBOneExport[[#This Row],[BMK_CROSS_EFFECT]]</f>
        <v>0</v>
      </c>
      <c r="AH19" s="16">
        <f>tblCalculation[[#This Row],[FIAttributable]]*(tblBOneExport[[#This Row],[BMK_RETURN_GOV_CARRY]])</f>
        <v>0</v>
      </c>
      <c r="AI19" s="16">
        <f>tblCalculation[[#This Row],[FIAttributable]]*tblBOneExport[[#This Row],[BMK_CREDIT_CARRY]]</f>
        <v>0</v>
      </c>
      <c r="AJ19" s="16">
        <f>tblCalculation[[#This Row],[FIAttributable]]*tblBOneExport[[#This Row],[BMK_TOTAL_CURVE]]</f>
        <v>0</v>
      </c>
      <c r="AK19" s="16">
        <f>tblCalculation[[#This Row],[FIAttributable]]*(tblBOneExport[[#This Row],[BMK_TOTAL_SPREAD]]+BMK_Credit_Adj*tblCalculation[[#This Row],[BmkDTSWeight]])</f>
        <v>0</v>
      </c>
      <c r="AL19" s="16">
        <f>tblCalculation[[#This Row],[FIAttributable]]*tblBOneExport[[#This Row],[BMK_MODEL_RESIDUAL]]-BMK_Credit_Adj*tblCalculation[[#This Row],[BmkDTSWeight]]</f>
        <v>0</v>
      </c>
      <c r="AM19" s="16">
        <f>IF(tblCalculation[[#This Row],[Level3]]="Forward Contracts",tblCalculation[[#This Row],[BMKContributionLocal]],0)</f>
        <v>0</v>
      </c>
      <c r="AN19" s="16">
        <f>tblBOneExport[[#This Row],[BMK_SPOT_CCY_RETURN]]+tblBOneExport[[#This Row],[BMK_CROSS_EFFECT]]</f>
        <v>0</v>
      </c>
    </row>
    <row r="20" spans="2:40" x14ac:dyDescent="0.25">
      <c r="B20" s="39" t="s">
        <v>200</v>
      </c>
      <c r="C20" s="22">
        <f>C19+C16</f>
        <v>0.99999999999999933</v>
      </c>
      <c r="D20" s="129"/>
      <c r="E20" s="7" t="str">
        <f>tblBOneExport[[#This Row],[INSTRUMENT_CODE]]</f>
        <v>S00086178</v>
      </c>
      <c r="F20" s="7" t="str">
        <f>tblBOneExport[[#This Row],[INSTRUMENT]]</f>
        <v>EUROPEAN INVT BK 8.75 25/08/17</v>
      </c>
      <c r="G20" s="7" t="str">
        <f>IF(tblBOneExport[[#This Row],[ISIN]]&lt;&gt;"", tblBOneExport[[#This Row],[ISIN]],"")</f>
        <v>XS0055498413</v>
      </c>
      <c r="H20" s="7" t="str">
        <f>IF(tblCalculation[[#This Row],[B1Level2]]="CDS",tblBOneExport[[#This Row],[B1_TICKER]],IF(tblCalculation[[#This Row],[ISIN]]="","",INDEX(tblGetStaticData[Ticker],MATCH(tblCalculation[[#This Row],[ISIN]],tblGetStaticData[ISIN],0))))</f>
        <v>EIB</v>
      </c>
      <c r="I20" s="7" t="str">
        <f>IF(tblBOneExport[[#This Row],[INSTRUMENT_TYPE]]="Forward Contract","Forward Contract",tblBOneExport[LEVEL2])</f>
        <v>Non-Corporate</v>
      </c>
      <c r="J20" s="7" t="str">
        <f>IF(tblBOneExport[[#This Row],[INSTRUMENT_TYPE]]="Forward Contract","Forward Contract",tblBOneExport[[#This Row],[LEVEL3]])</f>
        <v>Supranationals</v>
      </c>
      <c r="K20" s="7" t="str">
        <f>INDEX(tblLvl2Mapping[],MATCH(tblCalculation[[#This Row],[B1Level2]]&amp;"_"&amp;tblCalculation[[#This Row],[B1Level3]],tblLvl2Mapping[B1Level2_B1Level3],0),2)</f>
        <v>Corporate</v>
      </c>
      <c r="L20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0" s="7">
        <f>INDEX(tblAttributable[],MATCH(tblCalculation[[#This Row],[Level3]],tblAttributable[Level3],0),2)</f>
        <v>1</v>
      </c>
      <c r="N20" s="16">
        <f>tblBOneExport[[#This Row],[PTF_WEIGHT]]</f>
        <v>6.3364759999999997E-4</v>
      </c>
      <c r="O20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3.5404436026513312E-5</v>
      </c>
      <c r="P20" s="48">
        <f>tblCalculation[[#This Row],[PtfDTS]]/SUM(tblCalculation[PtfDTS])</f>
        <v>4.2935767624310746E-6</v>
      </c>
      <c r="Q20" s="16">
        <f>tblBOneExport[[#This Row],[PTF_CONTRIBUTION]]</f>
        <v>4.9149999999999997E-7</v>
      </c>
      <c r="R20" s="16">
        <f>tblCalculation[[#This Row],[PtfContributionBase]]-tblCalculation[[#This Row],[PtfCurrencyReturn]]</f>
        <v>4.9149999999999997E-7</v>
      </c>
      <c r="S20" s="16">
        <f>IF(tblBOneExport[[#This Row],[LEVEL1]]="Bonds",tblBOneExport[[#This Row],[PTF_GOV_CARRY]],"")</f>
        <v>1.2459999999999999E-7</v>
      </c>
      <c r="T20" s="16">
        <f>tblCalculation[[#This Row],[FIAttributable]]*tblBOneExport[[#This Row],[PTF_CREDIT_CARRY]]</f>
        <v>1.113E-6</v>
      </c>
      <c r="U20" s="16">
        <f>tblCalculation[[#This Row],[FIAttributable]]*tblBOneExport[[#This Row],[PTF_TOTAL_CURVE]]</f>
        <v>6E-10</v>
      </c>
      <c r="V20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-7.5030000000000004E-7</v>
      </c>
      <c r="W20" s="16">
        <f>IF(AND(tblCalculation[[#This Row],[Level3]]="Forward Contracts",tblBOneExport[[#This Row],[PTF_COST_OF_CARRY]]=0),tblBOneExport[[#This Row],[PTF_VALUATION]],0)</f>
        <v>0</v>
      </c>
      <c r="X20" s="16">
        <f>SUM(tblCalculation[[#This Row],[PtfTrading]:[PtfModelRes]])</f>
        <v>3.6000000000000058E-9</v>
      </c>
      <c r="Y20" s="16">
        <f>tblCalculation[[#This Row],[FIAttributable]]*tblBOneExport[[#This Row],[PTF_TRADING]]</f>
        <v>1.72E-7</v>
      </c>
      <c r="Z20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0" s="16">
        <f>tblCalculation[[#This Row],[FIAttributable]]*tblBOneExport[[#This Row],[PTF_MODEL_RESIDUAL]]-PTF_Credit_Adj*tblCalculation[[#This Row],[PtfDTSWeight]]</f>
        <v>-1.684E-7</v>
      </c>
      <c r="AB20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0" s="16">
        <f>tblBOneExport[[#This Row],[BMK_WEIGHT]]</f>
        <v>0</v>
      </c>
      <c r="AD20" s="78">
        <f>tblCalculation[[#This Row],[FIAttributable]]*SUMIFS(tblDTS[DTSContribution_BM],tblDTS[ISIN],tblCalculation[[#This Row],[ISIN]])</f>
        <v>0</v>
      </c>
      <c r="AE20" s="16">
        <f>IF(SUM(tblCalculation[BMKDTS])=0,0,tblCalculation[[#This Row],[BMKDTS]]/SUM(tblCalculation[BMKDTS]))</f>
        <v>0</v>
      </c>
      <c r="AF20" s="16">
        <f>tblBOneExport[[#This Row],[BMK_CONTRIBUTION]]</f>
        <v>0</v>
      </c>
      <c r="AG20" s="16">
        <f>tblCalculation[[#This Row],[BMKContributionBase]]-tblBOneExport[BMK_SPOT_CCY_RETURN]-tblBOneExport[[#This Row],[BMK_CROSS_EFFECT]]</f>
        <v>0</v>
      </c>
      <c r="AH20" s="16">
        <f>tblCalculation[[#This Row],[FIAttributable]]*(tblBOneExport[[#This Row],[BMK_RETURN_GOV_CARRY]])</f>
        <v>0</v>
      </c>
      <c r="AI20" s="16">
        <f>tblCalculation[[#This Row],[FIAttributable]]*tblBOneExport[[#This Row],[BMK_CREDIT_CARRY]]</f>
        <v>0</v>
      </c>
      <c r="AJ20" s="16">
        <f>tblCalculation[[#This Row],[FIAttributable]]*tblBOneExport[[#This Row],[BMK_TOTAL_CURVE]]</f>
        <v>0</v>
      </c>
      <c r="AK20" s="16">
        <f>tblCalculation[[#This Row],[FIAttributable]]*(tblBOneExport[[#This Row],[BMK_TOTAL_SPREAD]]+BMK_Credit_Adj*tblCalculation[[#This Row],[BmkDTSWeight]])</f>
        <v>0</v>
      </c>
      <c r="AL20" s="16">
        <f>tblCalculation[[#This Row],[FIAttributable]]*tblBOneExport[[#This Row],[BMK_MODEL_RESIDUAL]]-BMK_Credit_Adj*tblCalculation[[#This Row],[BmkDTSWeight]]</f>
        <v>0</v>
      </c>
      <c r="AM20" s="16">
        <f>IF(tblCalculation[[#This Row],[Level3]]="Forward Contracts",tblCalculation[[#This Row],[BMKContributionLocal]],0)</f>
        <v>0</v>
      </c>
      <c r="AN20" s="16">
        <f>tblBOneExport[[#This Row],[BMK_SPOT_CCY_RETURN]]+tblBOneExport[[#This Row],[BMK_CROSS_EFFECT]]</f>
        <v>0</v>
      </c>
    </row>
    <row r="21" spans="2:40" x14ac:dyDescent="0.25">
      <c r="B21" s="38" t="s">
        <v>203</v>
      </c>
      <c r="C21" s="22">
        <f>SUM(tblDTS[DTSWeight_BM])</f>
        <v>1.0000000000000002</v>
      </c>
      <c r="D21" s="130"/>
      <c r="E21" s="7" t="str">
        <f>tblBOneExport[[#This Row],[INSTRUMENT_CODE]]</f>
        <v>S00082243</v>
      </c>
      <c r="F21" s="7" t="str">
        <f>tblBOneExport[[#This Row],[INSTRUMENT]]</f>
        <v>EDF NRG NET EPN 8.5 31/03/25</v>
      </c>
      <c r="G21" s="7" t="str">
        <f>IF(tblBOneExport[[#This Row],[ISIN]]&lt;&gt;"", tblBOneExport[[#This Row],[ISIN]],"")</f>
        <v>XS0058209106</v>
      </c>
      <c r="H21" s="7" t="str">
        <f>IF(tblCalculation[[#This Row],[B1Level2]]="CDS",tblBOneExport[[#This Row],[B1_TICKER]],IF(tblCalculation[[#This Row],[ISIN]]="","",INDEX(tblGetStaticData[Ticker],MATCH(tblCalculation[[#This Row],[ISIN]],tblGetStaticData[ISIN],0))))</f>
        <v>UKPONE</v>
      </c>
      <c r="I21" s="7" t="str">
        <f>IF(tblBOneExport[[#This Row],[INSTRUMENT_TYPE]]="Forward Contract","Forward Contract",tblBOneExport[LEVEL2])</f>
        <v>Corporates</v>
      </c>
      <c r="J21" s="7" t="str">
        <f>IF(tblBOneExport[[#This Row],[INSTRUMENT_TYPE]]="Forward Contract","Forward Contract",tblBOneExport[[#This Row],[LEVEL3]])</f>
        <v>Utilities</v>
      </c>
      <c r="K21" s="7" t="str">
        <f>INDEX(tblLvl2Mapping[],MATCH(tblCalculation[[#This Row],[B1Level2]]&amp;"_"&amp;tblCalculation[[#This Row],[B1Level3]],tblLvl2Mapping[B1Level2_B1Level3],0),2)</f>
        <v>Corporate</v>
      </c>
      <c r="L21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1" s="7">
        <f>INDEX(tblAttributable[],MATCH(tblCalculation[[#This Row],[Level3]],tblAttributable[Level3],0),2)</f>
        <v>1</v>
      </c>
      <c r="N21" s="16">
        <f>tblBOneExport[[#This Row],[PTF_WEIGHT]]</f>
        <v>1.7410638E-3</v>
      </c>
      <c r="O21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8.851940662301527E-3</v>
      </c>
      <c r="P21" s="48">
        <f>tblCalculation[[#This Row],[PtfDTS]]/SUM(tblCalculation[PtfDTS])</f>
        <v>1.0734950473893911E-3</v>
      </c>
      <c r="Q21" s="16">
        <f>tblBOneExport[[#This Row],[PTF_CONTRIBUTION]]</f>
        <v>2.0720299999999999E-5</v>
      </c>
      <c r="R21" s="16">
        <f>tblCalculation[[#This Row],[PtfContributionBase]]-tblCalculation[[#This Row],[PtfCurrencyReturn]]</f>
        <v>2.0720299999999999E-5</v>
      </c>
      <c r="S21" s="16">
        <f>IF(tblBOneExport[[#This Row],[LEVEL1]]="Bonds",tblBOneExport[[#This Row],[PTF_GOV_CARRY]],"")</f>
        <v>1.2021000000000001E-6</v>
      </c>
      <c r="T21" s="16">
        <f>tblCalculation[[#This Row],[FIAttributable]]*tblBOneExport[[#This Row],[PTF_CREDIT_CARRY]]</f>
        <v>1.4980999999999999E-6</v>
      </c>
      <c r="U21" s="16">
        <f>tblCalculation[[#This Row],[FIAttributable]]*tblBOneExport[[#This Row],[PTF_TOTAL_CURVE]]</f>
        <v>2.0115500000000001E-5</v>
      </c>
      <c r="V21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-2.6178000000000002E-6</v>
      </c>
      <c r="W21" s="16">
        <f>IF(AND(tblCalculation[[#This Row],[Level3]]="Forward Contracts",tblBOneExport[[#This Row],[PTF_COST_OF_CARRY]]=0),tblBOneExport[[#This Row],[PTF_VALUATION]],0)</f>
        <v>0</v>
      </c>
      <c r="X21" s="16">
        <f>SUM(tblCalculation[[#This Row],[PtfTrading]:[PtfModelRes]])</f>
        <v>5.2239999999999997E-7</v>
      </c>
      <c r="Y21" s="16">
        <f>tblCalculation[[#This Row],[FIAttributable]]*tblBOneExport[[#This Row],[PTF_TRADING]]</f>
        <v>0</v>
      </c>
      <c r="Z21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1" s="16">
        <f>tblCalculation[[#This Row],[FIAttributable]]*tblBOneExport[[#This Row],[PTF_MODEL_RESIDUAL]]-PTF_Credit_Adj*tblCalculation[[#This Row],[PtfDTSWeight]]</f>
        <v>5.2239999999999997E-7</v>
      </c>
      <c r="AB21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1" s="16">
        <f>tblBOneExport[[#This Row],[BMK_WEIGHT]]</f>
        <v>0</v>
      </c>
      <c r="AD21" s="78">
        <f>tblCalculation[[#This Row],[FIAttributable]]*SUMIFS(tblDTS[DTSContribution_BM],tblDTS[ISIN],tblCalculation[[#This Row],[ISIN]])</f>
        <v>1.1685263627193429E-2</v>
      </c>
      <c r="AE21" s="16">
        <f>IF(SUM(tblCalculation[BMKDTS])=0,0,tblCalculation[[#This Row],[BMKDTS]]/SUM(tblCalculation[BMKDTS]))</f>
        <v>1.3887968664260258E-3</v>
      </c>
      <c r="AF21" s="16">
        <f>tblBOneExport[[#This Row],[BMK_CONTRIBUTION]]</f>
        <v>0</v>
      </c>
      <c r="AG21" s="16">
        <f>tblCalculation[[#This Row],[BMKContributionBase]]-tblBOneExport[BMK_SPOT_CCY_RETURN]-tblBOneExport[[#This Row],[BMK_CROSS_EFFECT]]</f>
        <v>0</v>
      </c>
      <c r="AH21" s="16">
        <f>tblCalculation[[#This Row],[FIAttributable]]*(tblBOneExport[[#This Row],[BMK_RETURN_GOV_CARRY]])</f>
        <v>0</v>
      </c>
      <c r="AI21" s="16">
        <f>tblCalculation[[#This Row],[FIAttributable]]*tblBOneExport[[#This Row],[BMK_CREDIT_CARRY]]</f>
        <v>0</v>
      </c>
      <c r="AJ21" s="16">
        <f>tblCalculation[[#This Row],[FIAttributable]]*tblBOneExport[[#This Row],[BMK_TOTAL_CURVE]]</f>
        <v>0</v>
      </c>
      <c r="AK21" s="16">
        <f>tblCalculation[[#This Row],[FIAttributable]]*(tblBOneExport[[#This Row],[BMK_TOTAL_SPREAD]]+BMK_Credit_Adj*tblCalculation[[#This Row],[BmkDTSWeight]])</f>
        <v>0</v>
      </c>
      <c r="AL21" s="16">
        <f>tblCalculation[[#This Row],[FIAttributable]]*tblBOneExport[[#This Row],[BMK_MODEL_RESIDUAL]]-BMK_Credit_Adj*tblCalculation[[#This Row],[BmkDTSWeight]]</f>
        <v>0</v>
      </c>
      <c r="AM21" s="16">
        <f>IF(tblCalculation[[#This Row],[Level3]]="Forward Contracts",tblCalculation[[#This Row],[BMKContributionLocal]],0)</f>
        <v>0</v>
      </c>
      <c r="AN21" s="16">
        <f>tblBOneExport[[#This Row],[BMK_SPOT_CCY_RETURN]]+tblBOneExport[[#This Row],[BMK_CROSS_EFFECT]]</f>
        <v>0</v>
      </c>
    </row>
    <row r="22" spans="2:40" x14ac:dyDescent="0.25">
      <c r="E22" s="7" t="str">
        <f>tblBOneExport[[#This Row],[INSTRUMENT_CODE]]</f>
        <v>S00055237</v>
      </c>
      <c r="F22" s="7" t="str">
        <f>tblBOneExport[[#This Row],[INSTRUMENT]]</f>
        <v>UNITED UTIL ELEC 8.875 25/03/26 BR</v>
      </c>
      <c r="G22" s="7" t="str">
        <f>IF(tblBOneExport[[#This Row],[ISIN]]&lt;&gt;"", tblBOneExport[[#This Row],[ISIN]],"")</f>
        <v>XS0058957316</v>
      </c>
      <c r="H22" s="7" t="str">
        <f>IF(tblCalculation[[#This Row],[B1Level2]]="CDS",tblBOneExport[[#This Row],[B1_TICKER]],IF(tblCalculation[[#This Row],[ISIN]]="","",INDEX(tblGetStaticData[Ticker],MATCH(tblCalculation[[#This Row],[ISIN]],tblGetStaticData[ISIN],0))))</f>
        <v>NWENET</v>
      </c>
      <c r="I22" s="7" t="str">
        <f>IF(tblBOneExport[[#This Row],[INSTRUMENT_TYPE]]="Forward Contract","Forward Contract",tblBOneExport[LEVEL2])</f>
        <v>Corporates</v>
      </c>
      <c r="J22" s="7" t="str">
        <f>IF(tblBOneExport[[#This Row],[INSTRUMENT_TYPE]]="Forward Contract","Forward Contract",tblBOneExport[[#This Row],[LEVEL3]])</f>
        <v>Utilities</v>
      </c>
      <c r="K22" s="7" t="str">
        <f>INDEX(tblLvl2Mapping[],MATCH(tblCalculation[[#This Row],[B1Level2]]&amp;"_"&amp;tblCalculation[[#This Row],[B1Level3]],tblLvl2Mapping[B1Level2_B1Level3],0),2)</f>
        <v>Corporate</v>
      </c>
      <c r="L22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2" s="7">
        <f>INDEX(tblAttributable[],MATCH(tblCalculation[[#This Row],[Level3]],tblAttributable[Level3],0),2)</f>
        <v>1</v>
      </c>
      <c r="N22" s="16">
        <f>tblBOneExport[[#This Row],[PTF_WEIGHT]]</f>
        <v>9.1673048999999993E-3</v>
      </c>
      <c r="O22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5.644554613609333E-2</v>
      </c>
      <c r="P22" s="48">
        <f>tblCalculation[[#This Row],[PtfDTS]]/SUM(tblCalculation[PtfDTS])</f>
        <v>6.8452802087052142E-3</v>
      </c>
      <c r="Q22" s="16">
        <f>tblBOneExport[[#This Row],[PTF_CONTRIBUTION]]</f>
        <v>1.22383E-4</v>
      </c>
      <c r="R22" s="16">
        <f>tblCalculation[[#This Row],[PtfContributionBase]]-tblCalculation[[#This Row],[PtfCurrencyReturn]]</f>
        <v>1.22383E-4</v>
      </c>
      <c r="S22" s="16">
        <f>IF(tblBOneExport[[#This Row],[LEVEL1]]="Bonds",tblBOneExport[[#This Row],[PTF_GOV_CARRY]],"")</f>
        <v>7.3015999999999997E-6</v>
      </c>
      <c r="T22" s="16">
        <f>tblCalculation[[#This Row],[FIAttributable]]*tblBOneExport[[#This Row],[PTF_CREDIT_CARRY]]</f>
        <v>8.0754999999999992E-6</v>
      </c>
      <c r="U22" s="16">
        <f>tblCalculation[[#This Row],[FIAttributable]]*tblBOneExport[[#This Row],[PTF_TOTAL_CURVE]]</f>
        <v>1.2006089999999999E-4</v>
      </c>
      <c r="V22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-1.6008500000000001E-5</v>
      </c>
      <c r="W22" s="16">
        <f>IF(AND(tblCalculation[[#This Row],[Level3]]="Forward Contracts",tblBOneExport[[#This Row],[PTF_COST_OF_CARRY]]=0),tblBOneExport[[#This Row],[PTF_VALUATION]],0)</f>
        <v>0</v>
      </c>
      <c r="X22" s="16">
        <f>SUM(tblCalculation[[#This Row],[PtfTrading]:[PtfModelRes]])</f>
        <v>2.9536E-6</v>
      </c>
      <c r="Y22" s="16">
        <f>tblCalculation[[#This Row],[FIAttributable]]*tblBOneExport[[#This Row],[PTF_TRADING]]</f>
        <v>0</v>
      </c>
      <c r="Z22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2" s="16">
        <f>tblCalculation[[#This Row],[FIAttributable]]*tblBOneExport[[#This Row],[PTF_MODEL_RESIDUAL]]-PTF_Credit_Adj*tblCalculation[[#This Row],[PtfDTSWeight]]</f>
        <v>2.9536E-6</v>
      </c>
      <c r="AB22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2" s="16">
        <f>tblBOneExport[[#This Row],[BMK_WEIGHT]]</f>
        <v>0</v>
      </c>
      <c r="AD22" s="78">
        <f>tblCalculation[[#This Row],[FIAttributable]]*SUMIFS(tblDTS[DTSContribution_BM],tblDTS[ISIN],tblCalculation[[#This Row],[ISIN]])</f>
        <v>1.1871938265271937E-2</v>
      </c>
      <c r="AE22" s="16">
        <f>IF(SUM(tblCalculation[BMKDTS])=0,0,tblCalculation[[#This Row],[BMKDTS]]/SUM(tblCalculation[BMKDTS]))</f>
        <v>1.4109831996296108E-3</v>
      </c>
      <c r="AF22" s="16">
        <f>tblBOneExport[[#This Row],[BMK_CONTRIBUTION]]</f>
        <v>0</v>
      </c>
      <c r="AG22" s="16">
        <f>tblCalculation[[#This Row],[BMKContributionBase]]-tblBOneExport[BMK_SPOT_CCY_RETURN]-tblBOneExport[[#This Row],[BMK_CROSS_EFFECT]]</f>
        <v>0</v>
      </c>
      <c r="AH22" s="16">
        <f>tblCalculation[[#This Row],[FIAttributable]]*(tblBOneExport[[#This Row],[BMK_RETURN_GOV_CARRY]])</f>
        <v>0</v>
      </c>
      <c r="AI22" s="16">
        <f>tblCalculation[[#This Row],[FIAttributable]]*tblBOneExport[[#This Row],[BMK_CREDIT_CARRY]]</f>
        <v>0</v>
      </c>
      <c r="AJ22" s="16">
        <f>tblCalculation[[#This Row],[FIAttributable]]*tblBOneExport[[#This Row],[BMK_TOTAL_CURVE]]</f>
        <v>0</v>
      </c>
      <c r="AK22" s="16">
        <f>tblCalculation[[#This Row],[FIAttributable]]*(tblBOneExport[[#This Row],[BMK_TOTAL_SPREAD]]+BMK_Credit_Adj*tblCalculation[[#This Row],[BmkDTSWeight]])</f>
        <v>0</v>
      </c>
      <c r="AL22" s="16">
        <f>tblCalculation[[#This Row],[FIAttributable]]*tblBOneExport[[#This Row],[BMK_MODEL_RESIDUAL]]-BMK_Credit_Adj*tblCalculation[[#This Row],[BmkDTSWeight]]</f>
        <v>0</v>
      </c>
      <c r="AM22" s="16">
        <f>IF(tblCalculation[[#This Row],[Level3]]="Forward Contracts",tblCalculation[[#This Row],[BMKContributionLocal]],0)</f>
        <v>0</v>
      </c>
      <c r="AN22" s="16">
        <f>tblBOneExport[[#This Row],[BMK_SPOT_CCY_RETURN]]+tblBOneExport[[#This Row],[BMK_CROSS_EFFECT]]</f>
        <v>0</v>
      </c>
    </row>
    <row r="23" spans="2:40" x14ac:dyDescent="0.25">
      <c r="B23" t="s">
        <v>206</v>
      </c>
      <c r="E23" s="7" t="str">
        <f>tblBOneExport[[#This Row],[INSTRUMENT_CODE]]</f>
        <v>4962902</v>
      </c>
      <c r="F23" s="7" t="str">
        <f>tblBOneExport[[#This Row],[INSTRUMENT]]</f>
        <v>SOUTH WALES ELEC 9.25 09/11/20</v>
      </c>
      <c r="G23" s="7" t="str">
        <f>IF(tblBOneExport[[#This Row],[ISIN]]&lt;&gt;"", tblBOneExport[[#This Row],[ISIN]],"")</f>
        <v>XS0061222484</v>
      </c>
      <c r="H23" s="7" t="str">
        <f>IF(tblCalculation[[#This Row],[B1Level2]]="CDS",tblBOneExport[[#This Row],[B1_TICKER]],IF(tblCalculation[[#This Row],[ISIN]]="","",INDEX(tblGetStaticData[Ticker],MATCH(tblCalculation[[#This Row],[ISIN]],tblGetStaticData[ISIN],0))))</f>
        <v>PPL</v>
      </c>
      <c r="I23" s="7" t="str">
        <f>IF(tblBOneExport[[#This Row],[INSTRUMENT_TYPE]]="Forward Contract","Forward Contract",tblBOneExport[LEVEL2])</f>
        <v>Corporates</v>
      </c>
      <c r="J23" s="7" t="str">
        <f>IF(tblBOneExport[[#This Row],[INSTRUMENT_TYPE]]="Forward Contract","Forward Contract",tblBOneExport[[#This Row],[LEVEL3]])</f>
        <v>Utilities</v>
      </c>
      <c r="K23" s="7" t="str">
        <f>INDEX(tblLvl2Mapping[],MATCH(tblCalculation[[#This Row],[B1Level2]]&amp;"_"&amp;tblCalculation[[#This Row],[B1Level3]],tblLvl2Mapping[B1Level2_B1Level3],0),2)</f>
        <v>Corporate</v>
      </c>
      <c r="L23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3" s="7">
        <f>INDEX(tblAttributable[],MATCH(tblCalculation[[#This Row],[Level3]],tblAttributable[Level3],0),2)</f>
        <v>1</v>
      </c>
      <c r="N23" s="16">
        <f>tblBOneExport[[#This Row],[PTF_WEIGHT]]</f>
        <v>1.6950363999999999E-3</v>
      </c>
      <c r="O23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1.8049608711163136E-3</v>
      </c>
      <c r="P23" s="48">
        <f>tblCalculation[[#This Row],[PtfDTS]]/SUM(tblCalculation[PtfDTS])</f>
        <v>2.1889172440195937E-4</v>
      </c>
      <c r="Q23" s="16">
        <f>tblBOneExport[[#This Row],[PTF_CONTRIBUTION]]</f>
        <v>6.7318999999999999E-6</v>
      </c>
      <c r="R23" s="16">
        <f>tblCalculation[[#This Row],[PtfContributionBase]]-tblCalculation[[#This Row],[PtfCurrencyReturn]]</f>
        <v>6.7318999999999999E-6</v>
      </c>
      <c r="S23" s="16">
        <f>IF(tblBOneExport[[#This Row],[LEVEL1]]="Bonds",tblBOneExport[[#This Row],[PTF_GOV_CARRY]],"")</f>
        <v>3.7520000000000002E-7</v>
      </c>
      <c r="T23" s="16">
        <f>tblCalculation[[#This Row],[FIAttributable]]*tblBOneExport[[#This Row],[PTF_CREDIT_CARRY]]</f>
        <v>1.1040999999999999E-6</v>
      </c>
      <c r="U23" s="16">
        <f>tblCalculation[[#This Row],[FIAttributable]]*tblBOneExport[[#This Row],[PTF_TOTAL_CURVE]]</f>
        <v>5.8190999999999999E-6</v>
      </c>
      <c r="V23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-4.6950000000000002E-7</v>
      </c>
      <c r="W23" s="16">
        <f>IF(AND(tblCalculation[[#This Row],[Level3]]="Forward Contracts",tblBOneExport[[#This Row],[PTF_COST_OF_CARRY]]=0),tblBOneExport[[#This Row],[PTF_VALUATION]],0)</f>
        <v>0</v>
      </c>
      <c r="X23" s="16">
        <f>SUM(tblCalculation[[#This Row],[PtfTrading]:[PtfModelRes]])</f>
        <v>-9.6900000000000001E-8</v>
      </c>
      <c r="Y23" s="16">
        <f>tblCalculation[[#This Row],[FIAttributable]]*tblBOneExport[[#This Row],[PTF_TRADING]]</f>
        <v>0</v>
      </c>
      <c r="Z23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3" s="16">
        <f>tblCalculation[[#This Row],[FIAttributable]]*tblBOneExport[[#This Row],[PTF_MODEL_RESIDUAL]]-PTF_Credit_Adj*tblCalculation[[#This Row],[PtfDTSWeight]]</f>
        <v>-9.6900000000000001E-8</v>
      </c>
      <c r="AB23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3" s="16">
        <f>tblBOneExport[[#This Row],[BMK_WEIGHT]]</f>
        <v>0</v>
      </c>
      <c r="AD23" s="78">
        <f>tblCalculation[[#This Row],[FIAttributable]]*SUMIFS(tblDTS[DTSContribution_BM],tblDTS[ISIN],tblCalculation[[#This Row],[ISIN]])</f>
        <v>2.3822347293752035E-3</v>
      </c>
      <c r="AE23" s="16">
        <f>IF(SUM(tblCalculation[BMKDTS])=0,0,tblCalculation[[#This Row],[BMKDTS]]/SUM(tblCalculation[BMKDTS]))</f>
        <v>2.8312926715220007E-4</v>
      </c>
      <c r="AF23" s="16">
        <f>tblBOneExport[[#This Row],[BMK_CONTRIBUTION]]</f>
        <v>0</v>
      </c>
      <c r="AG23" s="16">
        <f>tblCalculation[[#This Row],[BMKContributionBase]]-tblBOneExport[BMK_SPOT_CCY_RETURN]-tblBOneExport[[#This Row],[BMK_CROSS_EFFECT]]</f>
        <v>0</v>
      </c>
      <c r="AH23" s="16">
        <f>tblCalculation[[#This Row],[FIAttributable]]*(tblBOneExport[[#This Row],[BMK_RETURN_GOV_CARRY]])</f>
        <v>0</v>
      </c>
      <c r="AI23" s="16">
        <f>tblCalculation[[#This Row],[FIAttributable]]*tblBOneExport[[#This Row],[BMK_CREDIT_CARRY]]</f>
        <v>0</v>
      </c>
      <c r="AJ23" s="16">
        <f>tblCalculation[[#This Row],[FIAttributable]]*tblBOneExport[[#This Row],[BMK_TOTAL_CURVE]]</f>
        <v>0</v>
      </c>
      <c r="AK23" s="16">
        <f>tblCalculation[[#This Row],[FIAttributable]]*(tblBOneExport[[#This Row],[BMK_TOTAL_SPREAD]]+BMK_Credit_Adj*tblCalculation[[#This Row],[BmkDTSWeight]])</f>
        <v>0</v>
      </c>
      <c r="AL23" s="16">
        <f>tblCalculation[[#This Row],[FIAttributable]]*tblBOneExport[[#This Row],[BMK_MODEL_RESIDUAL]]-BMK_Credit_Adj*tblCalculation[[#This Row],[BmkDTSWeight]]</f>
        <v>0</v>
      </c>
      <c r="AM23" s="16">
        <f>IF(tblCalculation[[#This Row],[Level3]]="Forward Contracts",tblCalculation[[#This Row],[BMKContributionLocal]],0)</f>
        <v>0</v>
      </c>
      <c r="AN23" s="16">
        <f>tblBOneExport[[#This Row],[BMK_SPOT_CCY_RETURN]]+tblBOneExport[[#This Row],[BMK_CROSS_EFFECT]]</f>
        <v>0</v>
      </c>
    </row>
    <row r="24" spans="2:40" x14ac:dyDescent="0.25">
      <c r="B24" s="41"/>
      <c r="D24" s="111"/>
      <c r="E24" s="7" t="str">
        <f>tblBOneExport[[#This Row],[INSTRUMENT_CODE]]</f>
        <v>S00062078</v>
      </c>
      <c r="F24" s="7" t="str">
        <f>tblBOneExport[[#This Row],[INSTRUMENT]]</f>
        <v>NORTHUMBRIAN WTR 6.875 06/02/23</v>
      </c>
      <c r="G24" s="7" t="str">
        <f>IF(tblBOneExport[[#This Row],[ISIN]]&lt;&gt;"", tblBOneExport[[#This Row],[ISIN]],"")</f>
        <v>XS0083567775</v>
      </c>
      <c r="H24" s="7" t="str">
        <f>IF(tblCalculation[[#This Row],[B1Level2]]="CDS",tblBOneExport[[#This Row],[B1_TICKER]],IF(tblCalculation[[#This Row],[ISIN]]="","",INDEX(tblGetStaticData[Ticker],MATCH(tblCalculation[[#This Row],[ISIN]],tblGetStaticData[ISIN],0))))</f>
        <v>NWGLN</v>
      </c>
      <c r="I24" s="7" t="str">
        <f>IF(tblBOneExport[[#This Row],[INSTRUMENT_TYPE]]="Forward Contract","Forward Contract",tblBOneExport[LEVEL2])</f>
        <v>Corporates</v>
      </c>
      <c r="J24" s="7" t="str">
        <f>IF(tblBOneExport[[#This Row],[INSTRUMENT_TYPE]]="Forward Contract","Forward Contract",tblBOneExport[[#This Row],[LEVEL3]])</f>
        <v>Utilities</v>
      </c>
      <c r="K24" s="7" t="str">
        <f>INDEX(tblLvl2Mapping[],MATCH(tblCalculation[[#This Row],[B1Level2]]&amp;"_"&amp;tblCalculation[[#This Row],[B1Level3]],tblLvl2Mapping[B1Level2_B1Level3],0),2)</f>
        <v>Corporate</v>
      </c>
      <c r="L24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4" s="7">
        <f>INDEX(tblAttributable[],MATCH(tblCalculation[[#This Row],[Level3]],tblAttributable[Level3],0),2)</f>
        <v>1</v>
      </c>
      <c r="N24" s="16">
        <f>tblBOneExport[[#This Row],[PTF_WEIGHT]]</f>
        <v>1.0662848000000001E-3</v>
      </c>
      <c r="O24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3.3476702560909571E-3</v>
      </c>
      <c r="P24" s="48">
        <f>tblCalculation[[#This Row],[PtfDTS]]/SUM(tblCalculation[PtfDTS])</f>
        <v>4.0597961252849651E-4</v>
      </c>
      <c r="Q24" s="16">
        <f>tblBOneExport[[#This Row],[PTF_CONTRIBUTION]]</f>
        <v>7.9423000000000002E-6</v>
      </c>
      <c r="R24" s="16">
        <f>tblCalculation[[#This Row],[PtfContributionBase]]-tblCalculation[[#This Row],[PtfCurrencyReturn]]</f>
        <v>7.9423000000000002E-6</v>
      </c>
      <c r="S24" s="16">
        <f>IF(tblBOneExport[[#This Row],[LEVEL1]]="Bonds",tblBOneExport[[#This Row],[PTF_GOV_CARRY]],"")</f>
        <v>5.031E-7</v>
      </c>
      <c r="T24" s="16">
        <f>tblCalculation[[#This Row],[FIAttributable]]*tblBOneExport[[#This Row],[PTF_CREDIT_CARRY]]</f>
        <v>8.8130000000000004E-7</v>
      </c>
      <c r="U24" s="16">
        <f>tblCalculation[[#This Row],[FIAttributable]]*tblBOneExport[[#This Row],[PTF_TOTAL_CURVE]]</f>
        <v>7.4030000000000001E-6</v>
      </c>
      <c r="V24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-6.7599999999999997E-7</v>
      </c>
      <c r="W24" s="16">
        <f>IF(AND(tblCalculation[[#This Row],[Level3]]="Forward Contracts",tblBOneExport[[#This Row],[PTF_COST_OF_CARRY]]=0),tblBOneExport[[#This Row],[PTF_VALUATION]],0)</f>
        <v>0</v>
      </c>
      <c r="X24" s="16">
        <f>SUM(tblCalculation[[#This Row],[PtfTrading]:[PtfModelRes]])</f>
        <v>-1.6899999999999999E-7</v>
      </c>
      <c r="Y24" s="16">
        <f>tblCalculation[[#This Row],[FIAttributable]]*tblBOneExport[[#This Row],[PTF_TRADING]]</f>
        <v>0</v>
      </c>
      <c r="Z24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4" s="16">
        <f>tblCalculation[[#This Row],[FIAttributable]]*tblBOneExport[[#This Row],[PTF_MODEL_RESIDUAL]]-PTF_Credit_Adj*tblCalculation[[#This Row],[PtfDTSWeight]]</f>
        <v>-1.6899999999999999E-7</v>
      </c>
      <c r="AB24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4" s="16">
        <f>tblBOneExport[[#This Row],[BMK_WEIGHT]]</f>
        <v>0</v>
      </c>
      <c r="AD24" s="78">
        <f>tblCalculation[[#This Row],[FIAttributable]]*SUMIFS(tblDTS[DTSContribution_BM],tblDTS[ISIN],tblCalculation[[#This Row],[ISIN]])</f>
        <v>4.4182002714712098E-3</v>
      </c>
      <c r="AE24" s="16">
        <f>IF(SUM(tblCalculation[BMKDTS])=0,0,tblCalculation[[#This Row],[BMKDTS]]/SUM(tblCalculation[BMKDTS]))</f>
        <v>5.2510434407166014E-4</v>
      </c>
      <c r="AF24" s="16">
        <f>tblBOneExport[[#This Row],[BMK_CONTRIBUTION]]</f>
        <v>0</v>
      </c>
      <c r="AG24" s="16">
        <f>tblCalculation[[#This Row],[BMKContributionBase]]-tblBOneExport[BMK_SPOT_CCY_RETURN]-tblBOneExport[[#This Row],[BMK_CROSS_EFFECT]]</f>
        <v>0</v>
      </c>
      <c r="AH24" s="16">
        <f>tblCalculation[[#This Row],[FIAttributable]]*(tblBOneExport[[#This Row],[BMK_RETURN_GOV_CARRY]])</f>
        <v>0</v>
      </c>
      <c r="AI24" s="16">
        <f>tblCalculation[[#This Row],[FIAttributable]]*tblBOneExport[[#This Row],[BMK_CREDIT_CARRY]]</f>
        <v>0</v>
      </c>
      <c r="AJ24" s="16">
        <f>tblCalculation[[#This Row],[FIAttributable]]*tblBOneExport[[#This Row],[BMK_TOTAL_CURVE]]</f>
        <v>0</v>
      </c>
      <c r="AK24" s="16">
        <f>tblCalculation[[#This Row],[FIAttributable]]*(tblBOneExport[[#This Row],[BMK_TOTAL_SPREAD]]+BMK_Credit_Adj*tblCalculation[[#This Row],[BmkDTSWeight]])</f>
        <v>0</v>
      </c>
      <c r="AL24" s="16">
        <f>tblCalculation[[#This Row],[FIAttributable]]*tblBOneExport[[#This Row],[BMK_MODEL_RESIDUAL]]-BMK_Credit_Adj*tblCalculation[[#This Row],[BmkDTSWeight]]</f>
        <v>0</v>
      </c>
      <c r="AM24" s="16">
        <f>IF(tblCalculation[[#This Row],[Level3]]="Forward Contracts",tblCalculation[[#This Row],[BMKContributionLocal]],0)</f>
        <v>0</v>
      </c>
      <c r="AN24" s="16">
        <f>tblBOneExport[[#This Row],[BMK_SPOT_CCY_RETURN]]+tblBOneExport[[#This Row],[BMK_CROSS_EFFECT]]</f>
        <v>0</v>
      </c>
    </row>
    <row r="25" spans="2:40" x14ac:dyDescent="0.25">
      <c r="B25" t="s">
        <v>207</v>
      </c>
      <c r="D25" s="134"/>
      <c r="E25" s="7" t="str">
        <f>tblBOneExport[[#This Row],[INSTRUMENT_CODE]]</f>
        <v>S00281055</v>
      </c>
      <c r="F25" s="7" t="str">
        <f>tblBOneExport[[#This Row],[INSTRUMENT]]</f>
        <v>EUROPEAN INVT BK 6 07/12/28</v>
      </c>
      <c r="G25" s="7" t="str">
        <f>IF(tblBOneExport[[#This Row],[ISIN]]&lt;&gt;"", tblBOneExport[[#This Row],[ISIN]],"")</f>
        <v>XS0085727559</v>
      </c>
      <c r="H25" s="7" t="str">
        <f>IF(tblCalculation[[#This Row],[B1Level2]]="CDS",tblBOneExport[[#This Row],[B1_TICKER]],IF(tblCalculation[[#This Row],[ISIN]]="","",INDEX(tblGetStaticData[Ticker],MATCH(tblCalculation[[#This Row],[ISIN]],tblGetStaticData[ISIN],0))))</f>
        <v>EIB</v>
      </c>
      <c r="I25" s="7" t="str">
        <f>IF(tblBOneExport[[#This Row],[INSTRUMENT_TYPE]]="Forward Contract","Forward Contract",tblBOneExport[LEVEL2])</f>
        <v>Non-Corporate</v>
      </c>
      <c r="J25" s="7" t="str">
        <f>IF(tblBOneExport[[#This Row],[INSTRUMENT_TYPE]]="Forward Contract","Forward Contract",tblBOneExport[[#This Row],[LEVEL3]])</f>
        <v>Supranationals</v>
      </c>
      <c r="K25" s="7" t="str">
        <f>INDEX(tblLvl2Mapping[],MATCH(tblCalculation[[#This Row],[B1Level2]]&amp;"_"&amp;tblCalculation[[#This Row],[B1Level3]],tblLvl2Mapping[B1Level2_B1Level3],0),2)</f>
        <v>Corporate</v>
      </c>
      <c r="L25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5" s="7">
        <f>INDEX(tblAttributable[],MATCH(tblCalculation[[#This Row],[Level3]],tblAttributable[Level3],0),2)</f>
        <v>1</v>
      </c>
      <c r="N25" s="16">
        <f>tblBOneExport[[#This Row],[PTF_WEIGHT]]</f>
        <v>4.6949805000000002E-3</v>
      </c>
      <c r="O25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1.3270498512826615E-2</v>
      </c>
      <c r="P25" s="48">
        <f>tblCalculation[[#This Row],[PtfDTS]]/SUM(tblCalculation[PtfDTS])</f>
        <v>1.6093436426406977E-3</v>
      </c>
      <c r="Q25" s="16">
        <f>tblBOneExport[[#This Row],[PTF_CONTRIBUTION]]</f>
        <v>8.4773300000000004E-5</v>
      </c>
      <c r="R25" s="16">
        <f>tblCalculation[[#This Row],[PtfContributionBase]]-tblCalculation[[#This Row],[PtfCurrencyReturn]]</f>
        <v>8.4773300000000004E-5</v>
      </c>
      <c r="S25" s="16">
        <f>IF(tblBOneExport[[#This Row],[LEVEL1]]="Bonds",tblBOneExport[[#This Row],[PTF_GOV_CARRY]],"")</f>
        <v>5.0529000000000004E-6</v>
      </c>
      <c r="T25" s="16">
        <f>tblCalculation[[#This Row],[FIAttributable]]*tblBOneExport[[#This Row],[PTF_CREDIT_CARRY]]</f>
        <v>1.0302999999999999E-6</v>
      </c>
      <c r="U25" s="16">
        <f>tblCalculation[[#This Row],[FIAttributable]]*tblBOneExport[[#This Row],[PTF_TOTAL_CURVE]]</f>
        <v>8.26548E-5</v>
      </c>
      <c r="V25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-4.1470000000000003E-6</v>
      </c>
      <c r="W25" s="16">
        <f>IF(AND(tblCalculation[[#This Row],[Level3]]="Forward Contracts",tblBOneExport[[#This Row],[PTF_COST_OF_CARRY]]=0),tblBOneExport[[#This Row],[PTF_VALUATION]],0)</f>
        <v>0</v>
      </c>
      <c r="X25" s="16">
        <f>SUM(tblCalculation[[#This Row],[PtfTrading]:[PtfModelRes]])</f>
        <v>1.8230000000000001E-7</v>
      </c>
      <c r="Y25" s="16">
        <f>tblCalculation[[#This Row],[FIAttributable]]*tblBOneExport[[#This Row],[PTF_TRADING]]</f>
        <v>0</v>
      </c>
      <c r="Z25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5" s="16">
        <f>tblCalculation[[#This Row],[FIAttributable]]*tblBOneExport[[#This Row],[PTF_MODEL_RESIDUAL]]-PTF_Credit_Adj*tblCalculation[[#This Row],[PtfDTSWeight]]</f>
        <v>1.8230000000000001E-7</v>
      </c>
      <c r="AB25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5" s="16">
        <f>tblBOneExport[[#This Row],[BMK_WEIGHT]]</f>
        <v>0</v>
      </c>
      <c r="AD25" s="78">
        <f>tblCalculation[[#This Row],[FIAttributable]]*SUMIFS(tblDTS[DTSContribution_BM],tblDTS[ISIN],tblCalculation[[#This Row],[ISIN]])</f>
        <v>1.7514632010107677E-2</v>
      </c>
      <c r="AE25" s="16">
        <f>IF(SUM(tblCalculation[BMKDTS])=0,0,tblCalculation[[#This Row],[BMKDTS]]/SUM(tblCalculation[BMKDTS]))</f>
        <v>2.0816189371745241E-3</v>
      </c>
      <c r="AF25" s="16">
        <f>tblBOneExport[[#This Row],[BMK_CONTRIBUTION]]</f>
        <v>0</v>
      </c>
      <c r="AG25" s="16">
        <f>tblCalculation[[#This Row],[BMKContributionBase]]-tblBOneExport[BMK_SPOT_CCY_RETURN]-tblBOneExport[[#This Row],[BMK_CROSS_EFFECT]]</f>
        <v>0</v>
      </c>
      <c r="AH25" s="16">
        <f>tblCalculation[[#This Row],[FIAttributable]]*(tblBOneExport[[#This Row],[BMK_RETURN_GOV_CARRY]])</f>
        <v>0</v>
      </c>
      <c r="AI25" s="16">
        <f>tblCalculation[[#This Row],[FIAttributable]]*tblBOneExport[[#This Row],[BMK_CREDIT_CARRY]]</f>
        <v>0</v>
      </c>
      <c r="AJ25" s="16">
        <f>tblCalculation[[#This Row],[FIAttributable]]*tblBOneExport[[#This Row],[BMK_TOTAL_CURVE]]</f>
        <v>0</v>
      </c>
      <c r="AK25" s="16">
        <f>tblCalculation[[#This Row],[FIAttributable]]*(tblBOneExport[[#This Row],[BMK_TOTAL_SPREAD]]+BMK_Credit_Adj*tblCalculation[[#This Row],[BmkDTSWeight]])</f>
        <v>0</v>
      </c>
      <c r="AL25" s="16">
        <f>tblCalculation[[#This Row],[FIAttributable]]*tblBOneExport[[#This Row],[BMK_MODEL_RESIDUAL]]-BMK_Credit_Adj*tblCalculation[[#This Row],[BmkDTSWeight]]</f>
        <v>0</v>
      </c>
      <c r="AM25" s="16">
        <f>IF(tblCalculation[[#This Row],[Level3]]="Forward Contracts",tblCalculation[[#This Row],[BMKContributionLocal]],0)</f>
        <v>0</v>
      </c>
      <c r="AN25" s="16">
        <f>tblBOneExport[[#This Row],[BMK_SPOT_CCY_RETURN]]+tblBOneExport[[#This Row],[BMK_CROSS_EFFECT]]</f>
        <v>0</v>
      </c>
    </row>
    <row r="26" spans="2:40" x14ac:dyDescent="0.25">
      <c r="B26" s="41"/>
      <c r="D26" s="134"/>
      <c r="E26" s="7" t="str">
        <f>tblBOneExport[[#This Row],[INSTRUMENT_CODE]]</f>
        <v>B7YKXH2</v>
      </c>
      <c r="F26" s="7" t="str">
        <f>tblBOneExport[[#This Row],[INSTRUMENT]]</f>
        <v>SCOTTISH PWR UK 6.75 29/05/23 EMTN</v>
      </c>
      <c r="G26" s="7" t="str">
        <f>IF(tblBOneExport[[#This Row],[ISIN]]&lt;&gt;"", tblBOneExport[[#This Row],[ISIN]],"")</f>
        <v>XS0087240163</v>
      </c>
      <c r="H26" s="7" t="str">
        <f>IF(tblCalculation[[#This Row],[B1Level2]]="CDS",tblBOneExport[[#This Row],[B1_TICKER]],IF(tblCalculation[[#This Row],[ISIN]]="","",INDEX(tblGetStaticData[Ticker],MATCH(tblCalculation[[#This Row],[ISIN]],tblGetStaticData[ISIN],0))))</f>
        <v>SCTPWR</v>
      </c>
      <c r="I26" s="7" t="str">
        <f>IF(tblBOneExport[[#This Row],[INSTRUMENT_TYPE]]="Forward Contract","Forward Contract",tblBOneExport[LEVEL2])</f>
        <v>Corporates</v>
      </c>
      <c r="J26" s="7" t="str">
        <f>IF(tblBOneExport[[#This Row],[INSTRUMENT_TYPE]]="Forward Contract","Forward Contract",tblBOneExport[[#This Row],[LEVEL3]])</f>
        <v>Utilities</v>
      </c>
      <c r="K26" s="7" t="str">
        <f>INDEX(tblLvl2Mapping[],MATCH(tblCalculation[[#This Row],[B1Level2]]&amp;"_"&amp;tblCalculation[[#This Row],[B1Level3]],tblLvl2Mapping[B1Level2_B1Level3],0),2)</f>
        <v>Corporate</v>
      </c>
      <c r="L26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6" s="7">
        <f>INDEX(tblAttributable[],MATCH(tblCalculation[[#This Row],[Level3]],tblAttributable[Level3],0),2)</f>
        <v>1</v>
      </c>
      <c r="N26" s="16">
        <f>tblBOneExport[[#This Row],[PTF_WEIGHT]]</f>
        <v>7.4825619999999995E-4</v>
      </c>
      <c r="O26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3.0075645125807828E-3</v>
      </c>
      <c r="P26" s="48">
        <f>tblCalculation[[#This Row],[PtfDTS]]/SUM(tblCalculation[PtfDTS])</f>
        <v>3.6473421277093295E-4</v>
      </c>
      <c r="Q26" s="16">
        <f>tblBOneExport[[#This Row],[PTF_CONTRIBUTION]]</f>
        <v>7.2743E-6</v>
      </c>
      <c r="R26" s="16">
        <f>tblCalculation[[#This Row],[PtfContributionBase]]-tblCalculation[[#This Row],[PtfCurrencyReturn]]</f>
        <v>7.2743E-6</v>
      </c>
      <c r="S26" s="16">
        <f>IF(tblBOneExport[[#This Row],[LEVEL1]]="Bonds",tblBOneExport[[#This Row],[PTF_GOV_CARRY]],"")</f>
        <v>3.77E-7</v>
      </c>
      <c r="T26" s="16">
        <f>tblCalculation[[#This Row],[FIAttributable]]*tblBOneExport[[#This Row],[PTF_CREDIT_CARRY]]</f>
        <v>6.9250000000000004E-7</v>
      </c>
      <c r="U26" s="16">
        <f>tblCalculation[[#This Row],[FIAttributable]]*tblBOneExport[[#This Row],[PTF_TOTAL_CURVE]]</f>
        <v>5.2554999999999999E-6</v>
      </c>
      <c r="V26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6.4939999999999998E-7</v>
      </c>
      <c r="W26" s="16">
        <f>IF(AND(tblCalculation[[#This Row],[Level3]]="Forward Contracts",tblBOneExport[[#This Row],[PTF_COST_OF_CARRY]]=0),tblBOneExport[[#This Row],[PTF_VALUATION]],0)</f>
        <v>0</v>
      </c>
      <c r="X26" s="16">
        <f>SUM(tblCalculation[[#This Row],[PtfTrading]:[PtfModelRes]])</f>
        <v>2.9999999999999999E-7</v>
      </c>
      <c r="Y26" s="16">
        <f>tblCalculation[[#This Row],[FIAttributable]]*tblBOneExport[[#This Row],[PTF_TRADING]]</f>
        <v>0</v>
      </c>
      <c r="Z26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6" s="16">
        <f>tblCalculation[[#This Row],[FIAttributable]]*tblBOneExport[[#This Row],[PTF_MODEL_RESIDUAL]]-PTF_Credit_Adj*tblCalculation[[#This Row],[PtfDTSWeight]]</f>
        <v>2.9999999999999999E-7</v>
      </c>
      <c r="AB26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6" s="16">
        <f>tblBOneExport[[#This Row],[BMK_WEIGHT]]</f>
        <v>0</v>
      </c>
      <c r="AD26" s="78">
        <f>tblCalculation[[#This Row],[FIAttributable]]*SUMIFS(tblDTS[DTSContribution_BM],tblDTS[ISIN],tblCalculation[[#This Row],[ISIN]])</f>
        <v>3.9697910567964324E-3</v>
      </c>
      <c r="AE26" s="16">
        <f>IF(SUM(tblCalculation[BMKDTS])=0,0,tblCalculation[[#This Row],[BMKDTS]]/SUM(tblCalculation[BMKDTS]))</f>
        <v>4.718107828748334E-4</v>
      </c>
      <c r="AF26" s="16">
        <f>tblBOneExport[[#This Row],[BMK_CONTRIBUTION]]</f>
        <v>0</v>
      </c>
      <c r="AG26" s="16">
        <f>tblCalculation[[#This Row],[BMKContributionBase]]-tblBOneExport[BMK_SPOT_CCY_RETURN]-tblBOneExport[[#This Row],[BMK_CROSS_EFFECT]]</f>
        <v>0</v>
      </c>
      <c r="AH26" s="16">
        <f>tblCalculation[[#This Row],[FIAttributable]]*(tblBOneExport[[#This Row],[BMK_RETURN_GOV_CARRY]])</f>
        <v>0</v>
      </c>
      <c r="AI26" s="16">
        <f>tblCalculation[[#This Row],[FIAttributable]]*tblBOneExport[[#This Row],[BMK_CREDIT_CARRY]]</f>
        <v>0</v>
      </c>
      <c r="AJ26" s="16">
        <f>tblCalculation[[#This Row],[FIAttributable]]*tblBOneExport[[#This Row],[BMK_TOTAL_CURVE]]</f>
        <v>0</v>
      </c>
      <c r="AK26" s="16">
        <f>tblCalculation[[#This Row],[FIAttributable]]*(tblBOneExport[[#This Row],[BMK_TOTAL_SPREAD]]+BMK_Credit_Adj*tblCalculation[[#This Row],[BmkDTSWeight]])</f>
        <v>0</v>
      </c>
      <c r="AL26" s="16">
        <f>tblCalculation[[#This Row],[FIAttributable]]*tblBOneExport[[#This Row],[BMK_MODEL_RESIDUAL]]-BMK_Credit_Adj*tblCalculation[[#This Row],[BmkDTSWeight]]</f>
        <v>0</v>
      </c>
      <c r="AM26" s="16">
        <f>IF(tblCalculation[[#This Row],[Level3]]="Forward Contracts",tblCalculation[[#This Row],[BMKContributionLocal]],0)</f>
        <v>0</v>
      </c>
      <c r="AN26" s="16">
        <f>tblBOneExport[[#This Row],[BMK_SPOT_CCY_RETURN]]+tblBOneExport[[#This Row],[BMK_CROSS_EFFECT]]</f>
        <v>0</v>
      </c>
    </row>
    <row r="27" spans="2:40" x14ac:dyDescent="0.25">
      <c r="D27" s="134"/>
      <c r="E27" s="7" t="str">
        <f>tblBOneExport[[#This Row],[INSTRUMENT_CODE]]</f>
        <v>S00113370</v>
      </c>
      <c r="F27" s="7" t="str">
        <f>tblBOneExport[[#This Row],[INSTRUMENT]]</f>
        <v>ANGLIAN WAT FIN 6.875 21/08/23</v>
      </c>
      <c r="G27" s="7" t="str">
        <f>IF(tblBOneExport[[#This Row],[ISIN]]&lt;&gt;"", tblBOneExport[[#This Row],[ISIN]],"")</f>
        <v>XS0089553282</v>
      </c>
      <c r="H27" s="7" t="str">
        <f>IF(tblCalculation[[#This Row],[B1Level2]]="CDS",tblBOneExport[[#This Row],[B1_TICKER]],IF(tblCalculation[[#This Row],[ISIN]]="","",INDEX(tblGetStaticData[Ticker],MATCH(tblCalculation[[#This Row],[ISIN]],tblGetStaticData[ISIN],0))))</f>
        <v>AWLN</v>
      </c>
      <c r="I27" s="7" t="str">
        <f>IF(tblBOneExport[[#This Row],[INSTRUMENT_TYPE]]="Forward Contract","Forward Contract",tblBOneExport[LEVEL2])</f>
        <v>Corporates</v>
      </c>
      <c r="J27" s="7" t="str">
        <f>IF(tblBOneExport[[#This Row],[INSTRUMENT_TYPE]]="Forward Contract","Forward Contract",tblBOneExport[[#This Row],[LEVEL3]])</f>
        <v>Utilities</v>
      </c>
      <c r="K27" s="7" t="str">
        <f>INDEX(tblLvl2Mapping[],MATCH(tblCalculation[[#This Row],[B1Level2]]&amp;"_"&amp;tblCalculation[[#This Row],[B1Level3]],tblLvl2Mapping[B1Level2_B1Level3],0),2)</f>
        <v>Corporate</v>
      </c>
      <c r="L27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7" s="7">
        <f>INDEX(tblAttributable[],MATCH(tblCalculation[[#This Row],[Level3]],tblAttributable[Level3],0),2)</f>
        <v>1</v>
      </c>
      <c r="N27" s="16">
        <f>tblBOneExport[[#This Row],[PTF_WEIGHT]]</f>
        <v>2.6141298E-3</v>
      </c>
      <c r="O27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6.5435862307322559E-3</v>
      </c>
      <c r="P27" s="48">
        <f>tblCalculation[[#This Row],[PtfDTS]]/SUM(tblCalculation[PtfDTS])</f>
        <v>7.9355563698843188E-4</v>
      </c>
      <c r="Q27" s="16">
        <f>tblBOneExport[[#This Row],[PTF_CONTRIBUTION]]</f>
        <v>2.3209200000000001E-5</v>
      </c>
      <c r="R27" s="16">
        <f>tblCalculation[[#This Row],[PtfContributionBase]]-tblCalculation[[#This Row],[PtfCurrencyReturn]]</f>
        <v>2.3209200000000001E-5</v>
      </c>
      <c r="S27" s="16">
        <f>IF(tblBOneExport[[#This Row],[LEVEL1]]="Bonds",tblBOneExport[[#This Row],[PTF_GOV_CARRY]],"")</f>
        <v>1.3885999999999999E-6</v>
      </c>
      <c r="T27" s="16">
        <f>tblCalculation[[#This Row],[FIAttributable]]*tblBOneExport[[#This Row],[PTF_CREDIT_CARRY]]</f>
        <v>1.685E-6</v>
      </c>
      <c r="U27" s="16">
        <f>tblCalculation[[#This Row],[FIAttributable]]*tblBOneExport[[#This Row],[PTF_TOTAL_CURVE]]</f>
        <v>1.78701E-5</v>
      </c>
      <c r="V27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2.6861E-6</v>
      </c>
      <c r="W27" s="16">
        <f>IF(AND(tblCalculation[[#This Row],[Level3]]="Forward Contracts",tblBOneExport[[#This Row],[PTF_COST_OF_CARRY]]=0),tblBOneExport[[#This Row],[PTF_VALUATION]],0)</f>
        <v>0</v>
      </c>
      <c r="X27" s="16">
        <f>SUM(tblCalculation[[#This Row],[PtfTrading]:[PtfModelRes]])</f>
        <v>-4.2049999999999999E-7</v>
      </c>
      <c r="Y27" s="16">
        <f>tblCalculation[[#This Row],[FIAttributable]]*tblBOneExport[[#This Row],[PTF_TRADING]]</f>
        <v>0</v>
      </c>
      <c r="Z27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7" s="16">
        <f>tblCalculation[[#This Row],[FIAttributable]]*tblBOneExport[[#This Row],[PTF_MODEL_RESIDUAL]]-PTF_Credit_Adj*tblCalculation[[#This Row],[PtfDTSWeight]]</f>
        <v>-4.2049999999999999E-7</v>
      </c>
      <c r="AB27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7" s="16">
        <f>tblBOneExport[[#This Row],[BMK_WEIGHT]]</f>
        <v>0</v>
      </c>
      <c r="AD27" s="78">
        <f>tblCalculation[[#This Row],[FIAttributable]]*SUMIFS(tblDTS[DTSContribution_BM],tblDTS[ISIN],tblCalculation[[#This Row],[ISIN]])</f>
        <v>0</v>
      </c>
      <c r="AE27" s="16">
        <f>IF(SUM(tblCalculation[BMKDTS])=0,0,tblCalculation[[#This Row],[BMKDTS]]/SUM(tblCalculation[BMKDTS]))</f>
        <v>0</v>
      </c>
      <c r="AF27" s="16">
        <f>tblBOneExport[[#This Row],[BMK_CONTRIBUTION]]</f>
        <v>0</v>
      </c>
      <c r="AG27" s="16">
        <f>tblCalculation[[#This Row],[BMKContributionBase]]-tblBOneExport[BMK_SPOT_CCY_RETURN]-tblBOneExport[[#This Row],[BMK_CROSS_EFFECT]]</f>
        <v>0</v>
      </c>
      <c r="AH27" s="16">
        <f>tblCalculation[[#This Row],[FIAttributable]]*(tblBOneExport[[#This Row],[BMK_RETURN_GOV_CARRY]])</f>
        <v>0</v>
      </c>
      <c r="AI27" s="16">
        <f>tblCalculation[[#This Row],[FIAttributable]]*tblBOneExport[[#This Row],[BMK_CREDIT_CARRY]]</f>
        <v>0</v>
      </c>
      <c r="AJ27" s="16">
        <f>tblCalculation[[#This Row],[FIAttributable]]*tblBOneExport[[#This Row],[BMK_TOTAL_CURVE]]</f>
        <v>0</v>
      </c>
      <c r="AK27" s="16">
        <f>tblCalculation[[#This Row],[FIAttributable]]*(tblBOneExport[[#This Row],[BMK_TOTAL_SPREAD]]+BMK_Credit_Adj*tblCalculation[[#This Row],[BmkDTSWeight]])</f>
        <v>0</v>
      </c>
      <c r="AL27" s="16">
        <f>tblCalculation[[#This Row],[FIAttributable]]*tblBOneExport[[#This Row],[BMK_MODEL_RESIDUAL]]-BMK_Credit_Adj*tblCalculation[[#This Row],[BmkDTSWeight]]</f>
        <v>0</v>
      </c>
      <c r="AM27" s="16">
        <f>IF(tblCalculation[[#This Row],[Level3]]="Forward Contracts",tblCalculation[[#This Row],[BMKContributionLocal]],0)</f>
        <v>0</v>
      </c>
      <c r="AN27" s="16">
        <f>tblBOneExport[[#This Row],[BMK_SPOT_CCY_RETURN]]+tblBOneExport[[#This Row],[BMK_CROSS_EFFECT]]</f>
        <v>0</v>
      </c>
    </row>
    <row r="28" spans="2:40" x14ac:dyDescent="0.25">
      <c r="E28" s="7" t="str">
        <f>tblBOneExport[[#This Row],[INSTRUMENT_CODE]]</f>
        <v>S00134820</v>
      </c>
      <c r="F28" s="7" t="str">
        <f>tblBOneExport[[#This Row],[INSTRUMENT]]</f>
        <v>EURO BK RECON&amp;DV 5.625 07/12/28 EMTN</v>
      </c>
      <c r="G28" s="7" t="str">
        <f>IF(tblBOneExport[[#This Row],[ISIN]]&lt;&gt;"", tblBOneExport[[#This Row],[ISIN]],"")</f>
        <v>XS0091740018</v>
      </c>
      <c r="H28" s="7" t="str">
        <f>IF(tblCalculation[[#This Row],[B1Level2]]="CDS",tblBOneExport[[#This Row],[B1_TICKER]],IF(tblCalculation[[#This Row],[ISIN]]="","",INDEX(tblGetStaticData[Ticker],MATCH(tblCalculation[[#This Row],[ISIN]],tblGetStaticData[ISIN],0))))</f>
        <v>EBRD</v>
      </c>
      <c r="I28" s="7" t="str">
        <f>IF(tblBOneExport[[#This Row],[INSTRUMENT_TYPE]]="Forward Contract","Forward Contract",tblBOneExport[LEVEL2])</f>
        <v>Non-Corporate</v>
      </c>
      <c r="J28" s="7" t="str">
        <f>IF(tblBOneExport[[#This Row],[INSTRUMENT_TYPE]]="Forward Contract","Forward Contract",tblBOneExport[[#This Row],[LEVEL3]])</f>
        <v>Supranationals</v>
      </c>
      <c r="K28" s="7" t="str">
        <f>INDEX(tblLvl2Mapping[],MATCH(tblCalculation[[#This Row],[B1Level2]]&amp;"_"&amp;tblCalculation[[#This Row],[B1Level3]],tblLvl2Mapping[B1Level2_B1Level3],0),2)</f>
        <v>Corporate</v>
      </c>
      <c r="L28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8" s="7">
        <f>INDEX(tblAttributable[],MATCH(tblCalculation[[#This Row],[Level3]],tblAttributable[Level3],0),2)</f>
        <v>1</v>
      </c>
      <c r="N28" s="16">
        <f>tblBOneExport[[#This Row],[PTF_WEIGHT]]</f>
        <v>1.6866546000000001E-3</v>
      </c>
      <c r="O28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5.5509016919291368E-3</v>
      </c>
      <c r="P28" s="48">
        <f>tblCalculation[[#This Row],[PtfDTS]]/SUM(tblCalculation[PtfDTS])</f>
        <v>6.7317051730913884E-4</v>
      </c>
      <c r="Q28" s="16">
        <f>tblBOneExport[[#This Row],[PTF_CONTRIBUTION]]</f>
        <v>2.98805E-5</v>
      </c>
      <c r="R28" s="16">
        <f>tblCalculation[[#This Row],[PtfContributionBase]]-tblCalculation[[#This Row],[PtfCurrencyReturn]]</f>
        <v>2.98805E-5</v>
      </c>
      <c r="S28" s="16">
        <f>IF(tblBOneExport[[#This Row],[LEVEL1]]="Bonds",tblBOneExport[[#This Row],[PTF_GOV_CARRY]],"")</f>
        <v>1.8142999999999999E-6</v>
      </c>
      <c r="T28" s="16">
        <f>tblCalculation[[#This Row],[FIAttributable]]*tblBOneExport[[#This Row],[PTF_CREDIT_CARRY]]</f>
        <v>4.4000000000000002E-7</v>
      </c>
      <c r="U28" s="16">
        <f>tblCalculation[[#This Row],[FIAttributable]]*tblBOneExport[[#This Row],[PTF_TOTAL_CURVE]]</f>
        <v>3.0009300000000001E-5</v>
      </c>
      <c r="V28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1.1969999999999999E-6</v>
      </c>
      <c r="W28" s="16">
        <f>IF(AND(tblCalculation[[#This Row],[Level3]]="Forward Contracts",tblBOneExport[[#This Row],[PTF_COST_OF_CARRY]]=0),tblBOneExport[[#This Row],[PTF_VALUATION]],0)</f>
        <v>0</v>
      </c>
      <c r="X28" s="16">
        <f>SUM(tblCalculation[[#This Row],[PtfTrading]:[PtfModelRes]])</f>
        <v>-3.5802E-6</v>
      </c>
      <c r="Y28" s="16">
        <f>tblCalculation[[#This Row],[FIAttributable]]*tblBOneExport[[#This Row],[PTF_TRADING]]</f>
        <v>0</v>
      </c>
      <c r="Z28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8" s="16">
        <f>tblCalculation[[#This Row],[FIAttributable]]*tblBOneExport[[#This Row],[PTF_MODEL_RESIDUAL]]-PTF_Credit_Adj*tblCalculation[[#This Row],[PtfDTSWeight]]</f>
        <v>-3.5802E-6</v>
      </c>
      <c r="AB28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8" s="16">
        <f>tblBOneExport[[#This Row],[BMK_WEIGHT]]</f>
        <v>0</v>
      </c>
      <c r="AD28" s="78">
        <f>tblCalculation[[#This Row],[FIAttributable]]*SUMIFS(tblDTS[DTSContribution_BM],tblDTS[ISIN],tblCalculation[[#This Row],[ISIN]])</f>
        <v>7.3259091048234835E-3</v>
      </c>
      <c r="AE28" s="16">
        <f>IF(SUM(tblCalculation[BMKDTS])=0,0,tblCalculation[[#This Row],[BMKDTS]]/SUM(tblCalculation[BMKDTS]))</f>
        <v>8.7068635617460941E-4</v>
      </c>
      <c r="AF28" s="16">
        <f>tblBOneExport[[#This Row],[BMK_CONTRIBUTION]]</f>
        <v>0</v>
      </c>
      <c r="AG28" s="16">
        <f>tblCalculation[[#This Row],[BMKContributionBase]]-tblBOneExport[BMK_SPOT_CCY_RETURN]-tblBOneExport[[#This Row],[BMK_CROSS_EFFECT]]</f>
        <v>0</v>
      </c>
      <c r="AH28" s="16">
        <f>tblCalculation[[#This Row],[FIAttributable]]*(tblBOneExport[[#This Row],[BMK_RETURN_GOV_CARRY]])</f>
        <v>0</v>
      </c>
      <c r="AI28" s="16">
        <f>tblCalculation[[#This Row],[FIAttributable]]*tblBOneExport[[#This Row],[BMK_CREDIT_CARRY]]</f>
        <v>0</v>
      </c>
      <c r="AJ28" s="16">
        <f>tblCalculation[[#This Row],[FIAttributable]]*tblBOneExport[[#This Row],[BMK_TOTAL_CURVE]]</f>
        <v>0</v>
      </c>
      <c r="AK28" s="16">
        <f>tblCalculation[[#This Row],[FIAttributable]]*(tblBOneExport[[#This Row],[BMK_TOTAL_SPREAD]]+BMK_Credit_Adj*tblCalculation[[#This Row],[BmkDTSWeight]])</f>
        <v>0</v>
      </c>
      <c r="AL28" s="16">
        <f>tblCalculation[[#This Row],[FIAttributable]]*tblBOneExport[[#This Row],[BMK_MODEL_RESIDUAL]]-BMK_Credit_Adj*tblCalculation[[#This Row],[BmkDTSWeight]]</f>
        <v>0</v>
      </c>
      <c r="AM28" s="16">
        <f>IF(tblCalculation[[#This Row],[Level3]]="Forward Contracts",tblCalculation[[#This Row],[BMKContributionLocal]],0)</f>
        <v>0</v>
      </c>
      <c r="AN28" s="16">
        <f>tblBOneExport[[#This Row],[BMK_SPOT_CCY_RETURN]]+tblBOneExport[[#This Row],[BMK_CROSS_EFFECT]]</f>
        <v>0</v>
      </c>
    </row>
    <row r="29" spans="2:40" x14ac:dyDescent="0.25">
      <c r="E29" s="7" t="str">
        <f>tblBOneExport[[#This Row],[INSTRUMENT_CODE]]</f>
        <v>S00135605</v>
      </c>
      <c r="F29" s="7" t="str">
        <f>tblBOneExport[[#This Row],[INSTRUMENT]]</f>
        <v>THAMES WATER UTL 6.75 16/11/28 EMTN</v>
      </c>
      <c r="G29" s="7" t="str">
        <f>IF(tblBOneExport[[#This Row],[ISIN]]&lt;&gt;"", tblBOneExport[[#This Row],[ISIN]],"")</f>
        <v>XS0092157600</v>
      </c>
      <c r="H29" s="7" t="str">
        <f>IF(tblCalculation[[#This Row],[B1Level2]]="CDS",tblBOneExport[[#This Row],[B1_TICKER]],IF(tblCalculation[[#This Row],[ISIN]]="","",INDEX(tblGetStaticData[Ticker],MATCH(tblCalculation[[#This Row],[ISIN]],tblGetStaticData[ISIN],0))))</f>
        <v>THAMES</v>
      </c>
      <c r="I29" s="7" t="str">
        <f>IF(tblBOneExport[[#This Row],[INSTRUMENT_TYPE]]="Forward Contract","Forward Contract",tblBOneExport[LEVEL2])</f>
        <v>Corporates</v>
      </c>
      <c r="J29" s="7" t="str">
        <f>IF(tblBOneExport[[#This Row],[INSTRUMENT_TYPE]]="Forward Contract","Forward Contract",tblBOneExport[[#This Row],[LEVEL3]])</f>
        <v>Utilities</v>
      </c>
      <c r="K29" s="7" t="str">
        <f>INDEX(tblLvl2Mapping[],MATCH(tblCalculation[[#This Row],[B1Level2]]&amp;"_"&amp;tblCalculation[[#This Row],[B1Level3]],tblLvl2Mapping[B1Level2_B1Level3],0),2)</f>
        <v>Corporate</v>
      </c>
      <c r="L29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9" s="7">
        <f>INDEX(tblAttributable[],MATCH(tblCalculation[[#This Row],[Level3]],tblAttributable[Level3],0),2)</f>
        <v>1</v>
      </c>
      <c r="N29" s="16">
        <f>tblBOneExport[[#This Row],[PTF_WEIGHT]]</f>
        <v>8.6423469999999999E-4</v>
      </c>
      <c r="O29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7.7296569815934416E-3</v>
      </c>
      <c r="P29" s="48">
        <f>tblCalculation[[#This Row],[PtfDTS]]/SUM(tblCalculation[PtfDTS])</f>
        <v>9.373931439800177E-4</v>
      </c>
      <c r="Q29" s="16">
        <f>tblBOneExport[[#This Row],[PTF_CONTRIBUTION]]</f>
        <v>1.01713E-5</v>
      </c>
      <c r="R29" s="16">
        <f>tblCalculation[[#This Row],[PtfContributionBase]]-tblCalculation[[#This Row],[PtfCurrencyReturn]]</f>
        <v>1.01713E-5</v>
      </c>
      <c r="S29" s="16">
        <f>IF(tblBOneExport[[#This Row],[LEVEL1]]="Bonds",tblBOneExport[[#This Row],[PTF_GOV_CARRY]],"")</f>
        <v>9.1800000000000004E-7</v>
      </c>
      <c r="T29" s="16">
        <f>tblCalculation[[#This Row],[FIAttributable]]*tblBOneExport[[#This Row],[PTF_CREDIT_CARRY]]</f>
        <v>7.4340000000000005E-7</v>
      </c>
      <c r="U29" s="16">
        <f>tblCalculation[[#This Row],[FIAttributable]]*tblBOneExport[[#This Row],[PTF_TOTAL_CURVE]]</f>
        <v>1.45948E-5</v>
      </c>
      <c r="V29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-5.631E-6</v>
      </c>
      <c r="W29" s="16">
        <f>IF(AND(tblCalculation[[#This Row],[Level3]]="Forward Contracts",tblBOneExport[[#This Row],[PTF_COST_OF_CARRY]]=0),tblBOneExport[[#This Row],[PTF_VALUATION]],0)</f>
        <v>0</v>
      </c>
      <c r="X29" s="16">
        <f>SUM(tblCalculation[[#This Row],[PtfTrading]:[PtfModelRes]])</f>
        <v>-4.5390000000000001E-7</v>
      </c>
      <c r="Y29" s="16">
        <f>tblCalculation[[#This Row],[FIAttributable]]*tblBOneExport[[#This Row],[PTF_TRADING]]</f>
        <v>0</v>
      </c>
      <c r="Z29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9" s="16">
        <f>tblCalculation[[#This Row],[FIAttributable]]*tblBOneExport[[#This Row],[PTF_MODEL_RESIDUAL]]-PTF_Credit_Adj*tblCalculation[[#This Row],[PtfDTSWeight]]</f>
        <v>-4.5390000000000001E-7</v>
      </c>
      <c r="AB29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9" s="16">
        <f>tblBOneExport[[#This Row],[BMK_WEIGHT]]</f>
        <v>0</v>
      </c>
      <c r="AD29" s="78">
        <f>tblCalculation[[#This Row],[FIAttributable]]*SUMIFS(tblDTS[DTSContribution_BM],tblDTS[ISIN],tblCalculation[[#This Row],[ISIN]])</f>
        <v>1.0202449550938705E-2</v>
      </c>
      <c r="AE29" s="16">
        <f>IF(SUM(tblCalculation[BMKDTS])=0,0,tblCalculation[[#This Row],[BMKDTS]]/SUM(tblCalculation[BMKDTS]))</f>
        <v>1.2125639966940511E-3</v>
      </c>
      <c r="AF29" s="16">
        <f>tblBOneExport[[#This Row],[BMK_CONTRIBUTION]]</f>
        <v>0</v>
      </c>
      <c r="AG29" s="16">
        <f>tblCalculation[[#This Row],[BMKContributionBase]]-tblBOneExport[BMK_SPOT_CCY_RETURN]-tblBOneExport[[#This Row],[BMK_CROSS_EFFECT]]</f>
        <v>0</v>
      </c>
      <c r="AH29" s="16">
        <f>tblCalculation[[#This Row],[FIAttributable]]*(tblBOneExport[[#This Row],[BMK_RETURN_GOV_CARRY]])</f>
        <v>0</v>
      </c>
      <c r="AI29" s="16">
        <f>tblCalculation[[#This Row],[FIAttributable]]*tblBOneExport[[#This Row],[BMK_CREDIT_CARRY]]</f>
        <v>0</v>
      </c>
      <c r="AJ29" s="16">
        <f>tblCalculation[[#This Row],[FIAttributable]]*tblBOneExport[[#This Row],[BMK_TOTAL_CURVE]]</f>
        <v>0</v>
      </c>
      <c r="AK29" s="16">
        <f>tblCalculation[[#This Row],[FIAttributable]]*(tblBOneExport[[#This Row],[BMK_TOTAL_SPREAD]]+BMK_Credit_Adj*tblCalculation[[#This Row],[BmkDTSWeight]])</f>
        <v>0</v>
      </c>
      <c r="AL29" s="16">
        <f>tblCalculation[[#This Row],[FIAttributable]]*tblBOneExport[[#This Row],[BMK_MODEL_RESIDUAL]]-BMK_Credit_Adj*tblCalculation[[#This Row],[BmkDTSWeight]]</f>
        <v>0</v>
      </c>
      <c r="AM29" s="16">
        <f>IF(tblCalculation[[#This Row],[Level3]]="Forward Contracts",tblCalculation[[#This Row],[BMKContributionLocal]],0)</f>
        <v>0</v>
      </c>
      <c r="AN29" s="16">
        <f>tblBOneExport[[#This Row],[BMK_SPOT_CCY_RETURN]]+tblBOneExport[[#This Row],[BMK_CROSS_EFFECT]]</f>
        <v>0</v>
      </c>
    </row>
    <row r="30" spans="2:40" x14ac:dyDescent="0.25">
      <c r="E30" s="7" t="str">
        <f>tblBOneExport[[#This Row],[INSTRUMENT_CODE]]</f>
        <v>S00296496</v>
      </c>
      <c r="F30" s="7" t="str">
        <f>tblBOneExport[[#This Row],[INSTRUMENT]]</f>
        <v>GEN ELEC CAP CRP 5.5 07/06/21 EMTN</v>
      </c>
      <c r="G30" s="7" t="str">
        <f>IF(tblBOneExport[[#This Row],[ISIN]]&lt;&gt;"", tblBOneExport[[#This Row],[ISIN]],"")</f>
        <v>XS0092499077</v>
      </c>
      <c r="H30" s="7" t="str">
        <f>IF(tblCalculation[[#This Row],[B1Level2]]="CDS",tblBOneExport[[#This Row],[B1_TICKER]],IF(tblCalculation[[#This Row],[ISIN]]="","",INDEX(tblGetStaticData[Ticker],MATCH(tblCalculation[[#This Row],[ISIN]],tblGetStaticData[ISIN],0))))</f>
        <v>GE</v>
      </c>
      <c r="I30" s="7" t="str">
        <f>IF(tblBOneExport[[#This Row],[INSTRUMENT_TYPE]]="Forward Contract","Forward Contract",tblBOneExport[LEVEL2])</f>
        <v>Corporates</v>
      </c>
      <c r="J30" s="7" t="str">
        <f>IF(tblBOneExport[[#This Row],[INSTRUMENT_TYPE]]="Forward Contract","Forward Contract",tblBOneExport[[#This Row],[LEVEL3]])</f>
        <v>Financial Institutions</v>
      </c>
      <c r="K30" s="7" t="str">
        <f>INDEX(tblLvl2Mapping[],MATCH(tblCalculation[[#This Row],[B1Level2]]&amp;"_"&amp;tblCalculation[[#This Row],[B1Level3]],tblLvl2Mapping[B1Level2_B1Level3],0),2)</f>
        <v>Corporate</v>
      </c>
      <c r="L30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30" s="7">
        <f>INDEX(tblAttributable[],MATCH(tblCalculation[[#This Row],[Level3]],tblAttributable[Level3],0),2)</f>
        <v>1</v>
      </c>
      <c r="N30" s="16">
        <f>tblBOneExport[[#This Row],[PTF_WEIGHT]]</f>
        <v>5.6469236000000001E-3</v>
      </c>
      <c r="O30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5.5653517642874541E-3</v>
      </c>
      <c r="P30" s="48">
        <f>tblCalculation[[#This Row],[PtfDTS]]/SUM(tblCalculation[PtfDTS])</f>
        <v>6.7492291056422851E-4</v>
      </c>
      <c r="Q30" s="16">
        <f>tblBOneExport[[#This Row],[PTF_CONTRIBUTION]]</f>
        <v>2.6508599999999999E-5</v>
      </c>
      <c r="R30" s="16">
        <f>tblCalculation[[#This Row],[PtfContributionBase]]-tblCalculation[[#This Row],[PtfCurrencyReturn]]</f>
        <v>2.6508599999999999E-5</v>
      </c>
      <c r="S30" s="16">
        <f>IF(tblBOneExport[[#This Row],[LEVEL1]]="Bonds",tblBOneExport[[#This Row],[PTF_GOV_CARRY]],"")</f>
        <v>1.4196999999999999E-6</v>
      </c>
      <c r="T30" s="16">
        <f>tblCalculation[[#This Row],[FIAttributable]]*tblBOneExport[[#This Row],[PTF_CREDIT_CARRY]]</f>
        <v>3.3423000000000002E-6</v>
      </c>
      <c r="U30" s="16">
        <f>tblCalculation[[#This Row],[FIAttributable]]*tblBOneExport[[#This Row],[PTF_TOTAL_CURVE]]</f>
        <v>2.55388E-5</v>
      </c>
      <c r="V30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-3.4638000000000002E-6</v>
      </c>
      <c r="W30" s="16">
        <f>IF(AND(tblCalculation[[#This Row],[Level3]]="Forward Contracts",tblBOneExport[[#This Row],[PTF_COST_OF_CARRY]]=0),tblBOneExport[[#This Row],[PTF_VALUATION]],0)</f>
        <v>0</v>
      </c>
      <c r="X30" s="16">
        <f>SUM(tblCalculation[[#This Row],[PtfTrading]:[PtfModelRes]])</f>
        <v>-3.2850000000000001E-7</v>
      </c>
      <c r="Y30" s="16">
        <f>tblCalculation[[#This Row],[FIAttributable]]*tblBOneExport[[#This Row],[PTF_TRADING]]</f>
        <v>0</v>
      </c>
      <c r="Z30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30" s="16">
        <f>tblCalculation[[#This Row],[FIAttributable]]*tblBOneExport[[#This Row],[PTF_MODEL_RESIDUAL]]-PTF_Credit_Adj*tblCalculation[[#This Row],[PtfDTSWeight]]</f>
        <v>-3.2850000000000001E-7</v>
      </c>
      <c r="AB30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30" s="16">
        <f>tblBOneExport[[#This Row],[BMK_WEIGHT]]</f>
        <v>0</v>
      </c>
      <c r="AD30" s="78">
        <f>tblCalculation[[#This Row],[FIAttributable]]*SUMIFS(tblDTS[DTSContribution_BM],tblDTS[ISIN],tblCalculation[[#This Row],[ISIN]])</f>
        <v>0</v>
      </c>
      <c r="AE30" s="16">
        <f>IF(SUM(tblCalculation[BMKDTS])=0,0,tblCalculation[[#This Row],[BMKDTS]]/SUM(tblCalculation[BMKDTS]))</f>
        <v>0</v>
      </c>
      <c r="AF30" s="16">
        <f>tblBOneExport[[#This Row],[BMK_CONTRIBUTION]]</f>
        <v>0</v>
      </c>
      <c r="AG30" s="16">
        <f>tblCalculation[[#This Row],[BMKContributionBase]]-tblBOneExport[BMK_SPOT_CCY_RETURN]-tblBOneExport[[#This Row],[BMK_CROSS_EFFECT]]</f>
        <v>0</v>
      </c>
      <c r="AH30" s="16">
        <f>tblCalculation[[#This Row],[FIAttributable]]*(tblBOneExport[[#This Row],[BMK_RETURN_GOV_CARRY]])</f>
        <v>0</v>
      </c>
      <c r="AI30" s="16">
        <f>tblCalculation[[#This Row],[FIAttributable]]*tblBOneExport[[#This Row],[BMK_CREDIT_CARRY]]</f>
        <v>0</v>
      </c>
      <c r="AJ30" s="16">
        <f>tblCalculation[[#This Row],[FIAttributable]]*tblBOneExport[[#This Row],[BMK_TOTAL_CURVE]]</f>
        <v>0</v>
      </c>
      <c r="AK30" s="16">
        <f>tblCalculation[[#This Row],[FIAttributable]]*(tblBOneExport[[#This Row],[BMK_TOTAL_SPREAD]]+BMK_Credit_Adj*tblCalculation[[#This Row],[BmkDTSWeight]])</f>
        <v>0</v>
      </c>
      <c r="AL30" s="16">
        <f>tblCalculation[[#This Row],[FIAttributable]]*tblBOneExport[[#This Row],[BMK_MODEL_RESIDUAL]]-BMK_Credit_Adj*tblCalculation[[#This Row],[BmkDTSWeight]]</f>
        <v>0</v>
      </c>
      <c r="AM30" s="16">
        <f>IF(tblCalculation[[#This Row],[Level3]]="Forward Contracts",tblCalculation[[#This Row],[BMKContributionLocal]],0)</f>
        <v>0</v>
      </c>
      <c r="AN30" s="16">
        <f>tblBOneExport[[#This Row],[BMK_SPOT_CCY_RETURN]]+tblBOneExport[[#This Row],[BMK_CROSS_EFFECT]]</f>
        <v>0</v>
      </c>
    </row>
    <row r="31" spans="2:40" x14ac:dyDescent="0.25">
      <c r="E31" s="7" t="str">
        <f>tblBOneExport[[#This Row],[INSTRUMENT_CODE]]</f>
        <v>S00296745</v>
      </c>
      <c r="F31" s="7" t="str">
        <f>tblBOneExport[[#This Row],[INSTRUMENT]]</f>
        <v>BK NED GEMEENTEN 5.375 07/06/21 EMTN</v>
      </c>
      <c r="G31" s="7" t="str">
        <f>IF(tblBOneExport[[#This Row],[ISIN]]&lt;&gt;"", tblBOneExport[[#This Row],[ISIN]],"")</f>
        <v>XS0092607497</v>
      </c>
      <c r="H31" s="7" t="str">
        <f>IF(tblCalculation[[#This Row],[B1Level2]]="CDS",tblBOneExport[[#This Row],[B1_TICKER]],IF(tblCalculation[[#This Row],[ISIN]]="","",INDEX(tblGetStaticData[Ticker],MATCH(tblCalculation[[#This Row],[ISIN]],tblGetStaticData[ISIN],0))))</f>
        <v>BNG</v>
      </c>
      <c r="I31" s="7" t="str">
        <f>IF(tblBOneExport[[#This Row],[INSTRUMENT_TYPE]]="Forward Contract","Forward Contract",tblBOneExport[LEVEL2])</f>
        <v>Non-Corporate</v>
      </c>
      <c r="J31" s="7" t="str">
        <f>IF(tblBOneExport[[#This Row],[INSTRUMENT_TYPE]]="Forward Contract","Forward Contract",tblBOneExport[[#This Row],[LEVEL3]])</f>
        <v>Foreign Agency</v>
      </c>
      <c r="K31" s="7" t="str">
        <f>INDEX(tblLvl2Mapping[],MATCH(tblCalculation[[#This Row],[B1Level2]]&amp;"_"&amp;tblCalculation[[#This Row],[B1Level3]],tblLvl2Mapping[B1Level2_B1Level3],0),2)</f>
        <v>Corporate</v>
      </c>
      <c r="L31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31" s="7">
        <f>INDEX(tblAttributable[],MATCH(tblCalculation[[#This Row],[Level3]],tblAttributable[Level3],0),2)</f>
        <v>1</v>
      </c>
      <c r="N31" s="16">
        <f>tblBOneExport[[#This Row],[PTF_WEIGHT]]</f>
        <v>1.3685167E-3</v>
      </c>
      <c r="O31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9.641600392790977E-4</v>
      </c>
      <c r="P31" s="48">
        <f>tblCalculation[[#This Row],[PtfDTS]]/SUM(tblCalculation[PtfDTS])</f>
        <v>1.1692588851897749E-4</v>
      </c>
      <c r="Q31" s="16">
        <f>tblBOneExport[[#This Row],[PTF_CONTRIBUTION]]</f>
        <v>6.8356999999999996E-6</v>
      </c>
      <c r="R31" s="16">
        <f>tblCalculation[[#This Row],[PtfContributionBase]]-tblCalculation[[#This Row],[PtfCurrencyReturn]]</f>
        <v>6.8356999999999996E-6</v>
      </c>
      <c r="S31" s="16">
        <f>IF(tblBOneExport[[#This Row],[LEVEL1]]="Bonds",tblBOneExport[[#This Row],[PTF_GOV_CARRY]],"")</f>
        <v>3.4490000000000002E-7</v>
      </c>
      <c r="T31" s="16">
        <f>tblCalculation[[#This Row],[FIAttributable]]*tblBOneExport[[#This Row],[PTF_CREDIT_CARRY]]</f>
        <v>5.3180000000000004E-7</v>
      </c>
      <c r="U31" s="16">
        <f>tblCalculation[[#This Row],[FIAttributable]]*tblBOneExport[[#This Row],[PTF_TOTAL_CURVE]]</f>
        <v>6.2110000000000003E-6</v>
      </c>
      <c r="V31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-1.2279999999999999E-7</v>
      </c>
      <c r="W31" s="16">
        <f>IF(AND(tblCalculation[[#This Row],[Level3]]="Forward Contracts",tblBOneExport[[#This Row],[PTF_COST_OF_CARRY]]=0),tblBOneExport[[#This Row],[PTF_VALUATION]],0)</f>
        <v>0</v>
      </c>
      <c r="X31" s="16">
        <f>SUM(tblCalculation[[#This Row],[PtfTrading]:[PtfModelRes]])</f>
        <v>-1.2910000000000001E-7</v>
      </c>
      <c r="Y31" s="16">
        <f>tblCalculation[[#This Row],[FIAttributable]]*tblBOneExport[[#This Row],[PTF_TRADING]]</f>
        <v>0</v>
      </c>
      <c r="Z31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31" s="16">
        <f>tblCalculation[[#This Row],[FIAttributable]]*tblBOneExport[[#This Row],[PTF_MODEL_RESIDUAL]]-PTF_Credit_Adj*tblCalculation[[#This Row],[PtfDTSWeight]]</f>
        <v>-1.2910000000000001E-7</v>
      </c>
      <c r="AB31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31" s="16">
        <f>tblBOneExport[[#This Row],[BMK_WEIGHT]]</f>
        <v>0</v>
      </c>
      <c r="AD31" s="78">
        <f>tblCalculation[[#This Row],[FIAttributable]]*SUMIFS(tblDTS[DTSContribution_BM],tblDTS[ISIN],tblCalculation[[#This Row],[ISIN]])</f>
        <v>1.2725417561926635E-3</v>
      </c>
      <c r="AE31" s="16">
        <f>IF(SUM(tblCalculation[BMKDTS])=0,0,tblCalculation[[#This Row],[BMKDTS]]/SUM(tblCalculation[BMKDTS]))</f>
        <v>1.5124194539213096E-4</v>
      </c>
      <c r="AF31" s="16">
        <f>tblBOneExport[[#This Row],[BMK_CONTRIBUTION]]</f>
        <v>0</v>
      </c>
      <c r="AG31" s="16">
        <f>tblCalculation[[#This Row],[BMKContributionBase]]-tblBOneExport[BMK_SPOT_CCY_RETURN]-tblBOneExport[[#This Row],[BMK_CROSS_EFFECT]]</f>
        <v>0</v>
      </c>
      <c r="AH31" s="16">
        <f>tblCalculation[[#This Row],[FIAttributable]]*(tblBOneExport[[#This Row],[BMK_RETURN_GOV_CARRY]])</f>
        <v>0</v>
      </c>
      <c r="AI31" s="16">
        <f>tblCalculation[[#This Row],[FIAttributable]]*tblBOneExport[[#This Row],[BMK_CREDIT_CARRY]]</f>
        <v>0</v>
      </c>
      <c r="AJ31" s="16">
        <f>tblCalculation[[#This Row],[FIAttributable]]*tblBOneExport[[#This Row],[BMK_TOTAL_CURVE]]</f>
        <v>0</v>
      </c>
      <c r="AK31" s="16">
        <f>tblCalculation[[#This Row],[FIAttributable]]*(tblBOneExport[[#This Row],[BMK_TOTAL_SPREAD]]+BMK_Credit_Adj*tblCalculation[[#This Row],[BmkDTSWeight]])</f>
        <v>0</v>
      </c>
      <c r="AL31" s="16">
        <f>tblCalculation[[#This Row],[FIAttributable]]*tblBOneExport[[#This Row],[BMK_MODEL_RESIDUAL]]-BMK_Credit_Adj*tblCalculation[[#This Row],[BmkDTSWeight]]</f>
        <v>0</v>
      </c>
      <c r="AM31" s="16">
        <f>IF(tblCalculation[[#This Row],[Level3]]="Forward Contracts",tblCalculation[[#This Row],[BMKContributionLocal]],0)</f>
        <v>0</v>
      </c>
      <c r="AN31" s="16">
        <f>tblBOneExport[[#This Row],[BMK_SPOT_CCY_RETURN]]+tblBOneExport[[#This Row],[BMK_CROSS_EFFECT]]</f>
        <v>0</v>
      </c>
    </row>
    <row r="32" spans="2:40" x14ac:dyDescent="0.25">
      <c r="E32" s="7" t="str">
        <f>tblBOneExport[[#This Row],[INSTRUMENT_CODE]]</f>
        <v>S00169392</v>
      </c>
      <c r="F32" s="7" t="str">
        <f>tblBOneExport[[#This Row],[INSTRUMENT]]</f>
        <v>LCR FINANCE PLC 4.5 07/12/28 REGS</v>
      </c>
      <c r="G32" s="7" t="str">
        <f>IF(tblBOneExport[[#This Row],[ISIN]]&lt;&gt;"", tblBOneExport[[#This Row],[ISIN]],"")</f>
        <v>XS0094804126</v>
      </c>
      <c r="H32" s="7" t="str">
        <f>IF(tblCalculation[[#This Row],[B1Level2]]="CDS",tblBOneExport[[#This Row],[B1_TICKER]],IF(tblCalculation[[#This Row],[ISIN]]="","",INDEX(tblGetStaticData[Ticker],MATCH(tblCalculation[[#This Row],[ISIN]],tblGetStaticData[ISIN],0))))</f>
        <v>LCRFIN</v>
      </c>
      <c r="I32" s="7" t="str">
        <f>IF(tblBOneExport[[#This Row],[INSTRUMENT_TYPE]]="Forward Contract","Forward Contract",tblBOneExport[LEVEL2])</f>
        <v>Non-Corporate</v>
      </c>
      <c r="J32" s="7" t="str">
        <f>IF(tblBOneExport[[#This Row],[INSTRUMENT_TYPE]]="Forward Contract","Forward Contract",tblBOneExport[[#This Row],[LEVEL3]])</f>
        <v>Foreign Agency</v>
      </c>
      <c r="K32" s="7" t="str">
        <f>INDEX(tblLvl2Mapping[],MATCH(tblCalculation[[#This Row],[B1Level2]]&amp;"_"&amp;tblCalculation[[#This Row],[B1Level3]],tblLvl2Mapping[B1Level2_B1Level3],0),2)</f>
        <v>Corporate</v>
      </c>
      <c r="L32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32" s="7">
        <f>INDEX(tblAttributable[],MATCH(tblCalculation[[#This Row],[Level3]],tblAttributable[Level3],0),2)</f>
        <v>1</v>
      </c>
      <c r="N32" s="16">
        <f>tblBOneExport[[#This Row],[PTF_WEIGHT]]</f>
        <v>3.0496747999999999E-3</v>
      </c>
      <c r="O32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9.0192452092157926E-3</v>
      </c>
      <c r="P32" s="48">
        <f>tblCalculation[[#This Row],[PtfDTS]]/SUM(tblCalculation[PtfDTS])</f>
        <v>1.0937844516420731E-3</v>
      </c>
      <c r="Q32" s="16">
        <f>tblBOneExport[[#This Row],[PTF_CONTRIBUTION]]</f>
        <v>6.1394699999999997E-5</v>
      </c>
      <c r="R32" s="16">
        <f>tblCalculation[[#This Row],[PtfContributionBase]]-tblCalculation[[#This Row],[PtfCurrencyReturn]]</f>
        <v>6.1394699999999997E-5</v>
      </c>
      <c r="S32" s="16">
        <f>IF(tblBOneExport[[#This Row],[LEVEL1]]="Bonds",tblBOneExport[[#This Row],[PTF_GOV_CARRY]],"")</f>
        <v>3.2826999999999999E-6</v>
      </c>
      <c r="T32" s="16">
        <f>tblCalculation[[#This Row],[FIAttributable]]*tblBOneExport[[#This Row],[PTF_CREDIT_CARRY]]</f>
        <v>6.3890000000000004E-7</v>
      </c>
      <c r="U32" s="16">
        <f>tblCalculation[[#This Row],[FIAttributable]]*tblBOneExport[[#This Row],[PTF_TOTAL_CURVE]]</f>
        <v>5.6869500000000002E-5</v>
      </c>
      <c r="V32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1.124E-6</v>
      </c>
      <c r="W32" s="16">
        <f>IF(AND(tblCalculation[[#This Row],[Level3]]="Forward Contracts",tblBOneExport[[#This Row],[PTF_COST_OF_CARRY]]=0),tblBOneExport[[#This Row],[PTF_VALUATION]],0)</f>
        <v>0</v>
      </c>
      <c r="X32" s="16">
        <f>SUM(tblCalculation[[#This Row],[PtfTrading]:[PtfModelRes]])</f>
        <v>-5.2050000000000004E-7</v>
      </c>
      <c r="Y32" s="16">
        <f>tblCalculation[[#This Row],[FIAttributable]]*tblBOneExport[[#This Row],[PTF_TRADING]]</f>
        <v>0</v>
      </c>
      <c r="Z32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32" s="16">
        <f>tblCalculation[[#This Row],[FIAttributable]]*tblBOneExport[[#This Row],[PTF_MODEL_RESIDUAL]]-PTF_Credit_Adj*tblCalculation[[#This Row],[PtfDTSWeight]]</f>
        <v>-5.2050000000000004E-7</v>
      </c>
      <c r="AB32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32" s="16">
        <f>tblBOneExport[[#This Row],[BMK_WEIGHT]]</f>
        <v>0</v>
      </c>
      <c r="AD32" s="78">
        <f>tblCalculation[[#This Row],[FIAttributable]]*SUMIFS(tblDTS[DTSContribution_BM],tblDTS[ISIN],tblCalculation[[#This Row],[ISIN]])</f>
        <v>1.1903308878496706E-2</v>
      </c>
      <c r="AE32" s="16">
        <f>IF(SUM(tblCalculation[BMKDTS])=0,0,tblCalculation[[#This Row],[BMKDTS]]/SUM(tblCalculation[BMKDTS]))</f>
        <v>1.4147116058285975E-3</v>
      </c>
      <c r="AF32" s="16">
        <f>tblBOneExport[[#This Row],[BMK_CONTRIBUTION]]</f>
        <v>0</v>
      </c>
      <c r="AG32" s="16">
        <f>tblCalculation[[#This Row],[BMKContributionBase]]-tblBOneExport[BMK_SPOT_CCY_RETURN]-tblBOneExport[[#This Row],[BMK_CROSS_EFFECT]]</f>
        <v>0</v>
      </c>
      <c r="AH32" s="16">
        <f>tblCalculation[[#This Row],[FIAttributable]]*(tblBOneExport[[#This Row],[BMK_RETURN_GOV_CARRY]])</f>
        <v>0</v>
      </c>
      <c r="AI32" s="16">
        <f>tblCalculation[[#This Row],[FIAttributable]]*tblBOneExport[[#This Row],[BMK_CREDIT_CARRY]]</f>
        <v>0</v>
      </c>
      <c r="AJ32" s="16">
        <f>tblCalculation[[#This Row],[FIAttributable]]*tblBOneExport[[#This Row],[BMK_TOTAL_CURVE]]</f>
        <v>0</v>
      </c>
      <c r="AK32" s="16">
        <f>tblCalculation[[#This Row],[FIAttributable]]*(tblBOneExport[[#This Row],[BMK_TOTAL_SPREAD]]+BMK_Credit_Adj*tblCalculation[[#This Row],[BmkDTSWeight]])</f>
        <v>0</v>
      </c>
      <c r="AL32" s="16">
        <f>tblCalculation[[#This Row],[FIAttributable]]*tblBOneExport[[#This Row],[BMK_MODEL_RESIDUAL]]-BMK_Credit_Adj*tblCalculation[[#This Row],[BmkDTSWeight]]</f>
        <v>0</v>
      </c>
      <c r="AM32" s="16">
        <f>IF(tblCalculation[[#This Row],[Level3]]="Forward Contracts",tblCalculation[[#This Row],[BMKContributionLocal]],0)</f>
        <v>0</v>
      </c>
      <c r="AN32" s="16">
        <f>tblBOneExport[[#This Row],[BMK_SPOT_CCY_RETURN]]+tblBOneExport[[#This Row],[BMK_CROSS_EFFECT]]</f>
        <v>0</v>
      </c>
    </row>
    <row r="33" spans="5:40" x14ac:dyDescent="0.25">
      <c r="E33" s="7" t="str">
        <f>tblBOneExport[[#This Row],[INSTRUMENT_CODE]]</f>
        <v>S00169454</v>
      </c>
      <c r="F33" s="7" t="str">
        <f>tblBOneExport[[#This Row],[INSTRUMENT]]</f>
        <v>LCR FINANCE PLC 4.5 07/12/38 REGS</v>
      </c>
      <c r="G33" s="7" t="str">
        <f>IF(tblBOneExport[[#This Row],[ISIN]]&lt;&gt;"", tblBOneExport[[#This Row],[ISIN]],"")</f>
        <v>XS0094835278</v>
      </c>
      <c r="H33" s="7" t="str">
        <f>IF(tblCalculation[[#This Row],[B1Level2]]="CDS",tblBOneExport[[#This Row],[B1_TICKER]],IF(tblCalculation[[#This Row],[ISIN]]="","",INDEX(tblGetStaticData[Ticker],MATCH(tblCalculation[[#This Row],[ISIN]],tblGetStaticData[ISIN],0))))</f>
        <v>LCRFIN</v>
      </c>
      <c r="I33" s="7" t="str">
        <f>IF(tblBOneExport[[#This Row],[INSTRUMENT_TYPE]]="Forward Contract","Forward Contract",tblBOneExport[LEVEL2])</f>
        <v>Non-Corporate</v>
      </c>
      <c r="J33" s="7" t="str">
        <f>IF(tblBOneExport[[#This Row],[INSTRUMENT_TYPE]]="Forward Contract","Forward Contract",tblBOneExport[[#This Row],[LEVEL3]])</f>
        <v>Foreign Agency</v>
      </c>
      <c r="K33" s="7" t="str">
        <f>INDEX(tblLvl2Mapping[],MATCH(tblCalculation[[#This Row],[B1Level2]]&amp;"_"&amp;tblCalculation[[#This Row],[B1Level3]],tblLvl2Mapping[B1Level2_B1Level3],0),2)</f>
        <v>Corporate</v>
      </c>
      <c r="L33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33" s="7">
        <f>INDEX(tblAttributable[],MATCH(tblCalculation[[#This Row],[Level3]],tblAttributable[Level3],0),2)</f>
        <v>1</v>
      </c>
      <c r="N33" s="16">
        <f>tblBOneExport[[#This Row],[PTF_WEIGHT]]</f>
        <v>5.0176016000000002E-3</v>
      </c>
      <c r="O33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4.2779002571181154E-2</v>
      </c>
      <c r="P33" s="48">
        <f>tblCalculation[[#This Row],[PtfDTS]]/SUM(tblCalculation[PtfDTS])</f>
        <v>5.1879072786826484E-3</v>
      </c>
      <c r="Q33" s="16">
        <f>tblBOneExport[[#This Row],[PTF_CONTRIBUTION]]</f>
        <v>1.2938129999999999E-4</v>
      </c>
      <c r="R33" s="16">
        <f>tblCalculation[[#This Row],[PtfContributionBase]]-tblCalculation[[#This Row],[PtfCurrencyReturn]]</f>
        <v>1.2938129999999999E-4</v>
      </c>
      <c r="S33" s="16">
        <f>IF(tblBOneExport[[#This Row],[LEVEL1]]="Bonds",tblBOneExport[[#This Row],[PTF_GOV_CARRY]],"")</f>
        <v>7.1196999999999998E-6</v>
      </c>
      <c r="T33" s="16">
        <f>tblCalculation[[#This Row],[FIAttributable]]*tblBOneExport[[#This Row],[PTF_CREDIT_CARRY]]</f>
        <v>1.3350999999999999E-6</v>
      </c>
      <c r="U33" s="16">
        <f>tblCalculation[[#This Row],[FIAttributable]]*tblBOneExport[[#This Row],[PTF_TOTAL_CURVE]]</f>
        <v>7.4830099999999994E-5</v>
      </c>
      <c r="V33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4.5893599999999997E-5</v>
      </c>
      <c r="W33" s="16">
        <f>IF(AND(tblCalculation[[#This Row],[Level3]]="Forward Contracts",tblBOneExport[[#This Row],[PTF_COST_OF_CARRY]]=0),tblBOneExport[[#This Row],[PTF_VALUATION]],0)</f>
        <v>0</v>
      </c>
      <c r="X33" s="16">
        <f>SUM(tblCalculation[[#This Row],[PtfTrading]:[PtfModelRes]])</f>
        <v>2.0279999999999999E-7</v>
      </c>
      <c r="Y33" s="16">
        <f>tblCalculation[[#This Row],[FIAttributable]]*tblBOneExport[[#This Row],[PTF_TRADING]]</f>
        <v>0</v>
      </c>
      <c r="Z33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33" s="16">
        <f>tblCalculation[[#This Row],[FIAttributable]]*tblBOneExport[[#This Row],[PTF_MODEL_RESIDUAL]]-PTF_Credit_Adj*tblCalculation[[#This Row],[PtfDTSWeight]]</f>
        <v>2.0279999999999999E-7</v>
      </c>
      <c r="AB33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33" s="16">
        <f>tblBOneExport[[#This Row],[BMK_WEIGHT]]</f>
        <v>0</v>
      </c>
      <c r="AD33" s="78">
        <f>tblCalculation[[#This Row],[FIAttributable]]*SUMIFS(tblDTS[DTSContribution_BM],tblDTS[ISIN],tblCalculation[[#This Row],[ISIN]])</f>
        <v>3.7642450925839191E-2</v>
      </c>
      <c r="AE33" s="16">
        <f>IF(SUM(tblCalculation[BMKDTS])=0,0,tblCalculation[[#This Row],[BMKDTS]]/SUM(tblCalculation[BMKDTS]))</f>
        <v>4.4738158725612775E-3</v>
      </c>
      <c r="AF33" s="16">
        <f>tblBOneExport[[#This Row],[BMK_CONTRIBUTION]]</f>
        <v>0</v>
      </c>
      <c r="AG33" s="16">
        <f>tblCalculation[[#This Row],[BMKContributionBase]]-tblBOneExport[BMK_SPOT_CCY_RETURN]-tblBOneExport[[#This Row],[BMK_CROSS_EFFECT]]</f>
        <v>0</v>
      </c>
      <c r="AH33" s="16">
        <f>tblCalculation[[#This Row],[FIAttributable]]*(tblBOneExport[[#This Row],[BMK_RETURN_GOV_CARRY]])</f>
        <v>0</v>
      </c>
      <c r="AI33" s="16">
        <f>tblCalculation[[#This Row],[FIAttributable]]*tblBOneExport[[#This Row],[BMK_CREDIT_CARRY]]</f>
        <v>0</v>
      </c>
      <c r="AJ33" s="16">
        <f>tblCalculation[[#This Row],[FIAttributable]]*tblBOneExport[[#This Row],[BMK_TOTAL_CURVE]]</f>
        <v>0</v>
      </c>
      <c r="AK33" s="16">
        <f>tblCalculation[[#This Row],[FIAttributable]]*(tblBOneExport[[#This Row],[BMK_TOTAL_SPREAD]]+BMK_Credit_Adj*tblCalculation[[#This Row],[BmkDTSWeight]])</f>
        <v>0</v>
      </c>
      <c r="AL33" s="16">
        <f>tblCalculation[[#This Row],[FIAttributable]]*tblBOneExport[[#This Row],[BMK_MODEL_RESIDUAL]]-BMK_Credit_Adj*tblCalculation[[#This Row],[BmkDTSWeight]]</f>
        <v>0</v>
      </c>
      <c r="AM33" s="16">
        <f>IF(tblCalculation[[#This Row],[Level3]]="Forward Contracts",tblCalculation[[#This Row],[BMKContributionLocal]],0)</f>
        <v>0</v>
      </c>
      <c r="AN33" s="16">
        <f>tblBOneExport[[#This Row],[BMK_SPOT_CCY_RETURN]]+tblBOneExport[[#This Row],[BMK_CROSS_EFFECT]]</f>
        <v>0</v>
      </c>
    </row>
    <row r="34" spans="5:40" x14ac:dyDescent="0.25">
      <c r="E34" s="7" t="str">
        <f>tblBOneExport[[#This Row],[INSTRUMENT_CODE]]</f>
        <v>S00302451</v>
      </c>
      <c r="F34" s="7" t="str">
        <f>tblBOneExport[[#This Row],[INSTRUMENT]]</f>
        <v>INT BK RECON&amp;DEV 4.875 07/12/28 EMTN</v>
      </c>
      <c r="G34" s="7" t="str">
        <f>IF(tblBOneExport[[#This Row],[ISIN]]&lt;&gt;"", tblBOneExport[[#This Row],[ISIN]],"")</f>
        <v>XS0095130943</v>
      </c>
      <c r="H34" s="7" t="str">
        <f>IF(tblCalculation[[#This Row],[B1Level2]]="CDS",tblBOneExport[[#This Row],[B1_TICKER]],IF(tblCalculation[[#This Row],[ISIN]]="","",INDEX(tblGetStaticData[Ticker],MATCH(tblCalculation[[#This Row],[ISIN]],tblGetStaticData[ISIN],0))))</f>
        <v>IBRD</v>
      </c>
      <c r="I34" s="7" t="str">
        <f>IF(tblBOneExport[[#This Row],[INSTRUMENT_TYPE]]="Forward Contract","Forward Contract",tblBOneExport[LEVEL2])</f>
        <v>Non-Corporate</v>
      </c>
      <c r="J34" s="7" t="str">
        <f>IF(tblBOneExport[[#This Row],[INSTRUMENT_TYPE]]="Forward Contract","Forward Contract",tblBOneExport[[#This Row],[LEVEL3]])</f>
        <v>Supranationals</v>
      </c>
      <c r="K34" s="7" t="str">
        <f>INDEX(tblLvl2Mapping[],MATCH(tblCalculation[[#This Row],[B1Level2]]&amp;"_"&amp;tblCalculation[[#This Row],[B1Level3]],tblLvl2Mapping[B1Level2_B1Level3],0),2)</f>
        <v>Corporate</v>
      </c>
      <c r="L34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34" s="7">
        <f>INDEX(tblAttributable[],MATCH(tblCalculation[[#This Row],[Level3]],tblAttributable[Level3],0),2)</f>
        <v>1</v>
      </c>
      <c r="N34" s="16">
        <f>tblBOneExport[[#This Row],[PTF_WEIGHT]]</f>
        <v>1.6091645999999999E-3</v>
      </c>
      <c r="O34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3.4455099515790519E-3</v>
      </c>
      <c r="P34" s="48">
        <f>tblCalculation[[#This Row],[PtfDTS]]/SUM(tblCalculation[PtfDTS])</f>
        <v>4.1784485570526761E-4</v>
      </c>
      <c r="Q34" s="16">
        <f>tblBOneExport[[#This Row],[PTF_CONTRIBUTION]]</f>
        <v>3.2147899999999998E-5</v>
      </c>
      <c r="R34" s="16">
        <f>tblCalculation[[#This Row],[PtfContributionBase]]-tblCalculation[[#This Row],[PtfCurrencyReturn]]</f>
        <v>3.2147899999999998E-5</v>
      </c>
      <c r="S34" s="16">
        <f>IF(tblBOneExport[[#This Row],[LEVEL1]]="Bonds",tblBOneExport[[#This Row],[PTF_GOV_CARRY]],"")</f>
        <v>1.7334E-6</v>
      </c>
      <c r="T34" s="16">
        <f>tblCalculation[[#This Row],[FIAttributable]]*tblBOneExport[[#This Row],[PTF_CREDIT_CARRY]]</f>
        <v>2.2740000000000001E-7</v>
      </c>
      <c r="U34" s="16">
        <f>tblCalculation[[#This Row],[FIAttributable]]*tblBOneExport[[#This Row],[PTF_TOTAL_CURVE]]</f>
        <v>2.9297599999999999E-5</v>
      </c>
      <c r="V34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9.5809999999999998E-7</v>
      </c>
      <c r="W34" s="16">
        <f>IF(AND(tblCalculation[[#This Row],[Level3]]="Forward Contracts",tblBOneExport[[#This Row],[PTF_COST_OF_CARRY]]=0),tblBOneExport[[#This Row],[PTF_VALUATION]],0)</f>
        <v>0</v>
      </c>
      <c r="X34" s="16">
        <f>SUM(tblCalculation[[#This Row],[PtfTrading]:[PtfModelRes]])</f>
        <v>-6.87E-8</v>
      </c>
      <c r="Y34" s="16">
        <f>tblCalculation[[#This Row],[FIAttributable]]*tblBOneExport[[#This Row],[PTF_TRADING]]</f>
        <v>0</v>
      </c>
      <c r="Z34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34" s="16">
        <f>tblCalculation[[#This Row],[FIAttributable]]*tblBOneExport[[#This Row],[PTF_MODEL_RESIDUAL]]-PTF_Credit_Adj*tblCalculation[[#This Row],[PtfDTSWeight]]</f>
        <v>-6.87E-8</v>
      </c>
      <c r="AB34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34" s="16">
        <f>tblBOneExport[[#This Row],[BMK_WEIGHT]]</f>
        <v>0</v>
      </c>
      <c r="AD34" s="78">
        <f>tblCalculation[[#This Row],[FIAttributable]]*SUMIFS(tblDTS[DTSContribution_BM],tblDTS[ISIN],tblCalculation[[#This Row],[ISIN]])</f>
        <v>4.5475345430819472E-3</v>
      </c>
      <c r="AE34" s="16">
        <f>IF(SUM(tblCalculation[BMKDTS])=0,0,tblCalculation[[#This Row],[BMKDTS]]/SUM(tblCalculation[BMKDTS]))</f>
        <v>5.4047575860410445E-4</v>
      </c>
      <c r="AF34" s="16">
        <f>tblBOneExport[[#This Row],[BMK_CONTRIBUTION]]</f>
        <v>0</v>
      </c>
      <c r="AG34" s="16">
        <f>tblCalculation[[#This Row],[BMKContributionBase]]-tblBOneExport[BMK_SPOT_CCY_RETURN]-tblBOneExport[[#This Row],[BMK_CROSS_EFFECT]]</f>
        <v>0</v>
      </c>
      <c r="AH34" s="16">
        <f>tblCalculation[[#This Row],[FIAttributable]]*(tblBOneExport[[#This Row],[BMK_RETURN_GOV_CARRY]])</f>
        <v>0</v>
      </c>
      <c r="AI34" s="16">
        <f>tblCalculation[[#This Row],[FIAttributable]]*tblBOneExport[[#This Row],[BMK_CREDIT_CARRY]]</f>
        <v>0</v>
      </c>
      <c r="AJ34" s="16">
        <f>tblCalculation[[#This Row],[FIAttributable]]*tblBOneExport[[#This Row],[BMK_TOTAL_CURVE]]</f>
        <v>0</v>
      </c>
      <c r="AK34" s="16">
        <f>tblCalculation[[#This Row],[FIAttributable]]*(tblBOneExport[[#This Row],[BMK_TOTAL_SPREAD]]+BMK_Credit_Adj*tblCalculation[[#This Row],[BmkDTSWeight]])</f>
        <v>0</v>
      </c>
      <c r="AL34" s="16">
        <f>tblCalculation[[#This Row],[FIAttributable]]*tblBOneExport[[#This Row],[BMK_MODEL_RESIDUAL]]-BMK_Credit_Adj*tblCalculation[[#This Row],[BmkDTSWeight]]</f>
        <v>0</v>
      </c>
      <c r="AM34" s="16">
        <f>IF(tblCalculation[[#This Row],[Level3]]="Forward Contracts",tblCalculation[[#This Row],[BMKContributionLocal]],0)</f>
        <v>0</v>
      </c>
      <c r="AN34" s="16">
        <f>tblBOneExport[[#This Row],[BMK_SPOT_CCY_RETURN]]+tblBOneExport[[#This Row],[BMK_CROSS_EFFECT]]</f>
        <v>0</v>
      </c>
    </row>
    <row r="35" spans="5:40" x14ac:dyDescent="0.25">
      <c r="E35" s="7" t="str">
        <f>tblBOneExport[[#This Row],[INSTRUMENT_CODE]]</f>
        <v>S00305761</v>
      </c>
      <c r="F35" s="7" t="str">
        <f>tblBOneExport[[#This Row],[INSTRUMENT]]</f>
        <v>EUROPEAN INVT BK 5 15/04/39</v>
      </c>
      <c r="G35" s="7" t="str">
        <f>IF(tblBOneExport[[#This Row],[ISIN]]&lt;&gt;"", tblBOneExport[[#This Row],[ISIN]],"")</f>
        <v>XS0096499057</v>
      </c>
      <c r="H35" s="7" t="str">
        <f>IF(tblCalculation[[#This Row],[B1Level2]]="CDS",tblBOneExport[[#This Row],[B1_TICKER]],IF(tblCalculation[[#This Row],[ISIN]]="","",INDEX(tblGetStaticData[Ticker],MATCH(tblCalculation[[#This Row],[ISIN]],tblGetStaticData[ISIN],0))))</f>
        <v>EIB</v>
      </c>
      <c r="I35" s="7" t="str">
        <f>IF(tblBOneExport[[#This Row],[INSTRUMENT_TYPE]]="Forward Contract","Forward Contract",tblBOneExport[LEVEL2])</f>
        <v>Non-Corporate</v>
      </c>
      <c r="J35" s="7" t="str">
        <f>IF(tblBOneExport[[#This Row],[INSTRUMENT_TYPE]]="Forward Contract","Forward Contract",tblBOneExport[[#This Row],[LEVEL3]])</f>
        <v>Supranationals</v>
      </c>
      <c r="K35" s="7" t="str">
        <f>INDEX(tblLvl2Mapping[],MATCH(tblCalculation[[#This Row],[B1Level2]]&amp;"_"&amp;tblCalculation[[#This Row],[B1Level3]],tblLvl2Mapping[B1Level2_B1Level3],0),2)</f>
        <v>Corporate</v>
      </c>
      <c r="L35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35" s="7">
        <f>INDEX(tblAttributable[],MATCH(tblCalculation[[#This Row],[Level3]],tblAttributable[Level3],0),2)</f>
        <v>1</v>
      </c>
      <c r="N35" s="16">
        <f>tblBOneExport[[#This Row],[PTF_WEIGHT]]</f>
        <v>3.4118737E-3</v>
      </c>
      <c r="O35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2.6703606182229587E-2</v>
      </c>
      <c r="P35" s="48">
        <f>tblCalculation[[#This Row],[PtfDTS]]/SUM(tblCalculation[PtfDTS])</f>
        <v>3.2384072688312511E-3</v>
      </c>
      <c r="Q35" s="16">
        <f>tblBOneExport[[#This Row],[PTF_CONTRIBUTION]]</f>
        <v>8.9089299999999994E-5</v>
      </c>
      <c r="R35" s="16">
        <f>tblCalculation[[#This Row],[PtfContributionBase]]-tblCalculation[[#This Row],[PtfCurrencyReturn]]</f>
        <v>8.9089299999999994E-5</v>
      </c>
      <c r="S35" s="16">
        <f>IF(tblBOneExport[[#This Row],[LEVEL1]]="Bonds",tblBOneExport[[#This Row],[PTF_GOV_CARRY]],"")</f>
        <v>4.8658000000000001E-6</v>
      </c>
      <c r="T35" s="16">
        <f>tblCalculation[[#This Row],[FIAttributable]]*tblBOneExport[[#This Row],[PTF_CREDIT_CARRY]]</f>
        <v>7.9360000000000001E-7</v>
      </c>
      <c r="U35" s="16">
        <f>tblCalculation[[#This Row],[FIAttributable]]*tblBOneExport[[#This Row],[PTF_TOTAL_CURVE]]</f>
        <v>5.3563400000000003E-5</v>
      </c>
      <c r="V35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2.88548E-5</v>
      </c>
      <c r="W35" s="16">
        <f>IF(AND(tblCalculation[[#This Row],[Level3]]="Forward Contracts",tblBOneExport[[#This Row],[PTF_COST_OF_CARRY]]=0),tblBOneExport[[#This Row],[PTF_VALUATION]],0)</f>
        <v>0</v>
      </c>
      <c r="X35" s="16">
        <f>SUM(tblCalculation[[#This Row],[PtfTrading]:[PtfModelRes]])</f>
        <v>1.0118E-6</v>
      </c>
      <c r="Y35" s="16">
        <f>tblCalculation[[#This Row],[FIAttributable]]*tblBOneExport[[#This Row],[PTF_TRADING]]</f>
        <v>0</v>
      </c>
      <c r="Z35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35" s="16">
        <f>tblCalculation[[#This Row],[FIAttributable]]*tblBOneExport[[#This Row],[PTF_MODEL_RESIDUAL]]-PTF_Credit_Adj*tblCalculation[[#This Row],[PtfDTSWeight]]</f>
        <v>1.0118E-6</v>
      </c>
      <c r="AB35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35" s="16">
        <f>tblBOneExport[[#This Row],[BMK_WEIGHT]]</f>
        <v>0</v>
      </c>
      <c r="AD35" s="78">
        <f>tblCalculation[[#This Row],[FIAttributable]]*SUMIFS(tblDTS[DTSContribution_BM],tblDTS[ISIN],tblCalculation[[#This Row],[ISIN]])</f>
        <v>3.5246663279700233E-2</v>
      </c>
      <c r="AE35" s="16">
        <f>IF(SUM(tblCalculation[BMKDTS])=0,0,tblCalculation[[#This Row],[BMKDTS]]/SUM(tblCalculation[BMKDTS]))</f>
        <v>4.1890758374424361E-3</v>
      </c>
      <c r="AF35" s="16">
        <f>tblBOneExport[[#This Row],[BMK_CONTRIBUTION]]</f>
        <v>0</v>
      </c>
      <c r="AG35" s="16">
        <f>tblCalculation[[#This Row],[BMKContributionBase]]-tblBOneExport[BMK_SPOT_CCY_RETURN]-tblBOneExport[[#This Row],[BMK_CROSS_EFFECT]]</f>
        <v>0</v>
      </c>
      <c r="AH35" s="16">
        <f>tblCalculation[[#This Row],[FIAttributable]]*(tblBOneExport[[#This Row],[BMK_RETURN_GOV_CARRY]])</f>
        <v>0</v>
      </c>
      <c r="AI35" s="16">
        <f>tblCalculation[[#This Row],[FIAttributable]]*tblBOneExport[[#This Row],[BMK_CREDIT_CARRY]]</f>
        <v>0</v>
      </c>
      <c r="AJ35" s="16">
        <f>tblCalculation[[#This Row],[FIAttributable]]*tblBOneExport[[#This Row],[BMK_TOTAL_CURVE]]</f>
        <v>0</v>
      </c>
      <c r="AK35" s="16">
        <f>tblCalculation[[#This Row],[FIAttributable]]*(tblBOneExport[[#This Row],[BMK_TOTAL_SPREAD]]+BMK_Credit_Adj*tblCalculation[[#This Row],[BmkDTSWeight]])</f>
        <v>0</v>
      </c>
      <c r="AL35" s="16">
        <f>tblCalculation[[#This Row],[FIAttributable]]*tblBOneExport[[#This Row],[BMK_MODEL_RESIDUAL]]-BMK_Credit_Adj*tblCalculation[[#This Row],[BmkDTSWeight]]</f>
        <v>0</v>
      </c>
      <c r="AM35" s="16">
        <f>IF(tblCalculation[[#This Row],[Level3]]="Forward Contracts",tblCalculation[[#This Row],[BMKContributionLocal]],0)</f>
        <v>0</v>
      </c>
      <c r="AN35" s="16">
        <f>tblBOneExport[[#This Row],[BMK_SPOT_CCY_RETURN]]+tblBOneExport[[#This Row],[BMK_CROSS_EFFECT]]</f>
        <v>0</v>
      </c>
    </row>
    <row r="36" spans="5:40" x14ac:dyDescent="0.25">
      <c r="E36" s="7" t="str">
        <f>tblBOneExport[[#This Row],[INSTRUMENT_CODE]]</f>
        <v>S00306000</v>
      </c>
      <c r="F36" s="7" t="str">
        <f>tblBOneExport[[#This Row],[INSTRUMENT]]</f>
        <v>BK NED GEMEENTEN 5.2 07/12/28 EMTN</v>
      </c>
      <c r="G36" s="7" t="str">
        <f>IF(tblBOneExport[[#This Row],[ISIN]]&lt;&gt;"", tblBOneExport[[#This Row],[ISIN]],"")</f>
        <v>XS0096806590</v>
      </c>
      <c r="H36" s="7" t="str">
        <f>IF(tblCalculation[[#This Row],[B1Level2]]="CDS",tblBOneExport[[#This Row],[B1_TICKER]],IF(tblCalculation[[#This Row],[ISIN]]="","",INDEX(tblGetStaticData[Ticker],MATCH(tblCalculation[[#This Row],[ISIN]],tblGetStaticData[ISIN],0))))</f>
        <v>BNG</v>
      </c>
      <c r="I36" s="7" t="str">
        <f>IF(tblBOneExport[[#This Row],[INSTRUMENT_TYPE]]="Forward Contract","Forward Contract",tblBOneExport[LEVEL2])</f>
        <v>Non-Corporate</v>
      </c>
      <c r="J36" s="7" t="str">
        <f>IF(tblBOneExport[[#This Row],[INSTRUMENT_TYPE]]="Forward Contract","Forward Contract",tblBOneExport[[#This Row],[LEVEL3]])</f>
        <v>Foreign Agency</v>
      </c>
      <c r="K36" s="7" t="str">
        <f>INDEX(tblLvl2Mapping[],MATCH(tblCalculation[[#This Row],[B1Level2]]&amp;"_"&amp;tblCalculation[[#This Row],[B1Level3]],tblLvl2Mapping[B1Level2_B1Level3],0),2)</f>
        <v>Corporate</v>
      </c>
      <c r="L36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36" s="7">
        <f>INDEX(tblAttributable[],MATCH(tblCalculation[[#This Row],[Level3]],tblAttributable[Level3],0),2)</f>
        <v>1</v>
      </c>
      <c r="N36" s="16">
        <f>tblBOneExport[[#This Row],[PTF_WEIGHT]]</f>
        <v>3.3904499000000001E-3</v>
      </c>
      <c r="O36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1.4647965393959213E-2</v>
      </c>
      <c r="P36" s="48">
        <f>tblCalculation[[#This Row],[PtfDTS]]/SUM(tblCalculation[PtfDTS])</f>
        <v>1.7763921951842354E-3</v>
      </c>
      <c r="Q36" s="16">
        <f>tblBOneExport[[#This Row],[PTF_CONTRIBUTION]]</f>
        <v>6.8997200000000004E-5</v>
      </c>
      <c r="R36" s="16">
        <f>tblCalculation[[#This Row],[PtfContributionBase]]-tblCalculation[[#This Row],[PtfCurrencyReturn]]</f>
        <v>6.8997200000000004E-5</v>
      </c>
      <c r="S36" s="16">
        <f>IF(tblBOneExport[[#This Row],[LEVEL1]]="Bonds",tblBOneExport[[#This Row],[PTF_GOV_CARRY]],"")</f>
        <v>3.6430999999999999E-6</v>
      </c>
      <c r="T36" s="16">
        <f>tblCalculation[[#This Row],[FIAttributable]]*tblBOneExport[[#This Row],[PTF_CREDIT_CARRY]]</f>
        <v>1.2247999999999999E-6</v>
      </c>
      <c r="U36" s="16">
        <f>tblCalculation[[#This Row],[FIAttributable]]*tblBOneExport[[#This Row],[PTF_TOTAL_CURVE]]</f>
        <v>6.0777499999999999E-5</v>
      </c>
      <c r="V36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4.0473000000000002E-6</v>
      </c>
      <c r="W36" s="16">
        <f>IF(AND(tblCalculation[[#This Row],[Level3]]="Forward Contracts",tblBOneExport[[#This Row],[PTF_COST_OF_CARRY]]=0),tblBOneExport[[#This Row],[PTF_VALUATION]],0)</f>
        <v>0</v>
      </c>
      <c r="X36" s="16">
        <f>SUM(tblCalculation[[#This Row],[PtfTrading]:[PtfModelRes]])</f>
        <v>-6.9549999999999995E-7</v>
      </c>
      <c r="Y36" s="16">
        <f>tblCalculation[[#This Row],[FIAttributable]]*tblBOneExport[[#This Row],[PTF_TRADING]]</f>
        <v>0</v>
      </c>
      <c r="Z36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36" s="16">
        <f>tblCalculation[[#This Row],[FIAttributable]]*tblBOneExport[[#This Row],[PTF_MODEL_RESIDUAL]]-PTF_Credit_Adj*tblCalculation[[#This Row],[PtfDTSWeight]]</f>
        <v>-6.9549999999999995E-7</v>
      </c>
      <c r="AB36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36" s="16">
        <f>tblBOneExport[[#This Row],[BMK_WEIGHT]]</f>
        <v>0</v>
      </c>
      <c r="AD36" s="78">
        <f>tblCalculation[[#This Row],[FIAttributable]]*SUMIFS(tblDTS[DTSContribution_BM],tblDTS[ISIN],tblCalculation[[#This Row],[ISIN]])</f>
        <v>1.0126231838415066E-2</v>
      </c>
      <c r="AE36" s="16">
        <f>IF(SUM(tblCalculation[BMKDTS])=0,0,tblCalculation[[#This Row],[BMKDTS]]/SUM(tblCalculation[BMKDTS]))</f>
        <v>1.2035055001383844E-3</v>
      </c>
      <c r="AF36" s="16">
        <f>tblBOneExport[[#This Row],[BMK_CONTRIBUTION]]</f>
        <v>0</v>
      </c>
      <c r="AG36" s="16">
        <f>tblCalculation[[#This Row],[BMKContributionBase]]-tblBOneExport[BMK_SPOT_CCY_RETURN]-tblBOneExport[[#This Row],[BMK_CROSS_EFFECT]]</f>
        <v>0</v>
      </c>
      <c r="AH36" s="16">
        <f>tblCalculation[[#This Row],[FIAttributable]]*(tblBOneExport[[#This Row],[BMK_RETURN_GOV_CARRY]])</f>
        <v>0</v>
      </c>
      <c r="AI36" s="16">
        <f>tblCalculation[[#This Row],[FIAttributable]]*tblBOneExport[[#This Row],[BMK_CREDIT_CARRY]]</f>
        <v>0</v>
      </c>
      <c r="AJ36" s="16">
        <f>tblCalculation[[#This Row],[FIAttributable]]*tblBOneExport[[#This Row],[BMK_TOTAL_CURVE]]</f>
        <v>0</v>
      </c>
      <c r="AK36" s="16">
        <f>tblCalculation[[#This Row],[FIAttributable]]*(tblBOneExport[[#This Row],[BMK_TOTAL_SPREAD]]+BMK_Credit_Adj*tblCalculation[[#This Row],[BmkDTSWeight]])</f>
        <v>0</v>
      </c>
      <c r="AL36" s="16">
        <f>tblCalculation[[#This Row],[FIAttributable]]*tblBOneExport[[#This Row],[BMK_MODEL_RESIDUAL]]-BMK_Credit_Adj*tblCalculation[[#This Row],[BmkDTSWeight]]</f>
        <v>0</v>
      </c>
      <c r="AM36" s="16">
        <f>IF(tblCalculation[[#This Row],[Level3]]="Forward Contracts",tblCalculation[[#This Row],[BMKContributionLocal]],0)</f>
        <v>0</v>
      </c>
      <c r="AN36" s="16">
        <f>tblBOneExport[[#This Row],[BMK_SPOT_CCY_RETURN]]+tblBOneExport[[#This Row],[BMK_CROSS_EFFECT]]</f>
        <v>0</v>
      </c>
    </row>
    <row r="37" spans="5:40" x14ac:dyDescent="0.25">
      <c r="E37" s="7" t="str">
        <f>tblBOneExport[[#This Row],[INSTRUMENT_CODE]]</f>
        <v>S00325196</v>
      </c>
      <c r="F37" s="7" t="str">
        <f>tblBOneExport[[#This Row],[INSTRUMENT]]</f>
        <v>PRUDENTIAL PLC 5.875 11/05/29</v>
      </c>
      <c r="G37" s="7" t="str">
        <f>IF(tblBOneExport[[#This Row],[ISIN]]&lt;&gt;"", tblBOneExport[[#This Row],[ISIN]],"")</f>
        <v>XS0096874671</v>
      </c>
      <c r="H37" s="7" t="str">
        <f>IF(tblCalculation[[#This Row],[B1Level2]]="CDS",tblBOneExport[[#This Row],[B1_TICKER]],IF(tblCalculation[[#This Row],[ISIN]]="","",INDEX(tblGetStaticData[Ticker],MATCH(tblCalculation[[#This Row],[ISIN]],tblGetStaticData[ISIN],0))))</f>
        <v>PRUFIN</v>
      </c>
      <c r="I37" s="7" t="str">
        <f>IF(tblBOneExport[[#This Row],[INSTRUMENT_TYPE]]="Forward Contract","Forward Contract",tblBOneExport[LEVEL2])</f>
        <v>Corporates</v>
      </c>
      <c r="J37" s="7" t="str">
        <f>IF(tblBOneExport[[#This Row],[INSTRUMENT_TYPE]]="Forward Contract","Forward Contract",tblBOneExport[[#This Row],[LEVEL3]])</f>
        <v>Financial Institutions</v>
      </c>
      <c r="K37" s="7" t="str">
        <f>INDEX(tblLvl2Mapping[],MATCH(tblCalculation[[#This Row],[B1Level2]]&amp;"_"&amp;tblCalculation[[#This Row],[B1Level3]],tblLvl2Mapping[B1Level2_B1Level3],0),2)</f>
        <v>Corporate</v>
      </c>
      <c r="L37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37" s="7">
        <f>INDEX(tblAttributable[],MATCH(tblCalculation[[#This Row],[Level3]],tblAttributable[Level3],0),2)</f>
        <v>1</v>
      </c>
      <c r="N37" s="16">
        <f>tblBOneExport[[#This Row],[PTF_WEIGHT]]</f>
        <v>9.9938495000000006E-3</v>
      </c>
      <c r="O37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0.10272587913466226</v>
      </c>
      <c r="P37" s="48">
        <f>tblCalculation[[#This Row],[PtfDTS]]/SUM(tblCalculation[PtfDTS])</f>
        <v>1.2457801819596602E-2</v>
      </c>
      <c r="Q37" s="16">
        <f>tblBOneExport[[#This Row],[PTF_CONTRIBUTION]]</f>
        <v>1.8905619999999999E-4</v>
      </c>
      <c r="R37" s="16">
        <f>tblCalculation[[#This Row],[PtfContributionBase]]-tblCalculation[[#This Row],[PtfCurrencyReturn]]</f>
        <v>1.8905619999999999E-4</v>
      </c>
      <c r="S37" s="16">
        <f>IF(tblBOneExport[[#This Row],[LEVEL1]]="Bonds",tblBOneExport[[#This Row],[PTF_GOV_CARRY]],"")</f>
        <v>1.1126E-5</v>
      </c>
      <c r="T37" s="16">
        <f>tblCalculation[[#This Row],[FIAttributable]]*tblBOneExport[[#This Row],[PTF_CREDIT_CARRY]]</f>
        <v>8.8867000000000008E-6</v>
      </c>
      <c r="U37" s="16">
        <f>tblCalculation[[#This Row],[FIAttributable]]*tblBOneExport[[#This Row],[PTF_TOTAL_CURVE]]</f>
        <v>1.8008910000000001E-4</v>
      </c>
      <c r="V37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-9.2410000000000001E-6</v>
      </c>
      <c r="W37" s="16">
        <f>IF(AND(tblCalculation[[#This Row],[Level3]]="Forward Contracts",tblBOneExport[[#This Row],[PTF_COST_OF_CARRY]]=0),tblBOneExport[[#This Row],[PTF_VALUATION]],0)</f>
        <v>0</v>
      </c>
      <c r="X37" s="16">
        <f>SUM(tblCalculation[[#This Row],[PtfTrading]:[PtfModelRes]])</f>
        <v>-1.8046000000000001E-6</v>
      </c>
      <c r="Y37" s="16">
        <f>tblCalculation[[#This Row],[FIAttributable]]*tblBOneExport[[#This Row],[PTF_TRADING]]</f>
        <v>0</v>
      </c>
      <c r="Z37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37" s="16">
        <f>tblCalculation[[#This Row],[FIAttributable]]*tblBOneExport[[#This Row],[PTF_MODEL_RESIDUAL]]-PTF_Credit_Adj*tblCalculation[[#This Row],[PtfDTSWeight]]</f>
        <v>-1.8046000000000001E-6</v>
      </c>
      <c r="AB37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37" s="16">
        <f>tblBOneExport[[#This Row],[BMK_WEIGHT]]</f>
        <v>0</v>
      </c>
      <c r="AD37" s="78">
        <f>tblCalculation[[#This Row],[FIAttributable]]*SUMIFS(tblDTS[DTSContribution_BM],tblDTS[ISIN],tblCalculation[[#This Row],[ISIN]])</f>
        <v>0.13558668297544887</v>
      </c>
      <c r="AE37" s="16">
        <f>IF(SUM(tblCalculation[BMKDTS])=0,0,tblCalculation[[#This Row],[BMKDTS]]/SUM(tblCalculation[BMKDTS]))</f>
        <v>1.61145153804826E-2</v>
      </c>
      <c r="AF37" s="16">
        <f>tblBOneExport[[#This Row],[BMK_CONTRIBUTION]]</f>
        <v>0</v>
      </c>
      <c r="AG37" s="16">
        <f>tblCalculation[[#This Row],[BMKContributionBase]]-tblBOneExport[BMK_SPOT_CCY_RETURN]-tblBOneExport[[#This Row],[BMK_CROSS_EFFECT]]</f>
        <v>0</v>
      </c>
      <c r="AH37" s="16">
        <f>tblCalculation[[#This Row],[FIAttributable]]*(tblBOneExport[[#This Row],[BMK_RETURN_GOV_CARRY]])</f>
        <v>0</v>
      </c>
      <c r="AI37" s="16">
        <f>tblCalculation[[#This Row],[FIAttributable]]*tblBOneExport[[#This Row],[BMK_CREDIT_CARRY]]</f>
        <v>0</v>
      </c>
      <c r="AJ37" s="16">
        <f>tblCalculation[[#This Row],[FIAttributable]]*tblBOneExport[[#This Row],[BMK_TOTAL_CURVE]]</f>
        <v>0</v>
      </c>
      <c r="AK37" s="16">
        <f>tblCalculation[[#This Row],[FIAttributable]]*(tblBOneExport[[#This Row],[BMK_TOTAL_SPREAD]]+BMK_Credit_Adj*tblCalculation[[#This Row],[BmkDTSWeight]])</f>
        <v>0</v>
      </c>
      <c r="AL37" s="16">
        <f>tblCalculation[[#This Row],[FIAttributable]]*tblBOneExport[[#This Row],[BMK_MODEL_RESIDUAL]]-BMK_Credit_Adj*tblCalculation[[#This Row],[BmkDTSWeight]]</f>
        <v>0</v>
      </c>
      <c r="AM37" s="16">
        <f>IF(tblCalculation[[#This Row],[Level3]]="Forward Contracts",tblCalculation[[#This Row],[BMKContributionLocal]],0)</f>
        <v>0</v>
      </c>
      <c r="AN37" s="16">
        <f>tblBOneExport[[#This Row],[BMK_SPOT_CCY_RETURN]]+tblBOneExport[[#This Row],[BMK_CROSS_EFFECT]]</f>
        <v>0</v>
      </c>
    </row>
    <row r="38" spans="5:40" x14ac:dyDescent="0.25">
      <c r="E38" s="7" t="str">
        <f>tblBOneExport[[#This Row],[INSTRUMENT_CODE]]</f>
        <v>S00327756</v>
      </c>
      <c r="F38" s="7" t="str">
        <f>tblBOneExport[[#This Row],[INSTRUMENT]]</f>
        <v>BRITISH TEL PLC 5.75 07/12/28</v>
      </c>
      <c r="G38" s="7" t="str">
        <f>IF(tblBOneExport[[#This Row],[ISIN]]&lt;&gt;"", tblBOneExport[[#This Row],[ISIN]],"")</f>
        <v>XS0097283096</v>
      </c>
      <c r="H38" s="7" t="str">
        <f>IF(tblCalculation[[#This Row],[B1Level2]]="CDS",tblBOneExport[[#This Row],[B1_TICKER]],IF(tblCalculation[[#This Row],[ISIN]]="","",INDEX(tblGetStaticData[Ticker],MATCH(tblCalculation[[#This Row],[ISIN]],tblGetStaticData[ISIN],0))))</f>
        <v>BRITEL</v>
      </c>
      <c r="I38" s="7" t="str">
        <f>IF(tblBOneExport[[#This Row],[INSTRUMENT_TYPE]]="Forward Contract","Forward Contract",tblBOneExport[LEVEL2])</f>
        <v>Corporates</v>
      </c>
      <c r="J38" s="7" t="str">
        <f>IF(tblBOneExport[[#This Row],[INSTRUMENT_TYPE]]="Forward Contract","Forward Contract",tblBOneExport[[#This Row],[LEVEL3]])</f>
        <v>Industrials</v>
      </c>
      <c r="K38" s="7" t="str">
        <f>INDEX(tblLvl2Mapping[],MATCH(tblCalculation[[#This Row],[B1Level2]]&amp;"_"&amp;tblCalculation[[#This Row],[B1Level3]],tblLvl2Mapping[B1Level2_B1Level3],0),2)</f>
        <v>Corporate</v>
      </c>
      <c r="L38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38" s="7">
        <f>INDEX(tblAttributable[],MATCH(tblCalculation[[#This Row],[Level3]],tblAttributable[Level3],0),2)</f>
        <v>1</v>
      </c>
      <c r="N38" s="16">
        <f>tblBOneExport[[#This Row],[PTF_WEIGHT]]</f>
        <v>3.1607886000000001E-3</v>
      </c>
      <c r="O38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3.3438904291288776E-2</v>
      </c>
      <c r="P38" s="48">
        <f>tblCalculation[[#This Row],[PtfDTS]]/SUM(tblCalculation[PtfDTS])</f>
        <v>4.0552122428589776E-3</v>
      </c>
      <c r="Q38" s="16">
        <f>tblBOneExport[[#This Row],[PTF_CONTRIBUTION]]</f>
        <v>5.3746699999999998E-5</v>
      </c>
      <c r="R38" s="16">
        <f>tblCalculation[[#This Row],[PtfContributionBase]]-tblCalculation[[#This Row],[PtfCurrencyReturn]]</f>
        <v>5.3746699999999998E-5</v>
      </c>
      <c r="S38" s="16">
        <f>IF(tblBOneExport[[#This Row],[LEVEL1]]="Bonds",tblBOneExport[[#This Row],[PTF_GOV_CARRY]],"")</f>
        <v>3.3716999999999998E-6</v>
      </c>
      <c r="T38" s="16">
        <f>tblCalculation[[#This Row],[FIAttributable]]*tblBOneExport[[#This Row],[PTF_CREDIT_CARRY]]</f>
        <v>3.1302999999999999E-6</v>
      </c>
      <c r="U38" s="16">
        <f>tblCalculation[[#This Row],[FIAttributable]]*tblBOneExport[[#This Row],[PTF_TOTAL_CURVE]]</f>
        <v>5.4824599999999997E-5</v>
      </c>
      <c r="V38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-7.7087999999999998E-6</v>
      </c>
      <c r="W38" s="16">
        <f>IF(AND(tblCalculation[[#This Row],[Level3]]="Forward Contracts",tblBOneExport[[#This Row],[PTF_COST_OF_CARRY]]=0),tblBOneExport[[#This Row],[PTF_VALUATION]],0)</f>
        <v>0</v>
      </c>
      <c r="X38" s="16">
        <f>SUM(tblCalculation[[#This Row],[PtfTrading]:[PtfModelRes]])</f>
        <v>1.2879999999999999E-7</v>
      </c>
      <c r="Y38" s="16">
        <f>tblCalculation[[#This Row],[FIAttributable]]*tblBOneExport[[#This Row],[PTF_TRADING]]</f>
        <v>0</v>
      </c>
      <c r="Z38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38" s="16">
        <f>tblCalculation[[#This Row],[FIAttributable]]*tblBOneExport[[#This Row],[PTF_MODEL_RESIDUAL]]-PTF_Credit_Adj*tblCalculation[[#This Row],[PtfDTSWeight]]</f>
        <v>1.2879999999999999E-7</v>
      </c>
      <c r="AB38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38" s="16">
        <f>tblBOneExport[[#This Row],[BMK_WEIGHT]]</f>
        <v>0</v>
      </c>
      <c r="AD38" s="78">
        <f>tblCalculation[[#This Row],[FIAttributable]]*SUMIFS(tblDTS[DTSContribution_BM],tblDTS[ISIN],tblCalculation[[#This Row],[ISIN]])</f>
        <v>4.413461948794542E-2</v>
      </c>
      <c r="AE38" s="16">
        <f>IF(SUM(tblCalculation[BMKDTS])=0,0,tblCalculation[[#This Row],[BMKDTS]]/SUM(tblCalculation[BMKDTS]))</f>
        <v>5.2454119308975519E-3</v>
      </c>
      <c r="AF38" s="16">
        <f>tblBOneExport[[#This Row],[BMK_CONTRIBUTION]]</f>
        <v>0</v>
      </c>
      <c r="AG38" s="16">
        <f>tblCalculation[[#This Row],[BMKContributionBase]]-tblBOneExport[BMK_SPOT_CCY_RETURN]-tblBOneExport[[#This Row],[BMK_CROSS_EFFECT]]</f>
        <v>0</v>
      </c>
      <c r="AH38" s="16">
        <f>tblCalculation[[#This Row],[FIAttributable]]*(tblBOneExport[[#This Row],[BMK_RETURN_GOV_CARRY]])</f>
        <v>0</v>
      </c>
      <c r="AI38" s="16">
        <f>tblCalculation[[#This Row],[FIAttributable]]*tblBOneExport[[#This Row],[BMK_CREDIT_CARRY]]</f>
        <v>0</v>
      </c>
      <c r="AJ38" s="16">
        <f>tblCalculation[[#This Row],[FIAttributable]]*tblBOneExport[[#This Row],[BMK_TOTAL_CURVE]]</f>
        <v>0</v>
      </c>
      <c r="AK38" s="16">
        <f>tblCalculation[[#This Row],[FIAttributable]]*(tblBOneExport[[#This Row],[BMK_TOTAL_SPREAD]]+BMK_Credit_Adj*tblCalculation[[#This Row],[BmkDTSWeight]])</f>
        <v>0</v>
      </c>
      <c r="AL38" s="16">
        <f>tblCalculation[[#This Row],[FIAttributable]]*tblBOneExport[[#This Row],[BMK_MODEL_RESIDUAL]]-BMK_Credit_Adj*tblCalculation[[#This Row],[BmkDTSWeight]]</f>
        <v>0</v>
      </c>
      <c r="AM38" s="16">
        <f>IF(tblCalculation[[#This Row],[Level3]]="Forward Contracts",tblCalculation[[#This Row],[BMKContributionLocal]],0)</f>
        <v>0</v>
      </c>
      <c r="AN38" s="16">
        <f>tblBOneExport[[#This Row],[BMK_SPOT_CCY_RETURN]]+tblBOneExport[[#This Row],[BMK_CROSS_EFFECT]]</f>
        <v>0</v>
      </c>
    </row>
    <row r="39" spans="5:40" x14ac:dyDescent="0.25">
      <c r="E39" s="7" t="str">
        <f>tblBOneExport[[#This Row],[INSTRUMENT_CODE]]</f>
        <v>S00332786</v>
      </c>
      <c r="F39" s="7" t="str">
        <f>tblBOneExport[[#This Row],[INSTRUMENT]]</f>
        <v>SEVERN TRENT FIN 6.25 07/06/29</v>
      </c>
      <c r="G39" s="7" t="str">
        <f>IF(tblBOneExport[[#This Row],[ISIN]]&lt;&gt;"", tblBOneExport[[#This Row],[ISIN]],"")</f>
        <v>XS0097777253</v>
      </c>
      <c r="H39" s="7" t="str">
        <f>IF(tblCalculation[[#This Row],[B1Level2]]="CDS",tblBOneExport[[#This Row],[B1_TICKER]],IF(tblCalculation[[#This Row],[ISIN]]="","",INDEX(tblGetStaticData[Ticker],MATCH(tblCalculation[[#This Row],[ISIN]],tblGetStaticData[ISIN],0))))</f>
        <v>SVTLN</v>
      </c>
      <c r="I39" s="7" t="str">
        <f>IF(tblBOneExport[[#This Row],[INSTRUMENT_TYPE]]="Forward Contract","Forward Contract",tblBOneExport[LEVEL2])</f>
        <v>Corporates</v>
      </c>
      <c r="J39" s="7" t="str">
        <f>IF(tblBOneExport[[#This Row],[INSTRUMENT_TYPE]]="Forward Contract","Forward Contract",tblBOneExport[[#This Row],[LEVEL3]])</f>
        <v>Utilities</v>
      </c>
      <c r="K39" s="7" t="str">
        <f>INDEX(tblLvl2Mapping[],MATCH(tblCalculation[[#This Row],[B1Level2]]&amp;"_"&amp;tblCalculation[[#This Row],[B1Level3]],tblLvl2Mapping[B1Level2_B1Level3],0),2)</f>
        <v>Corporate</v>
      </c>
      <c r="L39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39" s="7">
        <f>INDEX(tblAttributable[],MATCH(tblCalculation[[#This Row],[Level3]],tblAttributable[Level3],0),2)</f>
        <v>1</v>
      </c>
      <c r="N39" s="16">
        <f>tblBOneExport[[#This Row],[PTF_WEIGHT]]</f>
        <v>4.1409955000000003E-3</v>
      </c>
      <c r="O39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3.3430068569499836E-2</v>
      </c>
      <c r="P39" s="48">
        <f>tblCalculation[[#This Row],[PtfDTS]]/SUM(tblCalculation[PtfDTS])</f>
        <v>4.0541407147113772E-3</v>
      </c>
      <c r="Q39" s="16">
        <f>tblBOneExport[[#This Row],[PTF_CONTRIBUTION]]</f>
        <v>8.3367800000000005E-5</v>
      </c>
      <c r="R39" s="16">
        <f>tblCalculation[[#This Row],[PtfContributionBase]]-tblCalculation[[#This Row],[PtfCurrencyReturn]]</f>
        <v>8.3367800000000005E-5</v>
      </c>
      <c r="S39" s="16">
        <f>IF(tblBOneExport[[#This Row],[LEVEL1]]="Bonds",tblBOneExport[[#This Row],[PTF_GOV_CARRY]],"")</f>
        <v>4.6546999999999997E-6</v>
      </c>
      <c r="T39" s="16">
        <f>tblCalculation[[#This Row],[FIAttributable]]*tblBOneExport[[#This Row],[PTF_CREDIT_CARRY]]</f>
        <v>2.7761E-6</v>
      </c>
      <c r="U39" s="16">
        <f>tblCalculation[[#This Row],[FIAttributable]]*tblBOneExport[[#This Row],[PTF_TOTAL_CURVE]]</f>
        <v>7.4798500000000006E-5</v>
      </c>
      <c r="V39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4.4999999999999998E-9</v>
      </c>
      <c r="W39" s="16">
        <f>IF(AND(tblCalculation[[#This Row],[Level3]]="Forward Contracts",tblBOneExport[[#This Row],[PTF_COST_OF_CARRY]]=0),tblBOneExport[[#This Row],[PTF_VALUATION]],0)</f>
        <v>0</v>
      </c>
      <c r="X39" s="16">
        <f>SUM(tblCalculation[[#This Row],[PtfTrading]:[PtfModelRes]])</f>
        <v>1.1340000000000001E-6</v>
      </c>
      <c r="Y39" s="16">
        <f>tblCalculation[[#This Row],[FIAttributable]]*tblBOneExport[[#This Row],[PTF_TRADING]]</f>
        <v>0</v>
      </c>
      <c r="Z39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39" s="16">
        <f>tblCalculation[[#This Row],[FIAttributable]]*tblBOneExport[[#This Row],[PTF_MODEL_RESIDUAL]]-PTF_Credit_Adj*tblCalculation[[#This Row],[PtfDTSWeight]]</f>
        <v>1.1340000000000001E-6</v>
      </c>
      <c r="AB39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39" s="16">
        <f>tblBOneExport[[#This Row],[BMK_WEIGHT]]</f>
        <v>0</v>
      </c>
      <c r="AD39" s="78">
        <f>tblCalculation[[#This Row],[FIAttributable]]*SUMIFS(tblDTS[DTSContribution_BM],tblDTS[ISIN],tblCalculation[[#This Row],[ISIN]])</f>
        <v>3.2024470646828396E-2</v>
      </c>
      <c r="AE39" s="16">
        <f>IF(SUM(tblCalculation[BMKDTS])=0,0,tblCalculation[[#This Row],[BMKDTS]]/SUM(tblCalculation[BMKDTS]))</f>
        <v>3.8061173373757817E-3</v>
      </c>
      <c r="AF39" s="16">
        <f>tblBOneExport[[#This Row],[BMK_CONTRIBUTION]]</f>
        <v>0</v>
      </c>
      <c r="AG39" s="16">
        <f>tblCalculation[[#This Row],[BMKContributionBase]]-tblBOneExport[BMK_SPOT_CCY_RETURN]-tblBOneExport[[#This Row],[BMK_CROSS_EFFECT]]</f>
        <v>0</v>
      </c>
      <c r="AH39" s="16">
        <f>tblCalculation[[#This Row],[FIAttributable]]*(tblBOneExport[[#This Row],[BMK_RETURN_GOV_CARRY]])</f>
        <v>0</v>
      </c>
      <c r="AI39" s="16">
        <f>tblCalculation[[#This Row],[FIAttributable]]*tblBOneExport[[#This Row],[BMK_CREDIT_CARRY]]</f>
        <v>0</v>
      </c>
      <c r="AJ39" s="16">
        <f>tblCalculation[[#This Row],[FIAttributable]]*tblBOneExport[[#This Row],[BMK_TOTAL_CURVE]]</f>
        <v>0</v>
      </c>
      <c r="AK39" s="16">
        <f>tblCalculation[[#This Row],[FIAttributable]]*(tblBOneExport[[#This Row],[BMK_TOTAL_SPREAD]]+BMK_Credit_Adj*tblCalculation[[#This Row],[BmkDTSWeight]])</f>
        <v>0</v>
      </c>
      <c r="AL39" s="16">
        <f>tblCalculation[[#This Row],[FIAttributable]]*tblBOneExport[[#This Row],[BMK_MODEL_RESIDUAL]]-BMK_Credit_Adj*tblCalculation[[#This Row],[BmkDTSWeight]]</f>
        <v>0</v>
      </c>
      <c r="AM39" s="16">
        <f>IF(tblCalculation[[#This Row],[Level3]]="Forward Contracts",tblCalculation[[#This Row],[BMKContributionLocal]],0)</f>
        <v>0</v>
      </c>
      <c r="AN39" s="16">
        <f>tblBOneExport[[#This Row],[BMK_SPOT_CCY_RETURN]]+tblBOneExport[[#This Row],[BMK_CROSS_EFFECT]]</f>
        <v>0</v>
      </c>
    </row>
    <row r="40" spans="5:40" x14ac:dyDescent="0.25">
      <c r="E40" s="7" t="str">
        <f>tblBOneExport[[#This Row],[INSTRUMENT_CODE]]</f>
        <v>S00278023</v>
      </c>
      <c r="F40" s="7" t="str">
        <f>tblBOneExport[[#This Row],[INSTRUMENT]]</f>
        <v>NORDIC INVST BNK 5.25 26/11/19 EMTN</v>
      </c>
      <c r="G40" s="7" t="str">
        <f>IF(tblBOneExport[[#This Row],[ISIN]]&lt;&gt;"", tblBOneExport[[#This Row],[ISIN]],"")</f>
        <v>XS0104228845</v>
      </c>
      <c r="H40" s="7" t="str">
        <f>IF(tblCalculation[[#This Row],[B1Level2]]="CDS",tblBOneExport[[#This Row],[B1_TICKER]],IF(tblCalculation[[#This Row],[ISIN]]="","",INDEX(tblGetStaticData[Ticker],MATCH(tblCalculation[[#This Row],[ISIN]],tblGetStaticData[ISIN],0))))</f>
        <v>NIB</v>
      </c>
      <c r="I40" s="7" t="str">
        <f>IF(tblBOneExport[[#This Row],[INSTRUMENT_TYPE]]="Forward Contract","Forward Contract",tblBOneExport[LEVEL2])</f>
        <v>Non-Corporate</v>
      </c>
      <c r="J40" s="7" t="str">
        <f>IF(tblBOneExport[[#This Row],[INSTRUMENT_TYPE]]="Forward Contract","Forward Contract",tblBOneExport[[#This Row],[LEVEL3]])</f>
        <v>Supranationals</v>
      </c>
      <c r="K40" s="7" t="str">
        <f>INDEX(tblLvl2Mapping[],MATCH(tblCalculation[[#This Row],[B1Level2]]&amp;"_"&amp;tblCalculation[[#This Row],[B1Level3]],tblLvl2Mapping[B1Level2_B1Level3],0),2)</f>
        <v>Corporate</v>
      </c>
      <c r="L40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40" s="7">
        <f>INDEX(tblAttributable[],MATCH(tblCalculation[[#This Row],[Level3]],tblAttributable[Level3],0),2)</f>
        <v>1</v>
      </c>
      <c r="N40" s="16">
        <f>tblBOneExport[[#This Row],[PTF_WEIGHT]]</f>
        <v>1.5093984E-3</v>
      </c>
      <c r="O40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6.4600538738283485E-4</v>
      </c>
      <c r="P40" s="48">
        <f>tblCalculation[[#This Row],[PtfDTS]]/SUM(tblCalculation[PtfDTS])</f>
        <v>7.8342547741619263E-5</v>
      </c>
      <c r="Q40" s="16">
        <f>tblBOneExport[[#This Row],[PTF_CONTRIBUTION]]</f>
        <v>3.4180999999999999E-6</v>
      </c>
      <c r="R40" s="16">
        <f>tblCalculation[[#This Row],[PtfContributionBase]]-tblCalculation[[#This Row],[PtfCurrencyReturn]]</f>
        <v>3.4180999999999999E-6</v>
      </c>
      <c r="S40" s="16">
        <f>IF(tblBOneExport[[#This Row],[LEVEL1]]="Bonds",tblBOneExport[[#This Row],[PTF_GOV_CARRY]],"")</f>
        <v>2.8579999999999998E-7</v>
      </c>
      <c r="T40" s="16">
        <f>tblCalculation[[#This Row],[FIAttributable]]*tblBOneExport[[#This Row],[PTF_CREDIT_CARRY]]</f>
        <v>3.6899999999999998E-7</v>
      </c>
      <c r="U40" s="16">
        <f>tblCalculation[[#This Row],[FIAttributable]]*tblBOneExport[[#This Row],[PTF_TOTAL_CURVE]]</f>
        <v>3.3415000000000001E-6</v>
      </c>
      <c r="V40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-5.2939999999999996E-7</v>
      </c>
      <c r="W40" s="16">
        <f>IF(AND(tblCalculation[[#This Row],[Level3]]="Forward Contracts",tblBOneExport[[#This Row],[PTF_COST_OF_CARRY]]=0),tblBOneExport[[#This Row],[PTF_VALUATION]],0)</f>
        <v>0</v>
      </c>
      <c r="X40" s="16">
        <f>SUM(tblCalculation[[#This Row],[PtfTrading]:[PtfModelRes]])</f>
        <v>-4.88E-8</v>
      </c>
      <c r="Y40" s="16">
        <f>tblCalculation[[#This Row],[FIAttributable]]*tblBOneExport[[#This Row],[PTF_TRADING]]</f>
        <v>0</v>
      </c>
      <c r="Z40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40" s="16">
        <f>tblCalculation[[#This Row],[FIAttributable]]*tblBOneExport[[#This Row],[PTF_MODEL_RESIDUAL]]-PTF_Credit_Adj*tblCalculation[[#This Row],[PtfDTSWeight]]</f>
        <v>-4.88E-8</v>
      </c>
      <c r="AB40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40" s="16">
        <f>tblBOneExport[[#This Row],[BMK_WEIGHT]]</f>
        <v>0</v>
      </c>
      <c r="AD40" s="78">
        <f>tblCalculation[[#This Row],[FIAttributable]]*SUMIFS(tblDTS[DTSContribution_BM],tblDTS[ISIN],tblCalculation[[#This Row],[ISIN]])</f>
        <v>7.4793163113016253E-4</v>
      </c>
      <c r="AE40" s="16">
        <f>IF(SUM(tblCalculation[BMKDTS])=0,0,tblCalculation[[#This Row],[BMKDTS]]/SUM(tblCalculation[BMKDTS]))</f>
        <v>8.8891884578213616E-5</v>
      </c>
      <c r="AF40" s="16">
        <f>tblBOneExport[[#This Row],[BMK_CONTRIBUTION]]</f>
        <v>0</v>
      </c>
      <c r="AG40" s="16">
        <f>tblCalculation[[#This Row],[BMKContributionBase]]-tblBOneExport[BMK_SPOT_CCY_RETURN]-tblBOneExport[[#This Row],[BMK_CROSS_EFFECT]]</f>
        <v>0</v>
      </c>
      <c r="AH40" s="16">
        <f>tblCalculation[[#This Row],[FIAttributable]]*(tblBOneExport[[#This Row],[BMK_RETURN_GOV_CARRY]])</f>
        <v>0</v>
      </c>
      <c r="AI40" s="16">
        <f>tblCalculation[[#This Row],[FIAttributable]]*tblBOneExport[[#This Row],[BMK_CREDIT_CARRY]]</f>
        <v>0</v>
      </c>
      <c r="AJ40" s="16">
        <f>tblCalculation[[#This Row],[FIAttributable]]*tblBOneExport[[#This Row],[BMK_TOTAL_CURVE]]</f>
        <v>0</v>
      </c>
      <c r="AK40" s="16">
        <f>tblCalculation[[#This Row],[FIAttributable]]*(tblBOneExport[[#This Row],[BMK_TOTAL_SPREAD]]+BMK_Credit_Adj*tblCalculation[[#This Row],[BmkDTSWeight]])</f>
        <v>0</v>
      </c>
      <c r="AL40" s="16">
        <f>tblCalculation[[#This Row],[FIAttributable]]*tblBOneExport[[#This Row],[BMK_MODEL_RESIDUAL]]-BMK_Credit_Adj*tblCalculation[[#This Row],[BmkDTSWeight]]</f>
        <v>0</v>
      </c>
      <c r="AM40" s="16">
        <f>IF(tblCalculation[[#This Row],[Level3]]="Forward Contracts",tblCalculation[[#This Row],[BMKContributionLocal]],0)</f>
        <v>0</v>
      </c>
      <c r="AN40" s="16">
        <f>tblBOneExport[[#This Row],[BMK_SPOT_CCY_RETURN]]+tblBOneExport[[#This Row],[BMK_CROSS_EFFECT]]</f>
        <v>0</v>
      </c>
    </row>
    <row r="41" spans="5:40" x14ac:dyDescent="0.25">
      <c r="E41" s="7" t="str">
        <f>tblBOneExport[[#This Row],[INSTRUMENT_CODE]]</f>
        <v>S00323545</v>
      </c>
      <c r="F41" s="7" t="str">
        <f>tblBOneExport[[#This Row],[INSTRUMENT]]</f>
        <v>BK NED GEMEENTEN 5.75 18/01/19 EMTN</v>
      </c>
      <c r="G41" s="7" t="str">
        <f>IF(tblBOneExport[[#This Row],[ISIN]]&lt;&gt;"", tblBOneExport[[#This Row],[ISIN]],"")</f>
        <v>XS0106561094</v>
      </c>
      <c r="H41" s="7" t="str">
        <f>IF(tblCalculation[[#This Row],[B1Level2]]="CDS",tblBOneExport[[#This Row],[B1_TICKER]],IF(tblCalculation[[#This Row],[ISIN]]="","",INDEX(tblGetStaticData[Ticker],MATCH(tblCalculation[[#This Row],[ISIN]],tblGetStaticData[ISIN],0))))</f>
        <v>BNG</v>
      </c>
      <c r="I41" s="7" t="str">
        <f>IF(tblBOneExport[[#This Row],[INSTRUMENT_TYPE]]="Forward Contract","Forward Contract",tblBOneExport[LEVEL2])</f>
        <v>Non-Corporate</v>
      </c>
      <c r="J41" s="7" t="str">
        <f>IF(tblBOneExport[[#This Row],[INSTRUMENT_TYPE]]="Forward Contract","Forward Contract",tblBOneExport[[#This Row],[LEVEL3]])</f>
        <v>Foreign Agency</v>
      </c>
      <c r="K41" s="7" t="str">
        <f>INDEX(tblLvl2Mapping[],MATCH(tblCalculation[[#This Row],[B1Level2]]&amp;"_"&amp;tblCalculation[[#This Row],[B1Level3]],tblLvl2Mapping[B1Level2_B1Level3],0),2)</f>
        <v>Corporate</v>
      </c>
      <c r="L41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41" s="7">
        <f>INDEX(tblAttributable[],MATCH(tblCalculation[[#This Row],[Level3]],tblAttributable[Level3],0),2)</f>
        <v>1</v>
      </c>
      <c r="N41" s="16">
        <f>tblBOneExport[[#This Row],[PTF_WEIGHT]]</f>
        <v>2.1747721000000002E-3</v>
      </c>
      <c r="O41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5.9632360274802483E-4</v>
      </c>
      <c r="P41" s="48">
        <f>tblCalculation[[#This Row],[PtfDTS]]/SUM(tblCalculation[PtfDTS])</f>
        <v>7.2317524327480365E-5</v>
      </c>
      <c r="Q41" s="16">
        <f>tblBOneExport[[#This Row],[PTF_CONTRIBUTION]]</f>
        <v>4.3891E-6</v>
      </c>
      <c r="R41" s="16">
        <f>tblCalculation[[#This Row],[PtfContributionBase]]-tblCalculation[[#This Row],[PtfCurrencyReturn]]</f>
        <v>4.3891E-6</v>
      </c>
      <c r="S41" s="16">
        <f>IF(tblBOneExport[[#This Row],[LEVEL1]]="Bonds",tblBOneExport[[#This Row],[PTF_GOV_CARRY]],"")</f>
        <v>3.96E-7</v>
      </c>
      <c r="T41" s="16">
        <f>tblCalculation[[#This Row],[FIAttributable]]*tblBOneExport[[#This Row],[PTF_CREDIT_CARRY]]</f>
        <v>6.3229999999999996E-7</v>
      </c>
      <c r="U41" s="16">
        <f>tblCalculation[[#This Row],[FIAttributable]]*tblBOneExport[[#This Row],[PTF_TOTAL_CURVE]]</f>
        <v>3.7795E-6</v>
      </c>
      <c r="V41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-4.5839999999999998E-7</v>
      </c>
      <c r="W41" s="16">
        <f>IF(AND(tblCalculation[[#This Row],[Level3]]="Forward Contracts",tblBOneExport[[#This Row],[PTF_COST_OF_CARRY]]=0),tblBOneExport[[#This Row],[PTF_VALUATION]],0)</f>
        <v>0</v>
      </c>
      <c r="X41" s="16">
        <f>SUM(tblCalculation[[#This Row],[PtfTrading]:[PtfModelRes]])</f>
        <v>3.9699999999999998E-8</v>
      </c>
      <c r="Y41" s="16">
        <f>tblCalculation[[#This Row],[FIAttributable]]*tblBOneExport[[#This Row],[PTF_TRADING]]</f>
        <v>0</v>
      </c>
      <c r="Z41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41" s="16">
        <f>tblCalculation[[#This Row],[FIAttributable]]*tblBOneExport[[#This Row],[PTF_MODEL_RESIDUAL]]-PTF_Credit_Adj*tblCalculation[[#This Row],[PtfDTSWeight]]</f>
        <v>3.9699999999999998E-8</v>
      </c>
      <c r="AB41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41" s="16">
        <f>tblBOneExport[[#This Row],[BMK_WEIGHT]]</f>
        <v>0</v>
      </c>
      <c r="AD41" s="78">
        <f>tblCalculation[[#This Row],[FIAttributable]]*SUMIFS(tblDTS[DTSContribution_BM],tblDTS[ISIN],tblCalculation[[#This Row],[ISIN]])</f>
        <v>7.8701000772961088E-4</v>
      </c>
      <c r="AE41" s="16">
        <f>IF(SUM(tblCalculation[BMKDTS])=0,0,tblCalculation[[#This Row],[BMKDTS]]/SUM(tblCalculation[BMKDTS]))</f>
        <v>9.3536360620673684E-5</v>
      </c>
      <c r="AF41" s="16">
        <f>tblBOneExport[[#This Row],[BMK_CONTRIBUTION]]</f>
        <v>0</v>
      </c>
      <c r="AG41" s="16">
        <f>tblCalculation[[#This Row],[BMKContributionBase]]-tblBOneExport[BMK_SPOT_CCY_RETURN]-tblBOneExport[[#This Row],[BMK_CROSS_EFFECT]]</f>
        <v>0</v>
      </c>
      <c r="AH41" s="16">
        <f>tblCalculation[[#This Row],[FIAttributable]]*(tblBOneExport[[#This Row],[BMK_RETURN_GOV_CARRY]])</f>
        <v>0</v>
      </c>
      <c r="AI41" s="16">
        <f>tblCalculation[[#This Row],[FIAttributable]]*tblBOneExport[[#This Row],[BMK_CREDIT_CARRY]]</f>
        <v>0</v>
      </c>
      <c r="AJ41" s="16">
        <f>tblCalculation[[#This Row],[FIAttributable]]*tblBOneExport[[#This Row],[BMK_TOTAL_CURVE]]</f>
        <v>0</v>
      </c>
      <c r="AK41" s="16">
        <f>tblCalculation[[#This Row],[FIAttributable]]*(tblBOneExport[[#This Row],[BMK_TOTAL_SPREAD]]+BMK_Credit_Adj*tblCalculation[[#This Row],[BmkDTSWeight]])</f>
        <v>0</v>
      </c>
      <c r="AL41" s="16">
        <f>tblCalculation[[#This Row],[FIAttributable]]*tblBOneExport[[#This Row],[BMK_MODEL_RESIDUAL]]-BMK_Credit_Adj*tblCalculation[[#This Row],[BmkDTSWeight]]</f>
        <v>0</v>
      </c>
      <c r="AM41" s="16">
        <f>IF(tblCalculation[[#This Row],[Level3]]="Forward Contracts",tblCalculation[[#This Row],[BMKContributionLocal]],0)</f>
        <v>0</v>
      </c>
      <c r="AN41" s="16">
        <f>tblBOneExport[[#This Row],[BMK_SPOT_CCY_RETURN]]+tblBOneExport[[#This Row],[BMK_CROSS_EFFECT]]</f>
        <v>0</v>
      </c>
    </row>
    <row r="42" spans="5:40" x14ac:dyDescent="0.25">
      <c r="E42" s="7" t="str">
        <f>tblBOneExport[[#This Row],[INSTRUMENT_CODE]]</f>
        <v>S00323741</v>
      </c>
      <c r="F42" s="7" t="str">
        <f>tblBOneExport[[#This Row],[INSTRUMENT]]</f>
        <v>PROCTER &amp; GAMBLE 6.25 31/01/30</v>
      </c>
      <c r="G42" s="7" t="str">
        <f>IF(tblBOneExport[[#This Row],[ISIN]]&lt;&gt;"", tblBOneExport[[#This Row],[ISIN]],"")</f>
        <v>XS0106655235</v>
      </c>
      <c r="H42" s="7" t="str">
        <f>IF(tblCalculation[[#This Row],[B1Level2]]="CDS",tblBOneExport[[#This Row],[B1_TICKER]],IF(tblCalculation[[#This Row],[ISIN]]="","",INDEX(tblGetStaticData[Ticker],MATCH(tblCalculation[[#This Row],[ISIN]],tblGetStaticData[ISIN],0))))</f>
        <v>PG</v>
      </c>
      <c r="I42" s="7" t="str">
        <f>IF(tblBOneExport[[#This Row],[INSTRUMENT_TYPE]]="Forward Contract","Forward Contract",tblBOneExport[LEVEL2])</f>
        <v>Corporates</v>
      </c>
      <c r="J42" s="7" t="str">
        <f>IF(tblBOneExport[[#This Row],[INSTRUMENT_TYPE]]="Forward Contract","Forward Contract",tblBOneExport[[#This Row],[LEVEL3]])</f>
        <v>Industrials</v>
      </c>
      <c r="K42" s="7" t="str">
        <f>INDEX(tblLvl2Mapping[],MATCH(tblCalculation[[#This Row],[B1Level2]]&amp;"_"&amp;tblCalculation[[#This Row],[B1Level3]],tblLvl2Mapping[B1Level2_B1Level3],0),2)</f>
        <v>Corporate</v>
      </c>
      <c r="L42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42" s="7">
        <f>INDEX(tblAttributable[],MATCH(tblCalculation[[#This Row],[Level3]],tblAttributable[Level3],0),2)</f>
        <v>1</v>
      </c>
      <c r="N42" s="16">
        <f>tblBOneExport[[#This Row],[PTF_WEIGHT]]</f>
        <v>4.8985794999999999E-3</v>
      </c>
      <c r="O42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3.1716666332449919E-2</v>
      </c>
      <c r="P42" s="48">
        <f>tblCalculation[[#This Row],[PtfDTS]]/SUM(tblCalculation[PtfDTS])</f>
        <v>3.8463525148319674E-3</v>
      </c>
      <c r="Q42" s="16">
        <f>tblBOneExport[[#This Row],[PTF_CONTRIBUTION]]</f>
        <v>8.9322100000000003E-5</v>
      </c>
      <c r="R42" s="16">
        <f>tblCalculation[[#This Row],[PtfContributionBase]]-tblCalculation[[#This Row],[PtfCurrencyReturn]]</f>
        <v>8.9322100000000003E-5</v>
      </c>
      <c r="S42" s="16">
        <f>IF(tblBOneExport[[#This Row],[LEVEL1]]="Bonds",tblBOneExport[[#This Row],[PTF_GOV_CARRY]],"")</f>
        <v>5.6867000000000001E-6</v>
      </c>
      <c r="T42" s="16">
        <f>tblCalculation[[#This Row],[FIAttributable]]*tblBOneExport[[#This Row],[PTF_CREDIT_CARRY]]</f>
        <v>2.3707E-6</v>
      </c>
      <c r="U42" s="16">
        <f>tblCalculation[[#This Row],[FIAttributable]]*tblBOneExport[[#This Row],[PTF_TOTAL_CURVE]]</f>
        <v>8.6760899999999998E-5</v>
      </c>
      <c r="V42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-8.9577999999999992E-6</v>
      </c>
      <c r="W42" s="16">
        <f>IF(AND(tblCalculation[[#This Row],[Level3]]="Forward Contracts",tblBOneExport[[#This Row],[PTF_COST_OF_CARRY]]=0),tblBOneExport[[#This Row],[PTF_VALUATION]],0)</f>
        <v>0</v>
      </c>
      <c r="X42" s="16">
        <f>SUM(tblCalculation[[#This Row],[PtfTrading]:[PtfModelRes]])</f>
        <v>3.4616999999999998E-6</v>
      </c>
      <c r="Y42" s="16">
        <f>tblCalculation[[#This Row],[FIAttributable]]*tblBOneExport[[#This Row],[PTF_TRADING]]</f>
        <v>0</v>
      </c>
      <c r="Z42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42" s="16">
        <f>tblCalculation[[#This Row],[FIAttributable]]*tblBOneExport[[#This Row],[PTF_MODEL_RESIDUAL]]-PTF_Credit_Adj*tblCalculation[[#This Row],[PtfDTSWeight]]</f>
        <v>3.4616999999999998E-6</v>
      </c>
      <c r="AB42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42" s="16">
        <f>tblBOneExport[[#This Row],[BMK_WEIGHT]]</f>
        <v>0</v>
      </c>
      <c r="AD42" s="78">
        <f>tblCalculation[[#This Row],[FIAttributable]]*SUMIFS(tblDTS[DTSContribution_BM],tblDTS[ISIN],tblCalculation[[#This Row],[ISIN]])</f>
        <v>5.9760677435406757E-2</v>
      </c>
      <c r="AE42" s="16">
        <f>IF(SUM(tblCalculation[BMKDTS])=0,0,tblCalculation[[#This Row],[BMKDTS]]/SUM(tblCalculation[BMKDTS]))</f>
        <v>7.1025733099119902E-3</v>
      </c>
      <c r="AF42" s="16">
        <f>tblBOneExport[[#This Row],[BMK_CONTRIBUTION]]</f>
        <v>0</v>
      </c>
      <c r="AG42" s="16">
        <f>tblCalculation[[#This Row],[BMKContributionBase]]-tblBOneExport[BMK_SPOT_CCY_RETURN]-tblBOneExport[[#This Row],[BMK_CROSS_EFFECT]]</f>
        <v>0</v>
      </c>
      <c r="AH42" s="16">
        <f>tblCalculation[[#This Row],[FIAttributable]]*(tblBOneExport[[#This Row],[BMK_RETURN_GOV_CARRY]])</f>
        <v>0</v>
      </c>
      <c r="AI42" s="16">
        <f>tblCalculation[[#This Row],[FIAttributable]]*tblBOneExport[[#This Row],[BMK_CREDIT_CARRY]]</f>
        <v>0</v>
      </c>
      <c r="AJ42" s="16">
        <f>tblCalculation[[#This Row],[FIAttributable]]*tblBOneExport[[#This Row],[BMK_TOTAL_CURVE]]</f>
        <v>0</v>
      </c>
      <c r="AK42" s="16">
        <f>tblCalculation[[#This Row],[FIAttributable]]*(tblBOneExport[[#This Row],[BMK_TOTAL_SPREAD]]+BMK_Credit_Adj*tblCalculation[[#This Row],[BmkDTSWeight]])</f>
        <v>0</v>
      </c>
      <c r="AL42" s="16">
        <f>tblCalculation[[#This Row],[FIAttributable]]*tblBOneExport[[#This Row],[BMK_MODEL_RESIDUAL]]-BMK_Credit_Adj*tblCalculation[[#This Row],[BmkDTSWeight]]</f>
        <v>0</v>
      </c>
      <c r="AM42" s="16">
        <f>IF(tblCalculation[[#This Row],[Level3]]="Forward Contracts",tblCalculation[[#This Row],[BMKContributionLocal]],0)</f>
        <v>0</v>
      </c>
      <c r="AN42" s="16">
        <f>tblBOneExport[[#This Row],[BMK_SPOT_CCY_RETURN]]+tblBOneExport[[#This Row],[BMK_CROSS_EFFECT]]</f>
        <v>0</v>
      </c>
    </row>
    <row r="43" spans="5:40" x14ac:dyDescent="0.25">
      <c r="E43" s="7" t="str">
        <f>tblBOneExport[[#This Row],[INSTRUMENT_CODE]]</f>
        <v>S00328353</v>
      </c>
      <c r="F43" s="7" t="str">
        <f>tblBOneExport[[#This Row],[INSTRUMENT]]</f>
        <v>THAMES WATER UTL 6.5 09/02/32 EMTN</v>
      </c>
      <c r="G43" s="7" t="str">
        <f>IF(tblBOneExport[[#This Row],[ISIN]]&lt;&gt;"", tblBOneExport[[#This Row],[ISIN]],"")</f>
        <v>XS0107289323</v>
      </c>
      <c r="H43" s="7" t="str">
        <f>IF(tblCalculation[[#This Row],[B1Level2]]="CDS",tblBOneExport[[#This Row],[B1_TICKER]],IF(tblCalculation[[#This Row],[ISIN]]="","",INDEX(tblGetStaticData[Ticker],MATCH(tblCalculation[[#This Row],[ISIN]],tblGetStaticData[ISIN],0))))</f>
        <v>THAMES</v>
      </c>
      <c r="I43" s="7" t="str">
        <f>IF(tblBOneExport[[#This Row],[INSTRUMENT_TYPE]]="Forward Contract","Forward Contract",tblBOneExport[LEVEL2])</f>
        <v>Corporates</v>
      </c>
      <c r="J43" s="7" t="str">
        <f>IF(tblBOneExport[[#This Row],[INSTRUMENT_TYPE]]="Forward Contract","Forward Contract",tblBOneExport[[#This Row],[LEVEL3]])</f>
        <v>Utilities</v>
      </c>
      <c r="K43" s="7" t="str">
        <f>INDEX(tblLvl2Mapping[],MATCH(tblCalculation[[#This Row],[B1Level2]]&amp;"_"&amp;tblCalculation[[#This Row],[B1Level3]],tblLvl2Mapping[B1Level2_B1Level3],0),2)</f>
        <v>Corporate</v>
      </c>
      <c r="L43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43" s="7">
        <f>INDEX(tblAttributable[],MATCH(tblCalculation[[#This Row],[Level3]],tblAttributable[Level3],0),2)</f>
        <v>1</v>
      </c>
      <c r="N43" s="16">
        <f>tblBOneExport[[#This Row],[PTF_WEIGHT]]</f>
        <v>5.5665984999999996E-3</v>
      </c>
      <c r="O43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7.2789871184160665E-2</v>
      </c>
      <c r="P43" s="48">
        <f>tblCalculation[[#This Row],[PtfDTS]]/SUM(tblCalculation[PtfDTS])</f>
        <v>8.8273938108382813E-3</v>
      </c>
      <c r="Q43" s="16">
        <f>tblBOneExport[[#This Row],[PTF_CONTRIBUTION]]</f>
        <v>6.4487199999999995E-5</v>
      </c>
      <c r="R43" s="16">
        <f>tblCalculation[[#This Row],[PtfContributionBase]]-tblCalculation[[#This Row],[PtfCurrencyReturn]]</f>
        <v>6.4487199999999995E-5</v>
      </c>
      <c r="S43" s="16">
        <f>IF(tblBOneExport[[#This Row],[LEVEL1]]="Bonds",tblBOneExport[[#This Row],[PTF_GOV_CARRY]],"")</f>
        <v>6.7842000000000002E-6</v>
      </c>
      <c r="T43" s="16">
        <f>tblCalculation[[#This Row],[FIAttributable]]*tblBOneExport[[#This Row],[PTF_CREDIT_CARRY]]</f>
        <v>5.412E-6</v>
      </c>
      <c r="U43" s="16">
        <f>tblCalculation[[#This Row],[FIAttributable]]*tblBOneExport[[#This Row],[PTF_TOTAL_CURVE]]</f>
        <v>1.033354E-4</v>
      </c>
      <c r="V43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-5.74496E-5</v>
      </c>
      <c r="W43" s="16">
        <f>IF(AND(tblCalculation[[#This Row],[Level3]]="Forward Contracts",tblBOneExport[[#This Row],[PTF_COST_OF_CARRY]]=0),tblBOneExport[[#This Row],[PTF_VALUATION]],0)</f>
        <v>0</v>
      </c>
      <c r="X43" s="16">
        <f>SUM(tblCalculation[[#This Row],[PtfTrading]:[PtfModelRes]])</f>
        <v>6.4053000000000003E-6</v>
      </c>
      <c r="Y43" s="16">
        <f>tblCalculation[[#This Row],[FIAttributable]]*tblBOneExport[[#This Row],[PTF_TRADING]]</f>
        <v>0</v>
      </c>
      <c r="Z43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43" s="16">
        <f>tblCalculation[[#This Row],[FIAttributable]]*tblBOneExport[[#This Row],[PTF_MODEL_RESIDUAL]]-PTF_Credit_Adj*tblCalculation[[#This Row],[PtfDTSWeight]]</f>
        <v>6.4053000000000003E-6</v>
      </c>
      <c r="AB43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43" s="16">
        <f>tblBOneExport[[#This Row],[BMK_WEIGHT]]</f>
        <v>0</v>
      </c>
      <c r="AD43" s="78">
        <f>tblCalculation[[#This Row],[FIAttributable]]*SUMIFS(tblDTS[DTSContribution_BM],tblDTS[ISIN],tblCalculation[[#This Row],[ISIN]])</f>
        <v>7.2058540785059064E-2</v>
      </c>
      <c r="AE43" s="16">
        <f>IF(SUM(tblCalculation[BMKDTS])=0,0,tblCalculation[[#This Row],[BMKDTS]]/SUM(tblCalculation[BMKDTS]))</f>
        <v>8.5641778255334047E-3</v>
      </c>
      <c r="AF43" s="16">
        <f>tblBOneExport[[#This Row],[BMK_CONTRIBUTION]]</f>
        <v>0</v>
      </c>
      <c r="AG43" s="16">
        <f>tblCalculation[[#This Row],[BMKContributionBase]]-tblBOneExport[BMK_SPOT_CCY_RETURN]-tblBOneExport[[#This Row],[BMK_CROSS_EFFECT]]</f>
        <v>0</v>
      </c>
      <c r="AH43" s="16">
        <f>tblCalculation[[#This Row],[FIAttributable]]*(tblBOneExport[[#This Row],[BMK_RETURN_GOV_CARRY]])</f>
        <v>0</v>
      </c>
      <c r="AI43" s="16">
        <f>tblCalculation[[#This Row],[FIAttributable]]*tblBOneExport[[#This Row],[BMK_CREDIT_CARRY]]</f>
        <v>0</v>
      </c>
      <c r="AJ43" s="16">
        <f>tblCalculation[[#This Row],[FIAttributable]]*tblBOneExport[[#This Row],[BMK_TOTAL_CURVE]]</f>
        <v>0</v>
      </c>
      <c r="AK43" s="16">
        <f>tblCalculation[[#This Row],[FIAttributable]]*(tblBOneExport[[#This Row],[BMK_TOTAL_SPREAD]]+BMK_Credit_Adj*tblCalculation[[#This Row],[BmkDTSWeight]])</f>
        <v>0</v>
      </c>
      <c r="AL43" s="16">
        <f>tblCalculation[[#This Row],[FIAttributable]]*tblBOneExport[[#This Row],[BMK_MODEL_RESIDUAL]]-BMK_Credit_Adj*tblCalculation[[#This Row],[BmkDTSWeight]]</f>
        <v>0</v>
      </c>
      <c r="AM43" s="16">
        <f>IF(tblCalculation[[#This Row],[Level3]]="Forward Contracts",tblCalculation[[#This Row],[BMKContributionLocal]],0)</f>
        <v>0</v>
      </c>
      <c r="AN43" s="16">
        <f>tblBOneExport[[#This Row],[BMK_SPOT_CCY_RETURN]]+tblBOneExport[[#This Row],[BMK_CROSS_EFFECT]]</f>
        <v>0</v>
      </c>
    </row>
    <row r="44" spans="5:40" x14ac:dyDescent="0.25">
      <c r="E44" s="7" t="str">
        <f>tblBOneExport[[#This Row],[INSTRUMENT_CODE]]</f>
        <v>S00329245</v>
      </c>
      <c r="F44" s="7" t="str">
        <f>tblBOneExport[[#This Row],[INSTRUMENT]]</f>
        <v>TEXTRON INC 6.625 07/04/20 EMTN</v>
      </c>
      <c r="G44" s="7" t="str">
        <f>IF(tblBOneExport[[#This Row],[ISIN]]&lt;&gt;"", tblBOneExport[[#This Row],[ISIN]],"")</f>
        <v>XS0109825454</v>
      </c>
      <c r="H44" s="7" t="str">
        <f>IF(tblCalculation[[#This Row],[B1Level2]]="CDS",tblBOneExport[[#This Row],[B1_TICKER]],IF(tblCalculation[[#This Row],[ISIN]]="","",INDEX(tblGetStaticData[Ticker],MATCH(tblCalculation[[#This Row],[ISIN]],tblGetStaticData[ISIN],0))))</f>
        <v>TXT</v>
      </c>
      <c r="I44" s="7" t="str">
        <f>IF(tblBOneExport[[#This Row],[INSTRUMENT_TYPE]]="Forward Contract","Forward Contract",tblBOneExport[LEVEL2])</f>
        <v>Corporates</v>
      </c>
      <c r="J44" s="7" t="str">
        <f>IF(tblBOneExport[[#This Row],[INSTRUMENT_TYPE]]="Forward Contract","Forward Contract",tblBOneExport[[#This Row],[LEVEL3]])</f>
        <v>Industrials</v>
      </c>
      <c r="K44" s="7" t="str">
        <f>INDEX(tblLvl2Mapping[],MATCH(tblCalculation[[#This Row],[B1Level2]]&amp;"_"&amp;tblCalculation[[#This Row],[B1Level3]],tblLvl2Mapping[B1Level2_B1Level3],0),2)</f>
        <v>Corporate</v>
      </c>
      <c r="L44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44" s="7">
        <f>INDEX(tblAttributable[],MATCH(tblCalculation[[#This Row],[Level3]],tblAttributable[Level3],0),2)</f>
        <v>1</v>
      </c>
      <c r="N44" s="16">
        <f>tblBOneExport[[#This Row],[PTF_WEIGHT]]</f>
        <v>2.6285570000000001E-3</v>
      </c>
      <c r="O44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9.9479574621602878E-3</v>
      </c>
      <c r="P44" s="48">
        <f>tblCalculation[[#This Row],[PtfDTS]]/SUM(tblCalculation[PtfDTS])</f>
        <v>1.2064115062078167E-3</v>
      </c>
      <c r="Q44" s="16">
        <f>tblBOneExport[[#This Row],[PTF_CONTRIBUTION]]</f>
        <v>8.6925000000000002E-6</v>
      </c>
      <c r="R44" s="16">
        <f>tblCalculation[[#This Row],[PtfContributionBase]]-tblCalculation[[#This Row],[PtfCurrencyReturn]]</f>
        <v>8.6925000000000002E-6</v>
      </c>
      <c r="S44" s="16">
        <f>IF(tblBOneExport[[#This Row],[LEVEL1]]="Bonds",tblBOneExport[[#This Row],[PTF_GOV_CARRY]],"")</f>
        <v>5.1620000000000003E-7</v>
      </c>
      <c r="T44" s="16">
        <f>tblCalculation[[#This Row],[FIAttributable]]*tblBOneExport[[#This Row],[PTF_CREDIT_CARRY]]</f>
        <v>4.4285E-6</v>
      </c>
      <c r="U44" s="16">
        <f>tblCalculation[[#This Row],[FIAttributable]]*tblBOneExport[[#This Row],[PTF_TOTAL_CURVE]]</f>
        <v>7.1053999999999998E-6</v>
      </c>
      <c r="V44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-2.5392000000000002E-6</v>
      </c>
      <c r="W44" s="16">
        <f>IF(AND(tblCalculation[[#This Row],[Level3]]="Forward Contracts",tblBOneExport[[#This Row],[PTF_COST_OF_CARRY]]=0),tblBOneExport[[#This Row],[PTF_VALUATION]],0)</f>
        <v>0</v>
      </c>
      <c r="X44" s="16">
        <f>SUM(tblCalculation[[#This Row],[PtfTrading]:[PtfModelRes]])</f>
        <v>-8.1849999999999998E-7</v>
      </c>
      <c r="Y44" s="16">
        <f>tblCalculation[[#This Row],[FIAttributable]]*tblBOneExport[[#This Row],[PTF_TRADING]]</f>
        <v>0</v>
      </c>
      <c r="Z44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44" s="16">
        <f>tblCalculation[[#This Row],[FIAttributable]]*tblBOneExport[[#This Row],[PTF_MODEL_RESIDUAL]]-PTF_Credit_Adj*tblCalculation[[#This Row],[PtfDTSWeight]]</f>
        <v>-8.1849999999999998E-7</v>
      </c>
      <c r="AB44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44" s="16">
        <f>tblBOneExport[[#This Row],[BMK_WEIGHT]]</f>
        <v>0</v>
      </c>
      <c r="AD44" s="78">
        <f>tblCalculation[[#This Row],[FIAttributable]]*SUMIFS(tblDTS[DTSContribution_BM],tblDTS[ISIN],tblCalculation[[#This Row],[ISIN]])</f>
        <v>1.3130206666190107E-2</v>
      </c>
      <c r="AE44" s="16">
        <f>IF(SUM(tblCalculation[BMKDTS])=0,0,tblCalculation[[#This Row],[BMKDTS]]/SUM(tblCalculation[BMKDTS]))</f>
        <v>1.5605287527356087E-3</v>
      </c>
      <c r="AF44" s="16">
        <f>tblBOneExport[[#This Row],[BMK_CONTRIBUTION]]</f>
        <v>0</v>
      </c>
      <c r="AG44" s="16">
        <f>tblCalculation[[#This Row],[BMKContributionBase]]-tblBOneExport[BMK_SPOT_CCY_RETURN]-tblBOneExport[[#This Row],[BMK_CROSS_EFFECT]]</f>
        <v>0</v>
      </c>
      <c r="AH44" s="16">
        <f>tblCalculation[[#This Row],[FIAttributable]]*(tblBOneExport[[#This Row],[BMK_RETURN_GOV_CARRY]])</f>
        <v>0</v>
      </c>
      <c r="AI44" s="16">
        <f>tblCalculation[[#This Row],[FIAttributable]]*tblBOneExport[[#This Row],[BMK_CREDIT_CARRY]]</f>
        <v>0</v>
      </c>
      <c r="AJ44" s="16">
        <f>tblCalculation[[#This Row],[FIAttributable]]*tblBOneExport[[#This Row],[BMK_TOTAL_CURVE]]</f>
        <v>0</v>
      </c>
      <c r="AK44" s="16">
        <f>tblCalculation[[#This Row],[FIAttributable]]*(tblBOneExport[[#This Row],[BMK_TOTAL_SPREAD]]+BMK_Credit_Adj*tblCalculation[[#This Row],[BmkDTSWeight]])</f>
        <v>0</v>
      </c>
      <c r="AL44" s="16">
        <f>tblCalculation[[#This Row],[FIAttributable]]*tblBOneExport[[#This Row],[BMK_MODEL_RESIDUAL]]-BMK_Credit_Adj*tblCalculation[[#This Row],[BmkDTSWeight]]</f>
        <v>0</v>
      </c>
      <c r="AM44" s="16">
        <f>IF(tblCalculation[[#This Row],[Level3]]="Forward Contracts",tblCalculation[[#This Row],[BMKContributionLocal]],0)</f>
        <v>0</v>
      </c>
      <c r="AN44" s="16">
        <f>tblBOneExport[[#This Row],[BMK_SPOT_CCY_RETURN]]+tblBOneExport[[#This Row],[BMK_CROSS_EFFECT]]</f>
        <v>0</v>
      </c>
    </row>
    <row r="45" spans="5:40" x14ac:dyDescent="0.25">
      <c r="E45" s="7" t="str">
        <f>tblBOneExport[[#This Row],[INSTRUMENT_CODE]]</f>
        <v>S00085811</v>
      </c>
      <c r="F45" s="7" t="str">
        <f>tblBOneExport[[#This Row],[INSTRUMENT]]</f>
        <v>EUROPEAN INVT BK 5.625 07/06/32</v>
      </c>
      <c r="G45" s="7" t="str">
        <f>IF(tblBOneExport[[#This Row],[ISIN]]&lt;&gt;"", tblBOneExport[[#This Row],[ISIN]],"")</f>
        <v>XS0114126294</v>
      </c>
      <c r="H45" s="7" t="str">
        <f>IF(tblCalculation[[#This Row],[B1Level2]]="CDS",tblBOneExport[[#This Row],[B1_TICKER]],IF(tblCalculation[[#This Row],[ISIN]]="","",INDEX(tblGetStaticData[Ticker],MATCH(tblCalculation[[#This Row],[ISIN]],tblGetStaticData[ISIN],0))))</f>
        <v>EIB</v>
      </c>
      <c r="I45" s="7" t="str">
        <f>IF(tblBOneExport[[#This Row],[INSTRUMENT_TYPE]]="Forward Contract","Forward Contract",tblBOneExport[LEVEL2])</f>
        <v>Non-Corporate</v>
      </c>
      <c r="J45" s="7" t="str">
        <f>IF(tblBOneExport[[#This Row],[INSTRUMENT_TYPE]]="Forward Contract","Forward Contract",tblBOneExport[[#This Row],[LEVEL3]])</f>
        <v>Supranationals</v>
      </c>
      <c r="K45" s="7" t="str">
        <f>INDEX(tblLvl2Mapping[],MATCH(tblCalculation[[#This Row],[B1Level2]]&amp;"_"&amp;tblCalculation[[#This Row],[B1Level3]],tblLvl2Mapping[B1Level2_B1Level3],0),2)</f>
        <v>Corporate</v>
      </c>
      <c r="L45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45" s="7">
        <f>INDEX(tblAttributable[],MATCH(tblCalculation[[#This Row],[Level3]],tblAttributable[Level3],0),2)</f>
        <v>1</v>
      </c>
      <c r="N45" s="16">
        <f>tblBOneExport[[#This Row],[PTF_WEIGHT]]</f>
        <v>4.3846422000000003E-3</v>
      </c>
      <c r="O45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1.955617239435339E-2</v>
      </c>
      <c r="P45" s="48">
        <f>tblCalculation[[#This Row],[PtfDTS]]/SUM(tblCalculation[PtfDTS])</f>
        <v>2.3716216603934105E-3</v>
      </c>
      <c r="Q45" s="16">
        <f>tblBOneExport[[#This Row],[PTF_CONTRIBUTION]]</f>
        <v>9.13477E-5</v>
      </c>
      <c r="R45" s="16">
        <f>tblCalculation[[#This Row],[PtfContributionBase]]-tblCalculation[[#This Row],[PtfCurrencyReturn]]</f>
        <v>9.13477E-5</v>
      </c>
      <c r="S45" s="16">
        <f>IF(tblBOneExport[[#This Row],[LEVEL1]]="Bonds",tblBOneExport[[#This Row],[PTF_GOV_CARRY]],"")</f>
        <v>5.4361000000000004E-6</v>
      </c>
      <c r="T45" s="16">
        <f>tblCalculation[[#This Row],[FIAttributable]]*tblBOneExport[[#This Row],[PTF_CREDIT_CARRY]]</f>
        <v>9.95E-7</v>
      </c>
      <c r="U45" s="16">
        <f>tblCalculation[[#This Row],[FIAttributable]]*tblBOneExport[[#This Row],[PTF_TOTAL_CURVE]]</f>
        <v>8.7364499999999993E-5</v>
      </c>
      <c r="V45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-2.419E-6</v>
      </c>
      <c r="W45" s="16">
        <f>IF(AND(tblCalculation[[#This Row],[Level3]]="Forward Contracts",tblBOneExport[[#This Row],[PTF_COST_OF_CARRY]]=0),tblBOneExport[[#This Row],[PTF_VALUATION]],0)</f>
        <v>0</v>
      </c>
      <c r="X45" s="16">
        <f>SUM(tblCalculation[[#This Row],[PtfTrading]:[PtfModelRes]])</f>
        <v>-2.8900000000000001E-8</v>
      </c>
      <c r="Y45" s="16">
        <f>tblCalculation[[#This Row],[FIAttributable]]*tblBOneExport[[#This Row],[PTF_TRADING]]</f>
        <v>0</v>
      </c>
      <c r="Z45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45" s="16">
        <f>tblCalculation[[#This Row],[FIAttributable]]*tblBOneExport[[#This Row],[PTF_MODEL_RESIDUAL]]-PTF_Credit_Adj*tblCalculation[[#This Row],[PtfDTSWeight]]</f>
        <v>-2.8900000000000001E-8</v>
      </c>
      <c r="AB45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45" s="16">
        <f>tblBOneExport[[#This Row],[BMK_WEIGHT]]</f>
        <v>0</v>
      </c>
      <c r="AD45" s="78">
        <f>tblCalculation[[#This Row],[FIAttributable]]*SUMIFS(tblDTS[DTSContribution_BM],tblDTS[ISIN],tblCalculation[[#This Row],[ISIN]])</f>
        <v>2.5811992942815522E-2</v>
      </c>
      <c r="AE45" s="16">
        <f>IF(SUM(tblCalculation[BMKDTS])=0,0,tblCalculation[[#This Row],[BMKDTS]]/SUM(tblCalculation[BMKDTS]))</f>
        <v>3.0677626161355834E-3</v>
      </c>
      <c r="AF45" s="16">
        <f>tblBOneExport[[#This Row],[BMK_CONTRIBUTION]]</f>
        <v>0</v>
      </c>
      <c r="AG45" s="16">
        <f>tblCalculation[[#This Row],[BMKContributionBase]]-tblBOneExport[BMK_SPOT_CCY_RETURN]-tblBOneExport[[#This Row],[BMK_CROSS_EFFECT]]</f>
        <v>0</v>
      </c>
      <c r="AH45" s="16">
        <f>tblCalculation[[#This Row],[FIAttributable]]*(tblBOneExport[[#This Row],[BMK_RETURN_GOV_CARRY]])</f>
        <v>0</v>
      </c>
      <c r="AI45" s="16">
        <f>tblCalculation[[#This Row],[FIAttributable]]*tblBOneExport[[#This Row],[BMK_CREDIT_CARRY]]</f>
        <v>0</v>
      </c>
      <c r="AJ45" s="16">
        <f>tblCalculation[[#This Row],[FIAttributable]]*tblBOneExport[[#This Row],[BMK_TOTAL_CURVE]]</f>
        <v>0</v>
      </c>
      <c r="AK45" s="16">
        <f>tblCalculation[[#This Row],[FIAttributable]]*(tblBOneExport[[#This Row],[BMK_TOTAL_SPREAD]]+BMK_Credit_Adj*tblCalculation[[#This Row],[BmkDTSWeight]])</f>
        <v>0</v>
      </c>
      <c r="AL45" s="16">
        <f>tblCalculation[[#This Row],[FIAttributable]]*tblBOneExport[[#This Row],[BMK_MODEL_RESIDUAL]]-BMK_Credit_Adj*tblCalculation[[#This Row],[BmkDTSWeight]]</f>
        <v>0</v>
      </c>
      <c r="AM45" s="16">
        <f>IF(tblCalculation[[#This Row],[Level3]]="Forward Contracts",tblCalculation[[#This Row],[BMKContributionLocal]],0)</f>
        <v>0</v>
      </c>
      <c r="AN45" s="16">
        <f>tblBOneExport[[#This Row],[BMK_SPOT_CCY_RETURN]]+tblBOneExport[[#This Row],[BMK_CROSS_EFFECT]]</f>
        <v>0</v>
      </c>
    </row>
    <row r="46" spans="5:40" x14ac:dyDescent="0.25">
      <c r="E46" s="7" t="str">
        <f>tblBOneExport[[#This Row],[INSTRUMENT_CODE]]</f>
        <v>S00150277</v>
      </c>
      <c r="F46" s="7" t="str">
        <f>tblBOneExport[[#This Row],[INSTRUMENT]]</f>
        <v>AIG SUNAMERICA 6.375 05/10/20 EMTN</v>
      </c>
      <c r="G46" s="7" t="str">
        <f>IF(tblBOneExport[[#This Row],[ISIN]]&lt;&gt;"", tblBOneExport[[#This Row],[ISIN]],"")</f>
        <v>XS0118356780</v>
      </c>
      <c r="H46" s="7" t="str">
        <f>IF(tblCalculation[[#This Row],[B1Level2]]="CDS",tblBOneExport[[#This Row],[B1_TICKER]],IF(tblCalculation[[#This Row],[ISIN]]="","",INDEX(tblGetStaticData[Ticker],MATCH(tblCalculation[[#This Row],[ISIN]],tblGetStaticData[ISIN],0))))</f>
        <v>AIG</v>
      </c>
      <c r="I46" s="7" t="str">
        <f>IF(tblBOneExport[[#This Row],[INSTRUMENT_TYPE]]="Forward Contract","Forward Contract",tblBOneExport[LEVEL2])</f>
        <v>Corporates</v>
      </c>
      <c r="J46" s="7" t="str">
        <f>IF(tblBOneExport[[#This Row],[INSTRUMENT_TYPE]]="Forward Contract","Forward Contract",tblBOneExport[[#This Row],[LEVEL3]])</f>
        <v>Financial Institutions</v>
      </c>
      <c r="K46" s="7" t="str">
        <f>INDEX(tblLvl2Mapping[],MATCH(tblCalculation[[#This Row],[B1Level2]]&amp;"_"&amp;tblCalculation[[#This Row],[B1Level3]],tblLvl2Mapping[B1Level2_B1Level3],0),2)</f>
        <v>Corporate</v>
      </c>
      <c r="L46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46" s="7">
        <f>INDEX(tblAttributable[],MATCH(tblCalculation[[#This Row],[Level3]],tblAttributable[Level3],0),2)</f>
        <v>1</v>
      </c>
      <c r="N46" s="16">
        <f>tblBOneExport[[#This Row],[PTF_WEIGHT]]</f>
        <v>3.5264210000000001E-3</v>
      </c>
      <c r="O46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3.9996858258824052E-3</v>
      </c>
      <c r="P46" s="48">
        <f>tblCalculation[[#This Row],[PtfDTS]]/SUM(tblCalculation[PtfDTS])</f>
        <v>4.8505102880817889E-4</v>
      </c>
      <c r="Q46" s="16">
        <f>tblBOneExport[[#This Row],[PTF_CONTRIBUTION]]</f>
        <v>1.24404E-5</v>
      </c>
      <c r="R46" s="16">
        <f>tblCalculation[[#This Row],[PtfContributionBase]]-tblCalculation[[#This Row],[PtfCurrencyReturn]]</f>
        <v>1.24404E-5</v>
      </c>
      <c r="S46" s="16">
        <f>IF(tblBOneExport[[#This Row],[LEVEL1]]="Bonds",tblBOneExport[[#This Row],[PTF_GOV_CARRY]],"")</f>
        <v>7.6270000000000002E-7</v>
      </c>
      <c r="T46" s="16">
        <f>tblCalculation[[#This Row],[FIAttributable]]*tblBOneExport[[#This Row],[PTF_CREDIT_CARRY]]</f>
        <v>2.3873E-6</v>
      </c>
      <c r="U46" s="16">
        <f>tblCalculation[[#This Row],[FIAttributable]]*tblBOneExport[[#This Row],[PTF_TOTAL_CURVE]]</f>
        <v>1.20408E-5</v>
      </c>
      <c r="V46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-1.1035999999999999E-6</v>
      </c>
      <c r="W46" s="16">
        <f>IF(AND(tblCalculation[[#This Row],[Level3]]="Forward Contracts",tblBOneExport[[#This Row],[PTF_COST_OF_CARRY]]=0),tblBOneExport[[#This Row],[PTF_VALUATION]],0)</f>
        <v>0</v>
      </c>
      <c r="X46" s="16">
        <f>SUM(tblCalculation[[#This Row],[PtfTrading]:[PtfModelRes]])</f>
        <v>-1.6469000000000001E-6</v>
      </c>
      <c r="Y46" s="16">
        <f>tblCalculation[[#This Row],[FIAttributable]]*tblBOneExport[[#This Row],[PTF_TRADING]]</f>
        <v>0</v>
      </c>
      <c r="Z46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46" s="16">
        <f>tblCalculation[[#This Row],[FIAttributable]]*tblBOneExport[[#This Row],[PTF_MODEL_RESIDUAL]]-PTF_Credit_Adj*tblCalculation[[#This Row],[PtfDTSWeight]]</f>
        <v>-1.6469000000000001E-6</v>
      </c>
      <c r="AB46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46" s="16">
        <f>tblBOneExport[[#This Row],[BMK_WEIGHT]]</f>
        <v>0</v>
      </c>
      <c r="AD46" s="78">
        <f>tblCalculation[[#This Row],[FIAttributable]]*SUMIFS(tblDTS[DTSContribution_BM],tblDTS[ISIN],tblCalculation[[#This Row],[ISIN]])</f>
        <v>5.2782831761125706E-3</v>
      </c>
      <c r="AE46" s="16">
        <f>IF(SUM(tblCalculation[BMKDTS])=0,0,tblCalculation[[#This Row],[BMKDTS]]/SUM(tblCalculation[BMKDTS]))</f>
        <v>6.2732543902862571E-4</v>
      </c>
      <c r="AF46" s="16">
        <f>tblBOneExport[[#This Row],[BMK_CONTRIBUTION]]</f>
        <v>0</v>
      </c>
      <c r="AG46" s="16">
        <f>tblCalculation[[#This Row],[BMKContributionBase]]-tblBOneExport[BMK_SPOT_CCY_RETURN]-tblBOneExport[[#This Row],[BMK_CROSS_EFFECT]]</f>
        <v>0</v>
      </c>
      <c r="AH46" s="16">
        <f>tblCalculation[[#This Row],[FIAttributable]]*(tblBOneExport[[#This Row],[BMK_RETURN_GOV_CARRY]])</f>
        <v>0</v>
      </c>
      <c r="AI46" s="16">
        <f>tblCalculation[[#This Row],[FIAttributable]]*tblBOneExport[[#This Row],[BMK_CREDIT_CARRY]]</f>
        <v>0</v>
      </c>
      <c r="AJ46" s="16">
        <f>tblCalculation[[#This Row],[FIAttributable]]*tblBOneExport[[#This Row],[BMK_TOTAL_CURVE]]</f>
        <v>0</v>
      </c>
      <c r="AK46" s="16">
        <f>tblCalculation[[#This Row],[FIAttributable]]*(tblBOneExport[[#This Row],[BMK_TOTAL_SPREAD]]+BMK_Credit_Adj*tblCalculation[[#This Row],[BmkDTSWeight]])</f>
        <v>0</v>
      </c>
      <c r="AL46" s="16">
        <f>tblCalculation[[#This Row],[FIAttributable]]*tblBOneExport[[#This Row],[BMK_MODEL_RESIDUAL]]-BMK_Credit_Adj*tblCalculation[[#This Row],[BmkDTSWeight]]</f>
        <v>0</v>
      </c>
      <c r="AM46" s="16">
        <f>IF(tblCalculation[[#This Row],[Level3]]="Forward Contracts",tblCalculation[[#This Row],[BMKContributionLocal]],0)</f>
        <v>0</v>
      </c>
      <c r="AN46" s="16">
        <f>tblBOneExport[[#This Row],[BMK_SPOT_CCY_RETURN]]+tblBOneExport[[#This Row],[BMK_CROSS_EFFECT]]</f>
        <v>0</v>
      </c>
    </row>
    <row r="47" spans="5:40" x14ac:dyDescent="0.25">
      <c r="E47" s="7" t="str">
        <f>tblBOneExport[[#This Row],[INSTRUMENT_CODE]]</f>
        <v>S00192517</v>
      </c>
      <c r="F47" s="7" t="str">
        <f>tblBOneExport[[#This Row],[INSTRUMENT]]</f>
        <v>WAL MART STORES 5.75 19/12/30</v>
      </c>
      <c r="G47" s="7" t="str">
        <f>IF(tblBOneExport[[#This Row],[ISIN]]&lt;&gt;"", tblBOneExport[[#This Row],[ISIN]],"")</f>
        <v>XS0121617517</v>
      </c>
      <c r="H47" s="7" t="str">
        <f>IF(tblCalculation[[#This Row],[B1Level2]]="CDS",tblBOneExport[[#This Row],[B1_TICKER]],IF(tblCalculation[[#This Row],[ISIN]]="","",INDEX(tblGetStaticData[Ticker],MATCH(tblCalculation[[#This Row],[ISIN]],tblGetStaticData[ISIN],0))))</f>
        <v>WMT</v>
      </c>
      <c r="I47" s="7" t="str">
        <f>IF(tblBOneExport[[#This Row],[INSTRUMENT_TYPE]]="Forward Contract","Forward Contract",tblBOneExport[LEVEL2])</f>
        <v>Corporates</v>
      </c>
      <c r="J47" s="7" t="str">
        <f>IF(tblBOneExport[[#This Row],[INSTRUMENT_TYPE]]="Forward Contract","Forward Contract",tblBOneExport[[#This Row],[LEVEL3]])</f>
        <v>Industrials</v>
      </c>
      <c r="K47" s="7" t="str">
        <f>INDEX(tblLvl2Mapping[],MATCH(tblCalculation[[#This Row],[B1Level2]]&amp;"_"&amp;tblCalculation[[#This Row],[B1Level3]],tblLvl2Mapping[B1Level2_B1Level3],0),2)</f>
        <v>Corporate</v>
      </c>
      <c r="L47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47" s="7">
        <f>INDEX(tblAttributable[],MATCH(tblCalculation[[#This Row],[Level3]],tblAttributable[Level3],0),2)</f>
        <v>1</v>
      </c>
      <c r="N47" s="16">
        <f>tblBOneExport[[#This Row],[PTF_WEIGHT]]</f>
        <v>3.3222916E-3</v>
      </c>
      <c r="O47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2.7535663033145124E-2</v>
      </c>
      <c r="P47" s="48">
        <f>tblCalculation[[#This Row],[PtfDTS]]/SUM(tblCalculation[PtfDTS])</f>
        <v>3.3393127021909916E-3</v>
      </c>
      <c r="Q47" s="16">
        <f>tblBOneExport[[#This Row],[PTF_CONTRIBUTION]]</f>
        <v>5.9897900000000001E-5</v>
      </c>
      <c r="R47" s="16">
        <f>tblCalculation[[#This Row],[PtfContributionBase]]-tblCalculation[[#This Row],[PtfCurrencyReturn]]</f>
        <v>5.9897900000000001E-5</v>
      </c>
      <c r="S47" s="16">
        <f>IF(tblBOneExport[[#This Row],[LEVEL1]]="Bonds",tblBOneExport[[#This Row],[PTF_GOV_CARRY]],"")</f>
        <v>3.9461000000000002E-6</v>
      </c>
      <c r="T47" s="16">
        <f>tblCalculation[[#This Row],[FIAttributable]]*tblBOneExport[[#This Row],[PTF_CREDIT_CARRY]]</f>
        <v>1.9278E-6</v>
      </c>
      <c r="U47" s="16">
        <f>tblCalculation[[#This Row],[FIAttributable]]*tblBOneExport[[#This Row],[PTF_TOTAL_CURVE]]</f>
        <v>6.2345E-5</v>
      </c>
      <c r="V47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-1.0221700000000001E-5</v>
      </c>
      <c r="W47" s="16">
        <f>IF(AND(tblCalculation[[#This Row],[Level3]]="Forward Contracts",tblBOneExport[[#This Row],[PTF_COST_OF_CARRY]]=0),tblBOneExport[[#This Row],[PTF_VALUATION]],0)</f>
        <v>0</v>
      </c>
      <c r="X47" s="16">
        <f>SUM(tblCalculation[[#This Row],[PtfTrading]:[PtfModelRes]])</f>
        <v>1.9007000000000001E-6</v>
      </c>
      <c r="Y47" s="16">
        <f>tblCalculation[[#This Row],[FIAttributable]]*tblBOneExport[[#This Row],[PTF_TRADING]]</f>
        <v>0</v>
      </c>
      <c r="Z47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47" s="16">
        <f>tblCalculation[[#This Row],[FIAttributable]]*tblBOneExport[[#This Row],[PTF_MODEL_RESIDUAL]]-PTF_Credit_Adj*tblCalculation[[#This Row],[PtfDTSWeight]]</f>
        <v>1.9007000000000001E-6</v>
      </c>
      <c r="AB47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47" s="16">
        <f>tblBOneExport[[#This Row],[BMK_WEIGHT]]</f>
        <v>0</v>
      </c>
      <c r="AD47" s="78">
        <f>tblCalculation[[#This Row],[FIAttributable]]*SUMIFS(tblDTS[DTSContribution_BM],tblDTS[ISIN],tblCalculation[[#This Row],[ISIN]])</f>
        <v>3.6343735371635308E-2</v>
      </c>
      <c r="AE47" s="16">
        <f>IF(SUM(tblCalculation[BMKDTS])=0,0,tblCalculation[[#This Row],[BMKDTS]]/SUM(tblCalculation[BMKDTS]))</f>
        <v>4.31946316391894E-3</v>
      </c>
      <c r="AF47" s="16">
        <f>tblBOneExport[[#This Row],[BMK_CONTRIBUTION]]</f>
        <v>0</v>
      </c>
      <c r="AG47" s="16">
        <f>tblCalculation[[#This Row],[BMKContributionBase]]-tblBOneExport[BMK_SPOT_CCY_RETURN]-tblBOneExport[[#This Row],[BMK_CROSS_EFFECT]]</f>
        <v>0</v>
      </c>
      <c r="AH47" s="16">
        <f>tblCalculation[[#This Row],[FIAttributable]]*(tblBOneExport[[#This Row],[BMK_RETURN_GOV_CARRY]])</f>
        <v>0</v>
      </c>
      <c r="AI47" s="16">
        <f>tblCalculation[[#This Row],[FIAttributable]]*tblBOneExport[[#This Row],[BMK_CREDIT_CARRY]]</f>
        <v>0</v>
      </c>
      <c r="AJ47" s="16">
        <f>tblCalculation[[#This Row],[FIAttributable]]*tblBOneExport[[#This Row],[BMK_TOTAL_CURVE]]</f>
        <v>0</v>
      </c>
      <c r="AK47" s="16">
        <f>tblCalculation[[#This Row],[FIAttributable]]*(tblBOneExport[[#This Row],[BMK_TOTAL_SPREAD]]+BMK_Credit_Adj*tblCalculation[[#This Row],[BmkDTSWeight]])</f>
        <v>0</v>
      </c>
      <c r="AL47" s="16">
        <f>tblCalculation[[#This Row],[FIAttributable]]*tblBOneExport[[#This Row],[BMK_MODEL_RESIDUAL]]-BMK_Credit_Adj*tblCalculation[[#This Row],[BmkDTSWeight]]</f>
        <v>0</v>
      </c>
      <c r="AM47" s="16">
        <f>IF(tblCalculation[[#This Row],[Level3]]="Forward Contracts",tblCalculation[[#This Row],[BMKContributionLocal]],0)</f>
        <v>0</v>
      </c>
      <c r="AN47" s="16">
        <f>tblBOneExport[[#This Row],[BMK_SPOT_CCY_RETURN]]+tblBOneExport[[#This Row],[BMK_CROSS_EFFECT]]</f>
        <v>0</v>
      </c>
    </row>
    <row r="48" spans="5:40" x14ac:dyDescent="0.25">
      <c r="E48" s="7" t="str">
        <f>tblBOneExport[[#This Row],[INSTRUMENT_CODE]]</f>
        <v>S00053202</v>
      </c>
      <c r="F48" s="7" t="str">
        <f>tblBOneExport[[#This Row],[INSTRUMENT]]</f>
        <v>INNOGY FINANCE 6.5 20/04/21 EMTN</v>
      </c>
      <c r="G48" s="7" t="str">
        <f>IF(tblBOneExport[[#This Row],[ISIN]]&lt;&gt;"", tblBOneExport[[#This Row],[ISIN]],"")</f>
        <v>XS0127992336</v>
      </c>
      <c r="H48" s="7" t="str">
        <f>IF(tblCalculation[[#This Row],[B1Level2]]="CDS",tblBOneExport[[#This Row],[B1_TICKER]],IF(tblCalculation[[#This Row],[ISIN]]="","",INDEX(tblGetStaticData[Ticker],MATCH(tblCalculation[[#This Row],[ISIN]],tblGetStaticData[ISIN],0))))</f>
        <v>IGYGY</v>
      </c>
      <c r="I48" s="7" t="str">
        <f>IF(tblBOneExport[[#This Row],[INSTRUMENT_TYPE]]="Forward Contract","Forward Contract",tblBOneExport[LEVEL2])</f>
        <v>Corporates</v>
      </c>
      <c r="J48" s="7" t="str">
        <f>IF(tblBOneExport[[#This Row],[INSTRUMENT_TYPE]]="Forward Contract","Forward Contract",tblBOneExport[[#This Row],[LEVEL3]])</f>
        <v>Utilities</v>
      </c>
      <c r="K48" s="7" t="str">
        <f>INDEX(tblLvl2Mapping[],MATCH(tblCalculation[[#This Row],[B1Level2]]&amp;"_"&amp;tblCalculation[[#This Row],[B1Level3]],tblLvl2Mapping[B1Level2_B1Level3],0),2)</f>
        <v>Corporate</v>
      </c>
      <c r="L48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48" s="7">
        <f>INDEX(tblAttributable[],MATCH(tblCalculation[[#This Row],[Level3]],tblAttributable[Level3],0),2)</f>
        <v>1</v>
      </c>
      <c r="N48" s="16">
        <f>tblBOneExport[[#This Row],[PTF_WEIGHT]]</f>
        <v>1.3970297E-3</v>
      </c>
      <c r="O48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2.7095949781729186E-3</v>
      </c>
      <c r="P48" s="48">
        <f>tblCalculation[[#This Row],[PtfDTS]]/SUM(tblCalculation[PtfDTS])</f>
        <v>3.2859876726099903E-4</v>
      </c>
      <c r="Q48" s="16">
        <f>tblBOneExport[[#This Row],[PTF_CONTRIBUTION]]</f>
        <v>8.0668000000000004E-6</v>
      </c>
      <c r="R48" s="16">
        <f>tblCalculation[[#This Row],[PtfContributionBase]]-tblCalculation[[#This Row],[PtfCurrencyReturn]]</f>
        <v>8.0668000000000004E-6</v>
      </c>
      <c r="S48" s="16">
        <f>IF(tblBOneExport[[#This Row],[LEVEL1]]="Bonds",tblBOneExport[[#This Row],[PTF_GOV_CARRY]],"")</f>
        <v>3.4069999999999997E-7</v>
      </c>
      <c r="T48" s="16">
        <f>tblCalculation[[#This Row],[FIAttributable]]*tblBOneExport[[#This Row],[PTF_CREDIT_CARRY]]</f>
        <v>1.1702E-6</v>
      </c>
      <c r="U48" s="16">
        <f>tblCalculation[[#This Row],[FIAttributable]]*tblBOneExport[[#This Row],[PTF_TOTAL_CURVE]]</f>
        <v>5.9239000000000002E-6</v>
      </c>
      <c r="V48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2.7850000000000001E-7</v>
      </c>
      <c r="W48" s="16">
        <f>IF(AND(tblCalculation[[#This Row],[Level3]]="Forward Contracts",tblBOneExport[[#This Row],[PTF_COST_OF_CARRY]]=0),tblBOneExport[[#This Row],[PTF_VALUATION]],0)</f>
        <v>0</v>
      </c>
      <c r="X48" s="16">
        <f>SUM(tblCalculation[[#This Row],[PtfTrading]:[PtfModelRes]])</f>
        <v>3.5359999999999999E-7</v>
      </c>
      <c r="Y48" s="16">
        <f>tblCalculation[[#This Row],[FIAttributable]]*tblBOneExport[[#This Row],[PTF_TRADING]]</f>
        <v>0</v>
      </c>
      <c r="Z48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48" s="16">
        <f>tblCalculation[[#This Row],[FIAttributable]]*tblBOneExport[[#This Row],[PTF_MODEL_RESIDUAL]]-PTF_Credit_Adj*tblCalculation[[#This Row],[PtfDTSWeight]]</f>
        <v>3.5359999999999999E-7</v>
      </c>
      <c r="AB48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48" s="16">
        <f>tblBOneExport[[#This Row],[BMK_WEIGHT]]</f>
        <v>0</v>
      </c>
      <c r="AD48" s="78">
        <f>tblCalculation[[#This Row],[FIAttributable]]*SUMIFS(tblDTS[DTSContribution_BM],tblDTS[ISIN],tblCalculation[[#This Row],[ISIN]])</f>
        <v>3.5763713200191644E-3</v>
      </c>
      <c r="AE48" s="16">
        <f>IF(SUM(tblCalculation[BMKDTS])=0,0,tblCalculation[[#This Row],[BMKDTS]]/SUM(tblCalculation[BMKDTS]))</f>
        <v>4.2505273658181608E-4</v>
      </c>
      <c r="AF48" s="16">
        <f>tblBOneExport[[#This Row],[BMK_CONTRIBUTION]]</f>
        <v>0</v>
      </c>
      <c r="AG48" s="16">
        <f>tblCalculation[[#This Row],[BMKContributionBase]]-tblBOneExport[BMK_SPOT_CCY_RETURN]-tblBOneExport[[#This Row],[BMK_CROSS_EFFECT]]</f>
        <v>0</v>
      </c>
      <c r="AH48" s="16">
        <f>tblCalculation[[#This Row],[FIAttributable]]*(tblBOneExport[[#This Row],[BMK_RETURN_GOV_CARRY]])</f>
        <v>0</v>
      </c>
      <c r="AI48" s="16">
        <f>tblCalculation[[#This Row],[FIAttributable]]*tblBOneExport[[#This Row],[BMK_CREDIT_CARRY]]</f>
        <v>0</v>
      </c>
      <c r="AJ48" s="16">
        <f>tblCalculation[[#This Row],[FIAttributable]]*tblBOneExport[[#This Row],[BMK_TOTAL_CURVE]]</f>
        <v>0</v>
      </c>
      <c r="AK48" s="16">
        <f>tblCalculation[[#This Row],[FIAttributable]]*(tblBOneExport[[#This Row],[BMK_TOTAL_SPREAD]]+BMK_Credit_Adj*tblCalculation[[#This Row],[BmkDTSWeight]])</f>
        <v>0</v>
      </c>
      <c r="AL48" s="16">
        <f>tblCalculation[[#This Row],[FIAttributable]]*tblBOneExport[[#This Row],[BMK_MODEL_RESIDUAL]]-BMK_Credit_Adj*tblCalculation[[#This Row],[BmkDTSWeight]]</f>
        <v>0</v>
      </c>
      <c r="AM48" s="16">
        <f>IF(tblCalculation[[#This Row],[Level3]]="Forward Contracts",tblCalculation[[#This Row],[BMKContributionLocal]],0)</f>
        <v>0</v>
      </c>
      <c r="AN48" s="16">
        <f>tblBOneExport[[#This Row],[BMK_SPOT_CCY_RETURN]]+tblBOneExport[[#This Row],[BMK_CROSS_EFFECT]]</f>
        <v>0</v>
      </c>
    </row>
    <row r="49" spans="5:40" x14ac:dyDescent="0.25">
      <c r="E49" s="7" t="str">
        <f>tblBOneExport[[#This Row],[INSTRUMENT_CODE]]</f>
        <v>S00055773</v>
      </c>
      <c r="F49" s="7" t="str">
        <f>tblBOneExport[[#This Row],[INSTRUMENT]]</f>
        <v>DWR CYMRU FIN 6.015 31/03/28 A1</v>
      </c>
      <c r="G49" s="7" t="str">
        <f>IF(tblBOneExport[[#This Row],[ISIN]]&lt;&gt;"", tblBOneExport[[#This Row],[ISIN]],"")</f>
        <v>XS0128311023</v>
      </c>
      <c r="H49" s="7" t="str">
        <f>IF(tblCalculation[[#This Row],[B1Level2]]="CDS",tblBOneExport[[#This Row],[B1_TICKER]],IF(tblCalculation[[#This Row],[ISIN]]="","",INDEX(tblGetStaticData[Ticker],MATCH(tblCalculation[[#This Row],[ISIN]],tblGetStaticData[ISIN],0))))</f>
        <v>GLAS</v>
      </c>
      <c r="I49" s="7" t="str">
        <f>IF(tblBOneExport[[#This Row],[INSTRUMENT_TYPE]]="Forward Contract","Forward Contract",tblBOneExport[LEVEL2])</f>
        <v>Corporates</v>
      </c>
      <c r="J49" s="7" t="str">
        <f>IF(tblBOneExport[[#This Row],[INSTRUMENT_TYPE]]="Forward Contract","Forward Contract",tblBOneExport[[#This Row],[LEVEL3]])</f>
        <v>Utilities</v>
      </c>
      <c r="K49" s="7" t="str">
        <f>INDEX(tblLvl2Mapping[],MATCH(tblCalculation[[#This Row],[B1Level2]]&amp;"_"&amp;tblCalculation[[#This Row],[B1Level3]],tblLvl2Mapping[B1Level2_B1Level3],0),2)</f>
        <v>Corporate</v>
      </c>
      <c r="L49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49" s="7">
        <f>INDEX(tblAttributable[],MATCH(tblCalculation[[#This Row],[Level3]],tblAttributable[Level3],0),2)</f>
        <v>1</v>
      </c>
      <c r="N49" s="16">
        <f>tblBOneExport[[#This Row],[PTF_WEIGHT]]</f>
        <v>7.2153251000000003E-3</v>
      </c>
      <c r="O49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4.1172912196937743E-2</v>
      </c>
      <c r="P49" s="48">
        <f>tblCalculation[[#This Row],[PtfDTS]]/SUM(tblCalculation[PtfDTS])</f>
        <v>4.9931330333295625E-3</v>
      </c>
      <c r="Q49" s="16">
        <f>tblBOneExport[[#This Row],[PTF_CONTRIBUTION]]</f>
        <v>1.469052E-4</v>
      </c>
      <c r="R49" s="16">
        <f>tblCalculation[[#This Row],[PtfContributionBase]]-tblCalculation[[#This Row],[PtfCurrencyReturn]]</f>
        <v>1.469052E-4</v>
      </c>
      <c r="S49" s="16">
        <f>IF(tblBOneExport[[#This Row],[LEVEL1]]="Bonds",tblBOneExport[[#This Row],[PTF_GOV_CARRY]],"")</f>
        <v>7.1973999999999999E-6</v>
      </c>
      <c r="T49" s="16">
        <f>tblCalculation[[#This Row],[FIAttributable]]*tblBOneExport[[#This Row],[PTF_CREDIT_CARRY]]</f>
        <v>4.5525E-6</v>
      </c>
      <c r="U49" s="16">
        <f>tblCalculation[[#This Row],[FIAttributable]]*tblBOneExport[[#This Row],[PTF_TOTAL_CURVE]]</f>
        <v>1.2251889999999999E-4</v>
      </c>
      <c r="V49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2.2584800000000001E-5</v>
      </c>
      <c r="W49" s="16">
        <f>IF(AND(tblCalculation[[#This Row],[Level3]]="Forward Contracts",tblBOneExport[[#This Row],[PTF_COST_OF_CARRY]]=0),tblBOneExport[[#This Row],[PTF_VALUATION]],0)</f>
        <v>0</v>
      </c>
      <c r="X49" s="16">
        <f>SUM(tblCalculation[[#This Row],[PtfTrading]:[PtfModelRes]])</f>
        <v>-9.9483999999999995E-6</v>
      </c>
      <c r="Y49" s="16">
        <f>tblCalculation[[#This Row],[FIAttributable]]*tblBOneExport[[#This Row],[PTF_TRADING]]</f>
        <v>0</v>
      </c>
      <c r="Z49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49" s="16">
        <f>tblCalculation[[#This Row],[FIAttributable]]*tblBOneExport[[#This Row],[PTF_MODEL_RESIDUAL]]-PTF_Credit_Adj*tblCalculation[[#This Row],[PtfDTSWeight]]</f>
        <v>-9.9483999999999995E-6</v>
      </c>
      <c r="AB49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49" s="16">
        <f>tblBOneExport[[#This Row],[BMK_WEIGHT]]</f>
        <v>0</v>
      </c>
      <c r="AD49" s="78">
        <f>tblCalculation[[#This Row],[FIAttributable]]*SUMIFS(tblDTS[DTSContribution_BM],tblDTS[ISIN],tblCalculation[[#This Row],[ISIN]])</f>
        <v>4.1990897848065402E-2</v>
      </c>
      <c r="AE49" s="16">
        <f>IF(SUM(tblCalculation[BMKDTS])=0,0,tblCalculation[[#This Row],[BMKDTS]]/SUM(tblCalculation[BMKDTS]))</f>
        <v>4.9906300114698522E-3</v>
      </c>
      <c r="AF49" s="16">
        <f>tblBOneExport[[#This Row],[BMK_CONTRIBUTION]]</f>
        <v>0</v>
      </c>
      <c r="AG49" s="16">
        <f>tblCalculation[[#This Row],[BMKContributionBase]]-tblBOneExport[BMK_SPOT_CCY_RETURN]-tblBOneExport[[#This Row],[BMK_CROSS_EFFECT]]</f>
        <v>0</v>
      </c>
      <c r="AH49" s="16">
        <f>tblCalculation[[#This Row],[FIAttributable]]*(tblBOneExport[[#This Row],[BMK_RETURN_GOV_CARRY]])</f>
        <v>0</v>
      </c>
      <c r="AI49" s="16">
        <f>tblCalculation[[#This Row],[FIAttributable]]*tblBOneExport[[#This Row],[BMK_CREDIT_CARRY]]</f>
        <v>0</v>
      </c>
      <c r="AJ49" s="16">
        <f>tblCalculation[[#This Row],[FIAttributable]]*tblBOneExport[[#This Row],[BMK_TOTAL_CURVE]]</f>
        <v>0</v>
      </c>
      <c r="AK49" s="16">
        <f>tblCalculation[[#This Row],[FIAttributable]]*(tblBOneExport[[#This Row],[BMK_TOTAL_SPREAD]]+BMK_Credit_Adj*tblCalculation[[#This Row],[BmkDTSWeight]])</f>
        <v>0</v>
      </c>
      <c r="AL49" s="16">
        <f>tblCalculation[[#This Row],[FIAttributable]]*tblBOneExport[[#This Row],[BMK_MODEL_RESIDUAL]]-BMK_Credit_Adj*tblCalculation[[#This Row],[BmkDTSWeight]]</f>
        <v>0</v>
      </c>
      <c r="AM49" s="16">
        <f>IF(tblCalculation[[#This Row],[Level3]]="Forward Contracts",tblCalculation[[#This Row],[BMKContributionLocal]],0)</f>
        <v>0</v>
      </c>
      <c r="AN49" s="16">
        <f>tblBOneExport[[#This Row],[BMK_SPOT_CCY_RETURN]]+tblBOneExport[[#This Row],[BMK_CROSS_EFFECT]]</f>
        <v>0</v>
      </c>
    </row>
    <row r="50" spans="5:40" x14ac:dyDescent="0.25">
      <c r="E50" s="7" t="str">
        <f>tblBOneExport[[#This Row],[INSTRUMENT_CODE]]</f>
        <v>S00055415</v>
      </c>
      <c r="F50" s="7" t="str">
        <f>tblBOneExport[[#This Row],[INSTRUMENT]]</f>
        <v>DWR CYMRU FIN 6.907 31/03/21 B1</v>
      </c>
      <c r="G50" s="7" t="str">
        <f>IF(tblBOneExport[[#This Row],[ISIN]]&lt;&gt;"", tblBOneExport[[#This Row],[ISIN]],"")</f>
        <v>XS0128311965</v>
      </c>
      <c r="H50" s="7" t="str">
        <f>IF(tblCalculation[[#This Row],[B1Level2]]="CDS",tblBOneExport[[#This Row],[B1_TICKER]],IF(tblCalculation[[#This Row],[ISIN]]="","",INDEX(tblGetStaticData[Ticker],MATCH(tblCalculation[[#This Row],[ISIN]],tblGetStaticData[ISIN],0))))</f>
        <v>GLAS</v>
      </c>
      <c r="I50" s="7" t="str">
        <f>IF(tblBOneExport[[#This Row],[INSTRUMENT_TYPE]]="Forward Contract","Forward Contract",tblBOneExport[LEVEL2])</f>
        <v>Corporates</v>
      </c>
      <c r="J50" s="7" t="str">
        <f>IF(tblBOneExport[[#This Row],[INSTRUMENT_TYPE]]="Forward Contract","Forward Contract",tblBOneExport[[#This Row],[LEVEL3]])</f>
        <v>Utilities</v>
      </c>
      <c r="K50" s="7" t="str">
        <f>INDEX(tblLvl2Mapping[],MATCH(tblCalculation[[#This Row],[B1Level2]]&amp;"_"&amp;tblCalculation[[#This Row],[B1Level3]],tblLvl2Mapping[B1Level2_B1Level3],0),2)</f>
        <v>Corporate</v>
      </c>
      <c r="L50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50" s="7">
        <f>INDEX(tblAttributable[],MATCH(tblCalculation[[#This Row],[Level3]],tblAttributable[Level3],0),2)</f>
        <v>1</v>
      </c>
      <c r="N50" s="16">
        <f>tblBOneExport[[#This Row],[PTF_WEIGHT]]</f>
        <v>1.5787831000000001E-3</v>
      </c>
      <c r="O50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1.0357543309328498E-3</v>
      </c>
      <c r="P50" s="48">
        <f>tblCalculation[[#This Row],[PtfDTS]]/SUM(tblCalculation[PtfDTS])</f>
        <v>1.2560829167142606E-4</v>
      </c>
      <c r="Q50" s="16">
        <f>tblBOneExport[[#This Row],[PTF_CONTRIBUTION]]</f>
        <v>5.1340000000000003E-6</v>
      </c>
      <c r="R50" s="16">
        <f>tblCalculation[[#This Row],[PtfContributionBase]]-tblCalculation[[#This Row],[PtfCurrencyReturn]]</f>
        <v>5.1340000000000003E-6</v>
      </c>
      <c r="S50" s="16">
        <f>IF(tblBOneExport[[#This Row],[LEVEL1]]="Bonds",tblBOneExport[[#This Row],[PTF_GOV_CARRY]],"")</f>
        <v>3.819E-7</v>
      </c>
      <c r="T50" s="16">
        <f>tblCalculation[[#This Row],[FIAttributable]]*tblBOneExport[[#This Row],[PTF_CREDIT_CARRY]]</f>
        <v>8.3419999999999999E-7</v>
      </c>
      <c r="U50" s="16">
        <f>tblCalculation[[#This Row],[FIAttributable]]*tblBOneExport[[#This Row],[PTF_TOTAL_CURVE]]</f>
        <v>6.5498000000000004E-6</v>
      </c>
      <c r="V50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-1.1684999999999999E-6</v>
      </c>
      <c r="W50" s="16">
        <f>IF(AND(tblCalculation[[#This Row],[Level3]]="Forward Contracts",tblBOneExport[[#This Row],[PTF_COST_OF_CARRY]]=0),tblBOneExport[[#This Row],[PTF_VALUATION]],0)</f>
        <v>0</v>
      </c>
      <c r="X50" s="16">
        <f>SUM(tblCalculation[[#This Row],[PtfTrading]:[PtfModelRes]])</f>
        <v>-1.4634E-6</v>
      </c>
      <c r="Y50" s="16">
        <f>tblCalculation[[#This Row],[FIAttributable]]*tblBOneExport[[#This Row],[PTF_TRADING]]</f>
        <v>0</v>
      </c>
      <c r="Z50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50" s="16">
        <f>tblCalculation[[#This Row],[FIAttributable]]*tblBOneExport[[#This Row],[PTF_MODEL_RESIDUAL]]-PTF_Credit_Adj*tblCalculation[[#This Row],[PtfDTSWeight]]</f>
        <v>-1.4634E-6</v>
      </c>
      <c r="AB50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50" s="16">
        <f>tblBOneExport[[#This Row],[BMK_WEIGHT]]</f>
        <v>0</v>
      </c>
      <c r="AD50" s="78">
        <f>tblCalculation[[#This Row],[FIAttributable]]*SUMIFS(tblDTS[DTSContribution_BM],tblDTS[ISIN],tblCalculation[[#This Row],[ISIN]])</f>
        <v>1.3670532241350961E-3</v>
      </c>
      <c r="AE50" s="16">
        <f>IF(SUM(tblCalculation[BMKDTS])=0,0,tblCalculation[[#This Row],[BMKDTS]]/SUM(tblCalculation[BMKDTS]))</f>
        <v>1.6247465992107993E-4</v>
      </c>
      <c r="AF50" s="16">
        <f>tblBOneExport[[#This Row],[BMK_CONTRIBUTION]]</f>
        <v>0</v>
      </c>
      <c r="AG50" s="16">
        <f>tblCalculation[[#This Row],[BMKContributionBase]]-tblBOneExport[BMK_SPOT_CCY_RETURN]-tblBOneExport[[#This Row],[BMK_CROSS_EFFECT]]</f>
        <v>0</v>
      </c>
      <c r="AH50" s="16">
        <f>tblCalculation[[#This Row],[FIAttributable]]*(tblBOneExport[[#This Row],[BMK_RETURN_GOV_CARRY]])</f>
        <v>0</v>
      </c>
      <c r="AI50" s="16">
        <f>tblCalculation[[#This Row],[FIAttributable]]*tblBOneExport[[#This Row],[BMK_CREDIT_CARRY]]</f>
        <v>0</v>
      </c>
      <c r="AJ50" s="16">
        <f>tblCalculation[[#This Row],[FIAttributable]]*tblBOneExport[[#This Row],[BMK_TOTAL_CURVE]]</f>
        <v>0</v>
      </c>
      <c r="AK50" s="16">
        <f>tblCalculation[[#This Row],[FIAttributable]]*(tblBOneExport[[#This Row],[BMK_TOTAL_SPREAD]]+BMK_Credit_Adj*tblCalculation[[#This Row],[BmkDTSWeight]])</f>
        <v>0</v>
      </c>
      <c r="AL50" s="16">
        <f>tblCalculation[[#This Row],[FIAttributable]]*tblBOneExport[[#This Row],[BMK_MODEL_RESIDUAL]]-BMK_Credit_Adj*tblCalculation[[#This Row],[BmkDTSWeight]]</f>
        <v>0</v>
      </c>
      <c r="AM50" s="16">
        <f>IF(tblCalculation[[#This Row],[Level3]]="Forward Contracts",tblCalculation[[#This Row],[BMKContributionLocal]],0)</f>
        <v>0</v>
      </c>
      <c r="AN50" s="16">
        <f>tblBOneExport[[#This Row],[BMK_SPOT_CCY_RETURN]]+tblBOneExport[[#This Row],[BMK_CROSS_EFFECT]]</f>
        <v>0</v>
      </c>
    </row>
    <row r="51" spans="5:40" x14ac:dyDescent="0.25">
      <c r="E51" s="7" t="str">
        <f>tblBOneExport[[#This Row],[INSTRUMENT_CODE]]</f>
        <v>S00066716</v>
      </c>
      <c r="F51" s="7" t="str">
        <f>tblBOneExport[[#This Row],[INSTRUMENT]]</f>
        <v>KFW 5.625 25/08/17 EXCH</v>
      </c>
      <c r="G51" s="7" t="str">
        <f>IF(tblBOneExport[[#This Row],[ISIN]]&lt;&gt;"", tblBOneExport[[#This Row],[ISIN]],"")</f>
        <v>XS0138036099</v>
      </c>
      <c r="H51" s="7" t="str">
        <f>IF(tblCalculation[[#This Row],[B1Level2]]="CDS",tblBOneExport[[#This Row],[B1_TICKER]],IF(tblCalculation[[#This Row],[ISIN]]="","",INDEX(tblGetStaticData[Ticker],MATCH(tblCalculation[[#This Row],[ISIN]],tblGetStaticData[ISIN],0))))</f>
        <v>KFW</v>
      </c>
      <c r="I51" s="7" t="str">
        <f>IF(tblBOneExport[[#This Row],[INSTRUMENT_TYPE]]="Forward Contract","Forward Contract",tblBOneExport[LEVEL2])</f>
        <v>Non-Corporate</v>
      </c>
      <c r="J51" s="7" t="str">
        <f>IF(tblBOneExport[[#This Row],[INSTRUMENT_TYPE]]="Forward Contract","Forward Contract",tblBOneExport[[#This Row],[LEVEL3]])</f>
        <v>Foreign Agency</v>
      </c>
      <c r="K51" s="7" t="str">
        <f>INDEX(tblLvl2Mapping[],MATCH(tblCalculation[[#This Row],[B1Level2]]&amp;"_"&amp;tblCalculation[[#This Row],[B1Level3]],tblLvl2Mapping[B1Level2_B1Level3],0),2)</f>
        <v>Corporate</v>
      </c>
      <c r="L51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51" s="7">
        <f>INDEX(tblAttributable[],MATCH(tblCalculation[[#This Row],[Level3]],tblAttributable[Level3],0),2)</f>
        <v>1</v>
      </c>
      <c r="N51" s="16">
        <f>tblBOneExport[[#This Row],[PTF_WEIGHT]]</f>
        <v>9.748084E-4</v>
      </c>
      <c r="O51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4.0725965531239786E-5</v>
      </c>
      <c r="P51" s="48">
        <f>tblCalculation[[#This Row],[PtfDTS]]/SUM(tblCalculation[PtfDTS])</f>
        <v>4.938930791089361E-6</v>
      </c>
      <c r="Q51" s="16">
        <f>tblBOneExport[[#This Row],[PTF_CONTRIBUTION]]</f>
        <v>5.8930000000000002E-7</v>
      </c>
      <c r="R51" s="16">
        <f>tblCalculation[[#This Row],[PtfContributionBase]]-tblCalculation[[#This Row],[PtfCurrencyReturn]]</f>
        <v>5.8930000000000002E-7</v>
      </c>
      <c r="S51" s="16">
        <f>IF(tblBOneExport[[#This Row],[LEVEL1]]="Bonds",tblBOneExport[[#This Row],[PTF_GOV_CARRY]],"")</f>
        <v>1.9289999999999999E-7</v>
      </c>
      <c r="T51" s="16">
        <f>tblCalculation[[#This Row],[FIAttributable]]*tblBOneExport[[#This Row],[PTF_CREDIT_CARRY]]</f>
        <v>1.2118E-6</v>
      </c>
      <c r="U51" s="16">
        <f>tblCalculation[[#This Row],[FIAttributable]]*tblBOneExport[[#This Row],[PTF_TOTAL_CURVE]]</f>
        <v>8.9999999999999999E-10</v>
      </c>
      <c r="V51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-7.7059999999999998E-7</v>
      </c>
      <c r="W51" s="16">
        <f>IF(AND(tblCalculation[[#This Row],[Level3]]="Forward Contracts",tblBOneExport[[#This Row],[PTF_COST_OF_CARRY]]=0),tblBOneExport[[#This Row],[PTF_VALUATION]],0)</f>
        <v>0</v>
      </c>
      <c r="X51" s="16">
        <f>SUM(tblCalculation[[#This Row],[PtfTrading]:[PtfModelRes]])</f>
        <v>-4.5699999999999992E-8</v>
      </c>
      <c r="Y51" s="16">
        <f>tblCalculation[[#This Row],[FIAttributable]]*tblBOneExport[[#This Row],[PTF_TRADING]]</f>
        <v>1.751E-7</v>
      </c>
      <c r="Z51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51" s="16">
        <f>tblCalculation[[#This Row],[FIAttributable]]*tblBOneExport[[#This Row],[PTF_MODEL_RESIDUAL]]-PTF_Credit_Adj*tblCalculation[[#This Row],[PtfDTSWeight]]</f>
        <v>-2.2079999999999999E-7</v>
      </c>
      <c r="AB51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51" s="16">
        <f>tblBOneExport[[#This Row],[BMK_WEIGHT]]</f>
        <v>0</v>
      </c>
      <c r="AD51" s="78">
        <f>tblCalculation[[#This Row],[FIAttributable]]*SUMIFS(tblDTS[DTSContribution_BM],tblDTS[ISIN],tblCalculation[[#This Row],[ISIN]])</f>
        <v>0</v>
      </c>
      <c r="AE51" s="16">
        <f>IF(SUM(tblCalculation[BMKDTS])=0,0,tblCalculation[[#This Row],[BMKDTS]]/SUM(tblCalculation[BMKDTS]))</f>
        <v>0</v>
      </c>
      <c r="AF51" s="16">
        <f>tblBOneExport[[#This Row],[BMK_CONTRIBUTION]]</f>
        <v>0</v>
      </c>
      <c r="AG51" s="16">
        <f>tblCalculation[[#This Row],[BMKContributionBase]]-tblBOneExport[BMK_SPOT_CCY_RETURN]-tblBOneExport[[#This Row],[BMK_CROSS_EFFECT]]</f>
        <v>0</v>
      </c>
      <c r="AH51" s="16">
        <f>tblCalculation[[#This Row],[FIAttributable]]*(tblBOneExport[[#This Row],[BMK_RETURN_GOV_CARRY]])</f>
        <v>0</v>
      </c>
      <c r="AI51" s="16">
        <f>tblCalculation[[#This Row],[FIAttributable]]*tblBOneExport[[#This Row],[BMK_CREDIT_CARRY]]</f>
        <v>0</v>
      </c>
      <c r="AJ51" s="16">
        <f>tblCalculation[[#This Row],[FIAttributable]]*tblBOneExport[[#This Row],[BMK_TOTAL_CURVE]]</f>
        <v>0</v>
      </c>
      <c r="AK51" s="16">
        <f>tblCalculation[[#This Row],[FIAttributable]]*(tblBOneExport[[#This Row],[BMK_TOTAL_SPREAD]]+BMK_Credit_Adj*tblCalculation[[#This Row],[BmkDTSWeight]])</f>
        <v>0</v>
      </c>
      <c r="AL51" s="16">
        <f>tblCalculation[[#This Row],[FIAttributable]]*tblBOneExport[[#This Row],[BMK_MODEL_RESIDUAL]]-BMK_Credit_Adj*tblCalculation[[#This Row],[BmkDTSWeight]]</f>
        <v>0</v>
      </c>
      <c r="AM51" s="16">
        <f>IF(tblCalculation[[#This Row],[Level3]]="Forward Contracts",tblCalculation[[#This Row],[BMKContributionLocal]],0)</f>
        <v>0</v>
      </c>
      <c r="AN51" s="16">
        <f>tblBOneExport[[#This Row],[BMK_SPOT_CCY_RETURN]]+tblBOneExport[[#This Row],[BMK_CROSS_EFFECT]]</f>
        <v>0</v>
      </c>
    </row>
    <row r="52" spans="5:40" x14ac:dyDescent="0.25">
      <c r="E52" s="7" t="str">
        <f>tblBOneExport[[#This Row],[INSTRUMENT_CODE]]</f>
        <v>S00066896</v>
      </c>
      <c r="F52" s="7" t="str">
        <f>tblBOneExport[[#This Row],[INSTRUMENT]]</f>
        <v>KFW 6 07/12/28 EXCH</v>
      </c>
      <c r="G52" s="7" t="str">
        <f>IF(tblBOneExport[[#This Row],[ISIN]]&lt;&gt;"", tblBOneExport[[#This Row],[ISIN]],"")</f>
        <v>XS0138037733</v>
      </c>
      <c r="H52" s="7" t="str">
        <f>IF(tblCalculation[[#This Row],[B1Level2]]="CDS",tblBOneExport[[#This Row],[B1_TICKER]],IF(tblCalculation[[#This Row],[ISIN]]="","",INDEX(tblGetStaticData[Ticker],MATCH(tblCalculation[[#This Row],[ISIN]],tblGetStaticData[ISIN],0))))</f>
        <v>KFW</v>
      </c>
      <c r="I52" s="7" t="str">
        <f>IF(tblBOneExport[[#This Row],[INSTRUMENT_TYPE]]="Forward Contract","Forward Contract",tblBOneExport[LEVEL2])</f>
        <v>Non-Corporate</v>
      </c>
      <c r="J52" s="7" t="str">
        <f>IF(tblBOneExport[[#This Row],[INSTRUMENT_TYPE]]="Forward Contract","Forward Contract",tblBOneExport[[#This Row],[LEVEL3]])</f>
        <v>Foreign Agency</v>
      </c>
      <c r="K52" s="7" t="str">
        <f>INDEX(tblLvl2Mapping[],MATCH(tblCalculation[[#This Row],[B1Level2]]&amp;"_"&amp;tblCalculation[[#This Row],[B1Level3]],tblLvl2Mapping[B1Level2_B1Level3],0),2)</f>
        <v>Corporate</v>
      </c>
      <c r="L52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52" s="7">
        <f>INDEX(tblAttributable[],MATCH(tblCalculation[[#This Row],[Level3]],tblAttributable[Level3],0),2)</f>
        <v>1</v>
      </c>
      <c r="N52" s="16">
        <f>tblBOneExport[[#This Row],[PTF_WEIGHT]]</f>
        <v>5.2538526E-3</v>
      </c>
      <c r="O52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1.1219918495226281E-2</v>
      </c>
      <c r="P52" s="48">
        <f>tblCalculation[[#This Row],[PtfDTS]]/SUM(tblCalculation[PtfDTS])</f>
        <v>1.360665123754505E-3</v>
      </c>
      <c r="Q52" s="16">
        <f>tblBOneExport[[#This Row],[PTF_CONTRIBUTION]]</f>
        <v>1.031578E-4</v>
      </c>
      <c r="R52" s="16">
        <f>tblCalculation[[#This Row],[PtfContributionBase]]-tblCalculation[[#This Row],[PtfCurrencyReturn]]</f>
        <v>1.031578E-4</v>
      </c>
      <c r="S52" s="16">
        <f>IF(tblBOneExport[[#This Row],[LEVEL1]]="Bonds",tblBOneExport[[#This Row],[PTF_GOV_CARRY]],"")</f>
        <v>5.6590000000000004E-6</v>
      </c>
      <c r="T52" s="16">
        <f>tblCalculation[[#This Row],[FIAttributable]]*tblBOneExport[[#This Row],[PTF_CREDIT_CARRY]]</f>
        <v>7.8110000000000003E-7</v>
      </c>
      <c r="U52" s="16">
        <f>tblCalculation[[#This Row],[FIAttributable]]*tblBOneExport[[#This Row],[PTF_TOTAL_CURVE]]</f>
        <v>9.2644000000000003E-5</v>
      </c>
      <c r="V52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-4.1099999999999997E-8</v>
      </c>
      <c r="W52" s="16">
        <f>IF(AND(tblCalculation[[#This Row],[Level3]]="Forward Contracts",tblBOneExport[[#This Row],[PTF_COST_OF_CARRY]]=0),tblBOneExport[[#This Row],[PTF_VALUATION]],0)</f>
        <v>0</v>
      </c>
      <c r="X52" s="16">
        <f>SUM(tblCalculation[[#This Row],[PtfTrading]:[PtfModelRes]])</f>
        <v>4.1148E-6</v>
      </c>
      <c r="Y52" s="16">
        <f>tblCalculation[[#This Row],[FIAttributable]]*tblBOneExport[[#This Row],[PTF_TRADING]]</f>
        <v>0</v>
      </c>
      <c r="Z52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52" s="16">
        <f>tblCalculation[[#This Row],[FIAttributable]]*tblBOneExport[[#This Row],[PTF_MODEL_RESIDUAL]]-PTF_Credit_Adj*tblCalculation[[#This Row],[PtfDTSWeight]]</f>
        <v>4.1148E-6</v>
      </c>
      <c r="AB52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52" s="16">
        <f>tblBOneExport[[#This Row],[BMK_WEIGHT]]</f>
        <v>0</v>
      </c>
      <c r="AD52" s="78">
        <f>tblCalculation[[#This Row],[FIAttributable]]*SUMIFS(tblDTS[DTSContribution_BM],tblDTS[ISIN],tblCalculation[[#This Row],[ISIN]])</f>
        <v>1.480862268350679E-2</v>
      </c>
      <c r="AE52" s="16">
        <f>IF(SUM(tblCalculation[BMKDTS])=0,0,tblCalculation[[#This Row],[BMKDTS]]/SUM(tblCalculation[BMKDTS]))</f>
        <v>1.7600089681399159E-3</v>
      </c>
      <c r="AF52" s="16">
        <f>tblBOneExport[[#This Row],[BMK_CONTRIBUTION]]</f>
        <v>0</v>
      </c>
      <c r="AG52" s="16">
        <f>tblCalculation[[#This Row],[BMKContributionBase]]-tblBOneExport[BMK_SPOT_CCY_RETURN]-tblBOneExport[[#This Row],[BMK_CROSS_EFFECT]]</f>
        <v>0</v>
      </c>
      <c r="AH52" s="16">
        <f>tblCalculation[[#This Row],[FIAttributable]]*(tblBOneExport[[#This Row],[BMK_RETURN_GOV_CARRY]])</f>
        <v>0</v>
      </c>
      <c r="AI52" s="16">
        <f>tblCalculation[[#This Row],[FIAttributable]]*tblBOneExport[[#This Row],[BMK_CREDIT_CARRY]]</f>
        <v>0</v>
      </c>
      <c r="AJ52" s="16">
        <f>tblCalculation[[#This Row],[FIAttributable]]*tblBOneExport[[#This Row],[BMK_TOTAL_CURVE]]</f>
        <v>0</v>
      </c>
      <c r="AK52" s="16">
        <f>tblCalculation[[#This Row],[FIAttributable]]*(tblBOneExport[[#This Row],[BMK_TOTAL_SPREAD]]+BMK_Credit_Adj*tblCalculation[[#This Row],[BmkDTSWeight]])</f>
        <v>0</v>
      </c>
      <c r="AL52" s="16">
        <f>tblCalculation[[#This Row],[FIAttributable]]*tblBOneExport[[#This Row],[BMK_MODEL_RESIDUAL]]-BMK_Credit_Adj*tblCalculation[[#This Row],[BmkDTSWeight]]</f>
        <v>0</v>
      </c>
      <c r="AM52" s="16">
        <f>IF(tblCalculation[[#This Row],[Level3]]="Forward Contracts",tblCalculation[[#This Row],[BMKContributionLocal]],0)</f>
        <v>0</v>
      </c>
      <c r="AN52" s="16">
        <f>tblBOneExport[[#This Row],[BMK_SPOT_CCY_RETURN]]+tblBOneExport[[#This Row],[BMK_CROSS_EFFECT]]</f>
        <v>0</v>
      </c>
    </row>
    <row r="53" spans="5:40" x14ac:dyDescent="0.25">
      <c r="E53" s="7" t="str">
        <f>tblBOneExport[[#This Row],[INSTRUMENT_CODE]]</f>
        <v>S00066850</v>
      </c>
      <c r="F53" s="7" t="str">
        <f>tblBOneExport[[#This Row],[INSTRUMENT]]</f>
        <v>KFW 5 09/06/36 EXCH</v>
      </c>
      <c r="G53" s="7" t="str">
        <f>IF(tblBOneExport[[#This Row],[ISIN]]&lt;&gt;"", tblBOneExport[[#This Row],[ISIN]],"")</f>
        <v>XS0138039275</v>
      </c>
      <c r="H53" s="7" t="str">
        <f>IF(tblCalculation[[#This Row],[B1Level2]]="CDS",tblBOneExport[[#This Row],[B1_TICKER]],IF(tblCalculation[[#This Row],[ISIN]]="","",INDEX(tblGetStaticData[Ticker],MATCH(tblCalculation[[#This Row],[ISIN]],tblGetStaticData[ISIN],0))))</f>
        <v>KFW</v>
      </c>
      <c r="I53" s="7" t="str">
        <f>IF(tblBOneExport[[#This Row],[INSTRUMENT_TYPE]]="Forward Contract","Forward Contract",tblBOneExport[LEVEL2])</f>
        <v>Non-Corporate</v>
      </c>
      <c r="J53" s="7" t="str">
        <f>IF(tblBOneExport[[#This Row],[INSTRUMENT_TYPE]]="Forward Contract","Forward Contract",tblBOneExport[[#This Row],[LEVEL3]])</f>
        <v>Foreign Agency</v>
      </c>
      <c r="K53" s="7" t="str">
        <f>INDEX(tblLvl2Mapping[],MATCH(tblCalculation[[#This Row],[B1Level2]]&amp;"_"&amp;tblCalculation[[#This Row],[B1Level3]],tblLvl2Mapping[B1Level2_B1Level3],0),2)</f>
        <v>Corporate</v>
      </c>
      <c r="L53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53" s="7">
        <f>INDEX(tblAttributable[],MATCH(tblCalculation[[#This Row],[Level3]],tblAttributable[Level3],0),2)</f>
        <v>1</v>
      </c>
      <c r="N53" s="16">
        <f>tblBOneExport[[#This Row],[PTF_WEIGHT]]</f>
        <v>5.3241922999999998E-3</v>
      </c>
      <c r="O53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2.2929230243492898E-2</v>
      </c>
      <c r="P53" s="48">
        <f>tblCalculation[[#This Row],[PtfDTS]]/SUM(tblCalculation[PtfDTS])</f>
        <v>2.7806800842744075E-3</v>
      </c>
      <c r="Q53" s="16">
        <f>tblBOneExport[[#This Row],[PTF_CONTRIBUTION]]</f>
        <v>1.2362009999999999E-4</v>
      </c>
      <c r="R53" s="16">
        <f>tblCalculation[[#This Row],[PtfContributionBase]]-tblCalculation[[#This Row],[PtfCurrencyReturn]]</f>
        <v>1.2362009999999999E-4</v>
      </c>
      <c r="S53" s="16">
        <f>IF(tblBOneExport[[#This Row],[LEVEL1]]="Bonds",tblBOneExport[[#This Row],[PTF_GOV_CARRY]],"")</f>
        <v>7.2516000000000002E-6</v>
      </c>
      <c r="T53" s="16">
        <f>tblCalculation[[#This Row],[FIAttributable]]*tblBOneExport[[#This Row],[PTF_CREDIT_CARRY]]</f>
        <v>5.2649999999999996E-7</v>
      </c>
      <c r="U53" s="16">
        <f>tblCalculation[[#This Row],[FIAttributable]]*tblBOneExport[[#This Row],[PTF_TOTAL_CURVE]]</f>
        <v>7.3690399999999995E-5</v>
      </c>
      <c r="V53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3.7824100000000003E-5</v>
      </c>
      <c r="W53" s="16">
        <f>IF(AND(tblCalculation[[#This Row],[Level3]]="Forward Contracts",tblBOneExport[[#This Row],[PTF_COST_OF_CARRY]]=0),tblBOneExport[[#This Row],[PTF_VALUATION]],0)</f>
        <v>0</v>
      </c>
      <c r="X53" s="16">
        <f>SUM(tblCalculation[[#This Row],[PtfTrading]:[PtfModelRes]])</f>
        <v>4.3274999999999996E-6</v>
      </c>
      <c r="Y53" s="16">
        <f>tblCalculation[[#This Row],[FIAttributable]]*tblBOneExport[[#This Row],[PTF_TRADING]]</f>
        <v>0</v>
      </c>
      <c r="Z53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53" s="16">
        <f>tblCalculation[[#This Row],[FIAttributable]]*tblBOneExport[[#This Row],[PTF_MODEL_RESIDUAL]]-PTF_Credit_Adj*tblCalculation[[#This Row],[PtfDTSWeight]]</f>
        <v>4.3274999999999996E-6</v>
      </c>
      <c r="AB53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53" s="16">
        <f>tblBOneExport[[#This Row],[BMK_WEIGHT]]</f>
        <v>0</v>
      </c>
      <c r="AD53" s="78">
        <f>tblCalculation[[#This Row],[FIAttributable]]*SUMIFS(tblDTS[DTSContribution_BM],tblDTS[ISIN],tblCalculation[[#This Row],[ISIN]])</f>
        <v>3.0265493338330486E-2</v>
      </c>
      <c r="AE53" s="16">
        <f>IF(SUM(tblCalculation[BMKDTS])=0,0,tblCalculation[[#This Row],[BMKDTS]]/SUM(tblCalculation[BMKDTS]))</f>
        <v>3.5970623898715199E-3</v>
      </c>
      <c r="AF53" s="16">
        <f>tblBOneExport[[#This Row],[BMK_CONTRIBUTION]]</f>
        <v>0</v>
      </c>
      <c r="AG53" s="16">
        <f>tblCalculation[[#This Row],[BMKContributionBase]]-tblBOneExport[BMK_SPOT_CCY_RETURN]-tblBOneExport[[#This Row],[BMK_CROSS_EFFECT]]</f>
        <v>0</v>
      </c>
      <c r="AH53" s="16">
        <f>tblCalculation[[#This Row],[FIAttributable]]*(tblBOneExport[[#This Row],[BMK_RETURN_GOV_CARRY]])</f>
        <v>0</v>
      </c>
      <c r="AI53" s="16">
        <f>tblCalculation[[#This Row],[FIAttributable]]*tblBOneExport[[#This Row],[BMK_CREDIT_CARRY]]</f>
        <v>0</v>
      </c>
      <c r="AJ53" s="16">
        <f>tblCalculation[[#This Row],[FIAttributable]]*tblBOneExport[[#This Row],[BMK_TOTAL_CURVE]]</f>
        <v>0</v>
      </c>
      <c r="AK53" s="16">
        <f>tblCalculation[[#This Row],[FIAttributable]]*(tblBOneExport[[#This Row],[BMK_TOTAL_SPREAD]]+BMK_Credit_Adj*tblCalculation[[#This Row],[BmkDTSWeight]])</f>
        <v>0</v>
      </c>
      <c r="AL53" s="16">
        <f>tblCalculation[[#This Row],[FIAttributable]]*tblBOneExport[[#This Row],[BMK_MODEL_RESIDUAL]]-BMK_Credit_Adj*tblCalculation[[#This Row],[BmkDTSWeight]]</f>
        <v>0</v>
      </c>
      <c r="AM53" s="16">
        <f>IF(tblCalculation[[#This Row],[Level3]]="Forward Contracts",tblCalculation[[#This Row],[BMKContributionLocal]],0)</f>
        <v>0</v>
      </c>
      <c r="AN53" s="16">
        <f>tblBOneExport[[#This Row],[BMK_SPOT_CCY_RETURN]]+tblBOneExport[[#This Row],[BMK_CROSS_EFFECT]]</f>
        <v>0</v>
      </c>
    </row>
    <row r="54" spans="5:40" x14ac:dyDescent="0.25">
      <c r="E54" s="7" t="str">
        <f>tblBOneExport[[#This Row],[INSTRUMENT_CODE]]</f>
        <v>S00010374</v>
      </c>
      <c r="F54" s="7" t="str">
        <f>tblBOneExport[[#This Row],[INSTRUMENT]]</f>
        <v>SOUTHERN ELECTR 5.5 07/06/32</v>
      </c>
      <c r="G54" s="7" t="str">
        <f>IF(tblBOneExport[[#This Row],[ISIN]]&lt;&gt;"", tblBOneExport[[#This Row],[ISIN]],"")</f>
        <v>XS0139563166</v>
      </c>
      <c r="H54" s="7" t="str">
        <f>IF(tblCalculation[[#This Row],[B1Level2]]="CDS",tblBOneExport[[#This Row],[B1_TICKER]],IF(tblCalculation[[#This Row],[ISIN]]="","",INDEX(tblGetStaticData[Ticker],MATCH(tblCalculation[[#This Row],[ISIN]],tblGetStaticData[ISIN],0))))</f>
        <v>SSELN</v>
      </c>
      <c r="I54" s="7" t="str">
        <f>IF(tblBOneExport[[#This Row],[INSTRUMENT_TYPE]]="Forward Contract","Forward Contract",tblBOneExport[LEVEL2])</f>
        <v>Corporates</v>
      </c>
      <c r="J54" s="7" t="str">
        <f>IF(tblBOneExport[[#This Row],[INSTRUMENT_TYPE]]="Forward Contract","Forward Contract",tblBOneExport[[#This Row],[LEVEL3]])</f>
        <v>Utilities</v>
      </c>
      <c r="K54" s="7" t="str">
        <f>INDEX(tblLvl2Mapping[],MATCH(tblCalculation[[#This Row],[B1Level2]]&amp;"_"&amp;tblCalculation[[#This Row],[B1Level3]],tblLvl2Mapping[B1Level2_B1Level3],0),2)</f>
        <v>Corporate</v>
      </c>
      <c r="L54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54" s="7">
        <f>INDEX(tblAttributable[],MATCH(tblCalculation[[#This Row],[Level3]],tblAttributable[Level3],0),2)</f>
        <v>1</v>
      </c>
      <c r="N54" s="16">
        <f>tblBOneExport[[#This Row],[PTF_WEIGHT]]</f>
        <v>2.4053479999999999E-3</v>
      </c>
      <c r="O54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2.9963443329822839E-2</v>
      </c>
      <c r="P54" s="48">
        <f>tblCalculation[[#This Row],[PtfDTS]]/SUM(tblCalculation[PtfDTS])</f>
        <v>3.6337351598258864E-3</v>
      </c>
      <c r="Q54" s="16">
        <f>tblBOneExport[[#This Row],[PTF_CONTRIBUTION]]</f>
        <v>4.9629899999999997E-5</v>
      </c>
      <c r="R54" s="16">
        <f>tblCalculation[[#This Row],[PtfContributionBase]]-tblCalculation[[#This Row],[PtfCurrencyReturn]]</f>
        <v>4.9629899999999997E-5</v>
      </c>
      <c r="S54" s="16">
        <f>IF(tblBOneExport[[#This Row],[LEVEL1]]="Bonds",tblBOneExport[[#This Row],[PTF_GOV_CARRY]],"")</f>
        <v>2.9604000000000001E-6</v>
      </c>
      <c r="T54" s="16">
        <f>tblCalculation[[#This Row],[FIAttributable]]*tblBOneExport[[#This Row],[PTF_CREDIT_CARRY]]</f>
        <v>2.0810999999999999E-6</v>
      </c>
      <c r="U54" s="16">
        <f>tblCalculation[[#This Row],[FIAttributable]]*tblBOneExport[[#This Row],[PTF_TOTAL_CURVE]]</f>
        <v>4.70878E-5</v>
      </c>
      <c r="V54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-2.6587999999999999E-6</v>
      </c>
      <c r="W54" s="16">
        <f>IF(AND(tblCalculation[[#This Row],[Level3]]="Forward Contracts",tblBOneExport[[#This Row],[PTF_COST_OF_CARRY]]=0),tblBOneExport[[#This Row],[PTF_VALUATION]],0)</f>
        <v>0</v>
      </c>
      <c r="X54" s="16">
        <f>SUM(tblCalculation[[#This Row],[PtfTrading]:[PtfModelRes]])</f>
        <v>1.5940000000000001E-7</v>
      </c>
      <c r="Y54" s="16">
        <f>tblCalculation[[#This Row],[FIAttributable]]*tblBOneExport[[#This Row],[PTF_TRADING]]</f>
        <v>0</v>
      </c>
      <c r="Z54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54" s="16">
        <f>tblCalculation[[#This Row],[FIAttributable]]*tblBOneExport[[#This Row],[PTF_MODEL_RESIDUAL]]-PTF_Credit_Adj*tblCalculation[[#This Row],[PtfDTSWeight]]</f>
        <v>1.5940000000000001E-7</v>
      </c>
      <c r="AB54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54" s="16">
        <f>tblBOneExport[[#This Row],[BMK_WEIGHT]]</f>
        <v>0</v>
      </c>
      <c r="AD54" s="78">
        <f>tblCalculation[[#This Row],[FIAttributable]]*SUMIFS(tblDTS[DTSContribution_BM],tblDTS[ISIN],tblCalculation[[#This Row],[ISIN]])</f>
        <v>3.9548830725269678E-2</v>
      </c>
      <c r="AE54" s="16">
        <f>IF(SUM(tblCalculation[BMKDTS])=0,0,tblCalculation[[#This Row],[BMKDTS]]/SUM(tblCalculation[BMKDTS]))</f>
        <v>4.7003896475427522E-3</v>
      </c>
      <c r="AF54" s="16">
        <f>tblBOneExport[[#This Row],[BMK_CONTRIBUTION]]</f>
        <v>0</v>
      </c>
      <c r="AG54" s="16">
        <f>tblCalculation[[#This Row],[BMKContributionBase]]-tblBOneExport[BMK_SPOT_CCY_RETURN]-tblBOneExport[[#This Row],[BMK_CROSS_EFFECT]]</f>
        <v>0</v>
      </c>
      <c r="AH54" s="16">
        <f>tblCalculation[[#This Row],[FIAttributable]]*(tblBOneExport[[#This Row],[BMK_RETURN_GOV_CARRY]])</f>
        <v>0</v>
      </c>
      <c r="AI54" s="16">
        <f>tblCalculation[[#This Row],[FIAttributable]]*tblBOneExport[[#This Row],[BMK_CREDIT_CARRY]]</f>
        <v>0</v>
      </c>
      <c r="AJ54" s="16">
        <f>tblCalculation[[#This Row],[FIAttributable]]*tblBOneExport[[#This Row],[BMK_TOTAL_CURVE]]</f>
        <v>0</v>
      </c>
      <c r="AK54" s="16">
        <f>tblCalculation[[#This Row],[FIAttributable]]*(tblBOneExport[[#This Row],[BMK_TOTAL_SPREAD]]+BMK_Credit_Adj*tblCalculation[[#This Row],[BmkDTSWeight]])</f>
        <v>0</v>
      </c>
      <c r="AL54" s="16">
        <f>tblCalculation[[#This Row],[FIAttributable]]*tblBOneExport[[#This Row],[BMK_MODEL_RESIDUAL]]-BMK_Credit_Adj*tblCalculation[[#This Row],[BmkDTSWeight]]</f>
        <v>0</v>
      </c>
      <c r="AM54" s="16">
        <f>IF(tblCalculation[[#This Row],[Level3]]="Forward Contracts",tblCalculation[[#This Row],[BMKContributionLocal]],0)</f>
        <v>0</v>
      </c>
      <c r="AN54" s="16">
        <f>tblBOneExport[[#This Row],[BMK_SPOT_CCY_RETURN]]+tblBOneExport[[#This Row],[BMK_CROSS_EFFECT]]</f>
        <v>0</v>
      </c>
    </row>
    <row r="55" spans="5:40" x14ac:dyDescent="0.25">
      <c r="E55" s="7" t="str">
        <f>tblBOneExport[[#This Row],[INSTRUMENT_CODE]]</f>
        <v>S00011784</v>
      </c>
      <c r="F55" s="7" t="str">
        <f>tblBOneExport[[#This Row],[INSTRUMENT]]</f>
        <v>GLAXOSMITHKLINE 5.25 19/12/33 EMTN</v>
      </c>
      <c r="G55" s="7" t="str">
        <f>IF(tblBOneExport[[#This Row],[ISIN]]&lt;&gt;"", tblBOneExport[[#This Row],[ISIN]],"")</f>
        <v>XS0140516864</v>
      </c>
      <c r="H55" s="7" t="str">
        <f>IF(tblCalculation[[#This Row],[B1Level2]]="CDS",tblBOneExport[[#This Row],[B1_TICKER]],IF(tblCalculation[[#This Row],[ISIN]]="","",INDEX(tblGetStaticData[Ticker],MATCH(tblCalculation[[#This Row],[ISIN]],tblGetStaticData[ISIN],0))))</f>
        <v>GSK</v>
      </c>
      <c r="I55" s="7" t="str">
        <f>IF(tblBOneExport[[#This Row],[INSTRUMENT_TYPE]]="Forward Contract","Forward Contract",tblBOneExport[LEVEL2])</f>
        <v>Corporates</v>
      </c>
      <c r="J55" s="7" t="str">
        <f>IF(tblBOneExport[[#This Row],[INSTRUMENT_TYPE]]="Forward Contract","Forward Contract",tblBOneExport[[#This Row],[LEVEL3]])</f>
        <v>Industrials</v>
      </c>
      <c r="K55" s="7" t="str">
        <f>INDEX(tblLvl2Mapping[],MATCH(tblCalculation[[#This Row],[B1Level2]]&amp;"_"&amp;tblCalculation[[#This Row],[B1Level3]],tblLvl2Mapping[B1Level2_B1Level3],0),2)</f>
        <v>Corporate</v>
      </c>
      <c r="L55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55" s="7">
        <f>INDEX(tblAttributable[],MATCH(tblCalculation[[#This Row],[Level3]],tblAttributable[Level3],0),2)</f>
        <v>1</v>
      </c>
      <c r="N55" s="16">
        <f>tblBOneExport[[#This Row],[PTF_WEIGHT]]</f>
        <v>3.2549677999999999E-3</v>
      </c>
      <c r="O55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3.6808526936087917E-2</v>
      </c>
      <c r="P55" s="48">
        <f>tblCalculation[[#This Row],[PtfDTS]]/SUM(tblCalculation[PtfDTS])</f>
        <v>4.4638540716692623E-3</v>
      </c>
      <c r="Q55" s="16">
        <f>tblBOneExport[[#This Row],[PTF_CONTRIBUTION]]</f>
        <v>6.9133499999999998E-5</v>
      </c>
      <c r="R55" s="16">
        <f>tblCalculation[[#This Row],[PtfContributionBase]]-tblCalculation[[#This Row],[PtfCurrencyReturn]]</f>
        <v>6.9133499999999998E-5</v>
      </c>
      <c r="S55" s="16">
        <f>IF(tblBOneExport[[#This Row],[LEVEL1]]="Bonds",tblBOneExport[[#This Row],[PTF_GOV_CARRY]],"")</f>
        <v>4.1643000000000001E-6</v>
      </c>
      <c r="T55" s="16">
        <f>tblCalculation[[#This Row],[FIAttributable]]*tblBOneExport[[#This Row],[PTF_CREDIT_CARRY]]</f>
        <v>2.2206E-6</v>
      </c>
      <c r="U55" s="16">
        <f>tblCalculation[[#This Row],[FIAttributable]]*tblBOneExport[[#This Row],[PTF_TOTAL_CURVE]]</f>
        <v>5.8834800000000001E-5</v>
      </c>
      <c r="V55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3.2306E-6</v>
      </c>
      <c r="W55" s="16">
        <f>IF(AND(tblCalculation[[#This Row],[Level3]]="Forward Contracts",tblBOneExport[[#This Row],[PTF_COST_OF_CARRY]]=0),tblBOneExport[[#This Row],[PTF_VALUATION]],0)</f>
        <v>0</v>
      </c>
      <c r="X55" s="16">
        <f>SUM(tblCalculation[[#This Row],[PtfTrading]:[PtfModelRes]])</f>
        <v>6.8319999999999998E-7</v>
      </c>
      <c r="Y55" s="16">
        <f>tblCalculation[[#This Row],[FIAttributable]]*tblBOneExport[[#This Row],[PTF_TRADING]]</f>
        <v>0</v>
      </c>
      <c r="Z55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55" s="16">
        <f>tblCalculation[[#This Row],[FIAttributable]]*tblBOneExport[[#This Row],[PTF_MODEL_RESIDUAL]]-PTF_Credit_Adj*tblCalculation[[#This Row],[PtfDTSWeight]]</f>
        <v>6.8319999999999998E-7</v>
      </c>
      <c r="AB55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55" s="16">
        <f>tblBOneExport[[#This Row],[BMK_WEIGHT]]</f>
        <v>0</v>
      </c>
      <c r="AD55" s="78">
        <f>tblCalculation[[#This Row],[FIAttributable]]*SUMIFS(tblDTS[DTSContribution_BM],tblDTS[ISIN],tblCalculation[[#This Row],[ISIN]])</f>
        <v>4.857987085840005E-2</v>
      </c>
      <c r="AE55" s="16">
        <f>IF(SUM(tblCalculation[BMKDTS])=0,0,tblCalculation[[#This Row],[BMKDTS]]/SUM(tblCalculation[BMKDTS]))</f>
        <v>5.7737313056865445E-3</v>
      </c>
      <c r="AF55" s="16">
        <f>tblBOneExport[[#This Row],[BMK_CONTRIBUTION]]</f>
        <v>0</v>
      </c>
      <c r="AG55" s="16">
        <f>tblCalculation[[#This Row],[BMKContributionBase]]-tblBOneExport[BMK_SPOT_CCY_RETURN]-tblBOneExport[[#This Row],[BMK_CROSS_EFFECT]]</f>
        <v>0</v>
      </c>
      <c r="AH55" s="16">
        <f>tblCalculation[[#This Row],[FIAttributable]]*(tblBOneExport[[#This Row],[BMK_RETURN_GOV_CARRY]])</f>
        <v>0</v>
      </c>
      <c r="AI55" s="16">
        <f>tblCalculation[[#This Row],[FIAttributable]]*tblBOneExport[[#This Row],[BMK_CREDIT_CARRY]]</f>
        <v>0</v>
      </c>
      <c r="AJ55" s="16">
        <f>tblCalculation[[#This Row],[FIAttributable]]*tblBOneExport[[#This Row],[BMK_TOTAL_CURVE]]</f>
        <v>0</v>
      </c>
      <c r="AK55" s="16">
        <f>tblCalculation[[#This Row],[FIAttributable]]*(tblBOneExport[[#This Row],[BMK_TOTAL_SPREAD]]+BMK_Credit_Adj*tblCalculation[[#This Row],[BmkDTSWeight]])</f>
        <v>0</v>
      </c>
      <c r="AL55" s="16">
        <f>tblCalculation[[#This Row],[FIAttributable]]*tblBOneExport[[#This Row],[BMK_MODEL_RESIDUAL]]-BMK_Credit_Adj*tblCalculation[[#This Row],[BmkDTSWeight]]</f>
        <v>0</v>
      </c>
      <c r="AM55" s="16">
        <f>IF(tblCalculation[[#This Row],[Level3]]="Forward Contracts",tblCalculation[[#This Row],[BMKContributionLocal]],0)</f>
        <v>0</v>
      </c>
      <c r="AN55" s="16">
        <f>tblBOneExport[[#This Row],[BMK_SPOT_CCY_RETURN]]+tblBOneExport[[#This Row],[BMK_CROSS_EFFECT]]</f>
        <v>0</v>
      </c>
    </row>
    <row r="56" spans="5:40" x14ac:dyDescent="0.25">
      <c r="E56" s="7" t="str">
        <f>tblBOneExport[[#This Row],[INSTRUMENT_CODE]]</f>
        <v>S00075804</v>
      </c>
      <c r="F56" s="7" t="str">
        <f>tblBOneExport[[#This Row],[INSTRUMENT]]</f>
        <v>INNOGY FINANCE 6.25 03/06/30 EMTN</v>
      </c>
      <c r="G56" s="7" t="str">
        <f>IF(tblBOneExport[[#This Row],[ISIN]]&lt;&gt;"", tblBOneExport[[#This Row],[ISIN]],"")</f>
        <v>XS0147048762</v>
      </c>
      <c r="H56" s="7" t="str">
        <f>IF(tblCalculation[[#This Row],[B1Level2]]="CDS",tblBOneExport[[#This Row],[B1_TICKER]],IF(tblCalculation[[#This Row],[ISIN]]="","",INDEX(tblGetStaticData[Ticker],MATCH(tblCalculation[[#This Row],[ISIN]],tblGetStaticData[ISIN],0))))</f>
        <v>IGYGY</v>
      </c>
      <c r="I56" s="7" t="str">
        <f>IF(tblBOneExport[[#This Row],[INSTRUMENT_TYPE]]="Forward Contract","Forward Contract",tblBOneExport[LEVEL2])</f>
        <v>Corporates</v>
      </c>
      <c r="J56" s="7" t="str">
        <f>IF(tblBOneExport[[#This Row],[INSTRUMENT_TYPE]]="Forward Contract","Forward Contract",tblBOneExport[[#This Row],[LEVEL3]])</f>
        <v>Utilities</v>
      </c>
      <c r="K56" s="7" t="str">
        <f>INDEX(tblLvl2Mapping[],MATCH(tblCalculation[[#This Row],[B1Level2]]&amp;"_"&amp;tblCalculation[[#This Row],[B1Level3]],tblLvl2Mapping[B1Level2_B1Level3],0),2)</f>
        <v>Corporate</v>
      </c>
      <c r="L56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56" s="7">
        <f>INDEX(tblAttributable[],MATCH(tblCalculation[[#This Row],[Level3]],tblAttributable[Level3],0),2)</f>
        <v>1</v>
      </c>
      <c r="N56" s="16">
        <f>tblBOneExport[[#This Row],[PTF_WEIGHT]]</f>
        <v>3.2499636E-3</v>
      </c>
      <c r="O56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4.2268976852550842E-2</v>
      </c>
      <c r="P56" s="48">
        <f>tblCalculation[[#This Row],[PtfDTS]]/SUM(tblCalculation[PtfDTS])</f>
        <v>5.1260552957245404E-3</v>
      </c>
      <c r="Q56" s="16">
        <f>tblBOneExport[[#This Row],[PTF_CONTRIBUTION]]</f>
        <v>5.8225900000000001E-5</v>
      </c>
      <c r="R56" s="16">
        <f>tblCalculation[[#This Row],[PtfContributionBase]]-tblCalculation[[#This Row],[PtfCurrencyReturn]]</f>
        <v>5.8225900000000001E-5</v>
      </c>
      <c r="S56" s="16">
        <f>IF(tblBOneExport[[#This Row],[LEVEL1]]="Bonds",tblBOneExport[[#This Row],[PTF_GOV_CARRY]],"")</f>
        <v>3.7828E-6</v>
      </c>
      <c r="T56" s="16">
        <f>tblCalculation[[#This Row],[FIAttributable]]*tblBOneExport[[#This Row],[PTF_CREDIT_CARRY]]</f>
        <v>3.4251E-6</v>
      </c>
      <c r="U56" s="16">
        <f>tblCalculation[[#This Row],[FIAttributable]]*tblBOneExport[[#This Row],[PTF_TOTAL_CURVE]]</f>
        <v>5.81821E-5</v>
      </c>
      <c r="V56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-5.8862999999999999E-6</v>
      </c>
      <c r="W56" s="16">
        <f>IF(AND(tblCalculation[[#This Row],[Level3]]="Forward Contracts",tblBOneExport[[#This Row],[PTF_COST_OF_CARRY]]=0),tblBOneExport[[#This Row],[PTF_VALUATION]],0)</f>
        <v>0</v>
      </c>
      <c r="X56" s="16">
        <f>SUM(tblCalculation[[#This Row],[PtfTrading]:[PtfModelRes]])</f>
        <v>-1.2778000000000001E-6</v>
      </c>
      <c r="Y56" s="16">
        <f>tblCalculation[[#This Row],[FIAttributable]]*tblBOneExport[[#This Row],[PTF_TRADING]]</f>
        <v>0</v>
      </c>
      <c r="Z56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56" s="16">
        <f>tblCalculation[[#This Row],[FIAttributable]]*tblBOneExport[[#This Row],[PTF_MODEL_RESIDUAL]]-PTF_Credit_Adj*tblCalculation[[#This Row],[PtfDTSWeight]]</f>
        <v>-1.2778000000000001E-6</v>
      </c>
      <c r="AB56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56" s="16">
        <f>tblBOneExport[[#This Row],[BMK_WEIGHT]]</f>
        <v>0</v>
      </c>
      <c r="AD56" s="78">
        <f>tblCalculation[[#This Row],[FIAttributable]]*SUMIFS(tblDTS[DTSContribution_BM],tblDTS[ISIN],tblCalculation[[#This Row],[ISIN]])</f>
        <v>5.5784611471935516E-2</v>
      </c>
      <c r="AE56" s="16">
        <f>IF(SUM(tblCalculation[BMKDTS])=0,0,tblCalculation[[#This Row],[BMKDTS]]/SUM(tblCalculation[BMKDTS]))</f>
        <v>6.6300167526151905E-3</v>
      </c>
      <c r="AF56" s="16">
        <f>tblBOneExport[[#This Row],[BMK_CONTRIBUTION]]</f>
        <v>0</v>
      </c>
      <c r="AG56" s="16">
        <f>tblCalculation[[#This Row],[BMKContributionBase]]-tblBOneExport[BMK_SPOT_CCY_RETURN]-tblBOneExport[[#This Row],[BMK_CROSS_EFFECT]]</f>
        <v>0</v>
      </c>
      <c r="AH56" s="16">
        <f>tblCalculation[[#This Row],[FIAttributable]]*(tblBOneExport[[#This Row],[BMK_RETURN_GOV_CARRY]])</f>
        <v>0</v>
      </c>
      <c r="AI56" s="16">
        <f>tblCalculation[[#This Row],[FIAttributable]]*tblBOneExport[[#This Row],[BMK_CREDIT_CARRY]]</f>
        <v>0</v>
      </c>
      <c r="AJ56" s="16">
        <f>tblCalculation[[#This Row],[FIAttributable]]*tblBOneExport[[#This Row],[BMK_TOTAL_CURVE]]</f>
        <v>0</v>
      </c>
      <c r="AK56" s="16">
        <f>tblCalculation[[#This Row],[FIAttributable]]*(tblBOneExport[[#This Row],[BMK_TOTAL_SPREAD]]+BMK_Credit_Adj*tblCalculation[[#This Row],[BmkDTSWeight]])</f>
        <v>0</v>
      </c>
      <c r="AL56" s="16">
        <f>tblCalculation[[#This Row],[FIAttributable]]*tblBOneExport[[#This Row],[BMK_MODEL_RESIDUAL]]-BMK_Credit_Adj*tblCalculation[[#This Row],[BmkDTSWeight]]</f>
        <v>0</v>
      </c>
      <c r="AM56" s="16">
        <f>IF(tblCalculation[[#This Row],[Level3]]="Forward Contracts",tblCalculation[[#This Row],[BMKContributionLocal]],0)</f>
        <v>0</v>
      </c>
      <c r="AN56" s="16">
        <f>tblBOneExport[[#This Row],[BMK_SPOT_CCY_RETURN]]+tblBOneExport[[#This Row],[BMK_CROSS_EFFECT]]</f>
        <v>0</v>
      </c>
    </row>
    <row r="57" spans="5:40" x14ac:dyDescent="0.25">
      <c r="E57" s="7" t="str">
        <f>tblBOneExport[[#This Row],[INSTRUMENT_CODE]]</f>
        <v>S00077473</v>
      </c>
      <c r="F57" s="7" t="str">
        <f>tblBOneExport[[#This Row],[INSTRUMENT]]</f>
        <v>E.ON INTL FIN BV 6.375 07/06/32 EMTN</v>
      </c>
      <c r="G57" s="7" t="str">
        <f>IF(tblBOneExport[[#This Row],[ISIN]]&lt;&gt;"", tblBOneExport[[#This Row],[ISIN]],"")</f>
        <v>XS0148579666</v>
      </c>
      <c r="H57" s="7" t="str">
        <f>IF(tblCalculation[[#This Row],[B1Level2]]="CDS",tblBOneExport[[#This Row],[B1_TICKER]],IF(tblCalculation[[#This Row],[ISIN]]="","",INDEX(tblGetStaticData[Ticker],MATCH(tblCalculation[[#This Row],[ISIN]],tblGetStaticData[ISIN],0))))</f>
        <v>EOANGR</v>
      </c>
      <c r="I57" s="7" t="str">
        <f>IF(tblBOneExport[[#This Row],[INSTRUMENT_TYPE]]="Forward Contract","Forward Contract",tblBOneExport[LEVEL2])</f>
        <v>Corporates</v>
      </c>
      <c r="J57" s="7" t="str">
        <f>IF(tblBOneExport[[#This Row],[INSTRUMENT_TYPE]]="Forward Contract","Forward Contract",tblBOneExport[[#This Row],[LEVEL3]])</f>
        <v>Utilities</v>
      </c>
      <c r="K57" s="7" t="str">
        <f>INDEX(tblLvl2Mapping[],MATCH(tblCalculation[[#This Row],[B1Level2]]&amp;"_"&amp;tblCalculation[[#This Row],[B1Level3]],tblLvl2Mapping[B1Level2_B1Level3],0),2)</f>
        <v>Corporate</v>
      </c>
      <c r="L57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57" s="7">
        <f>INDEX(tblAttributable[],MATCH(tblCalculation[[#This Row],[Level3]],tblAttributable[Level3],0),2)</f>
        <v>1</v>
      </c>
      <c r="N57" s="16">
        <f>tblBOneExport[[#This Row],[PTF_WEIGHT]]</f>
        <v>3.3446512000000002E-3</v>
      </c>
      <c r="O57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5.1423377763920745E-2</v>
      </c>
      <c r="P57" s="48">
        <f>tblCalculation[[#This Row],[PtfDTS]]/SUM(tblCalculation[PtfDTS])</f>
        <v>6.2362303878401512E-3</v>
      </c>
      <c r="Q57" s="16">
        <f>tblBOneExport[[#This Row],[PTF_CONTRIBUTION]]</f>
        <v>6.4496499999999995E-5</v>
      </c>
      <c r="R57" s="16">
        <f>tblCalculation[[#This Row],[PtfContributionBase]]-tblCalculation[[#This Row],[PtfCurrencyReturn]]</f>
        <v>6.4496499999999995E-5</v>
      </c>
      <c r="S57" s="16">
        <f>IF(tblBOneExport[[#This Row],[LEVEL1]]="Bonds",tblBOneExport[[#This Row],[PTF_GOV_CARRY]],"")</f>
        <v>4.1042999999999998E-6</v>
      </c>
      <c r="T57" s="16">
        <f>tblCalculation[[#This Row],[FIAttributable]]*tblBOneExport[[#This Row],[PTF_CREDIT_CARRY]]</f>
        <v>3.7355000000000001E-6</v>
      </c>
      <c r="U57" s="16">
        <f>tblCalculation[[#This Row],[FIAttributable]]*tblBOneExport[[#This Row],[PTF_TOTAL_CURVE]]</f>
        <v>6.3301799999999998E-5</v>
      </c>
      <c r="V57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-5.0270999999999997E-6</v>
      </c>
      <c r="W57" s="16">
        <f>IF(AND(tblCalculation[[#This Row],[Level3]]="Forward Contracts",tblBOneExport[[#This Row],[PTF_COST_OF_CARRY]]=0),tblBOneExport[[#This Row],[PTF_VALUATION]],0)</f>
        <v>0</v>
      </c>
      <c r="X57" s="16">
        <f>SUM(tblCalculation[[#This Row],[PtfTrading]:[PtfModelRes]])</f>
        <v>-1.618E-6</v>
      </c>
      <c r="Y57" s="16">
        <f>tblCalculation[[#This Row],[FIAttributable]]*tblBOneExport[[#This Row],[PTF_TRADING]]</f>
        <v>0</v>
      </c>
      <c r="Z57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57" s="16">
        <f>tblCalculation[[#This Row],[FIAttributable]]*tblBOneExport[[#This Row],[PTF_MODEL_RESIDUAL]]-PTF_Credit_Adj*tblCalculation[[#This Row],[PtfDTSWeight]]</f>
        <v>-1.618E-6</v>
      </c>
      <c r="AB57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57" s="16">
        <f>tblBOneExport[[#This Row],[BMK_WEIGHT]]</f>
        <v>0</v>
      </c>
      <c r="AD57" s="78">
        <f>tblCalculation[[#This Row],[FIAttributable]]*SUMIFS(tblDTS[DTSContribution_BM],tblDTS[ISIN],tblCalculation[[#This Row],[ISIN]])</f>
        <v>6.7869180567569715E-2</v>
      </c>
      <c r="AE57" s="16">
        <f>IF(SUM(tblCalculation[BMKDTS])=0,0,tblCalculation[[#This Row],[BMKDTS]]/SUM(tblCalculation[BMKDTS]))</f>
        <v>8.0662711861967228E-3</v>
      </c>
      <c r="AF57" s="16">
        <f>tblBOneExport[[#This Row],[BMK_CONTRIBUTION]]</f>
        <v>0</v>
      </c>
      <c r="AG57" s="16">
        <f>tblCalculation[[#This Row],[BMKContributionBase]]-tblBOneExport[BMK_SPOT_CCY_RETURN]-tblBOneExport[[#This Row],[BMK_CROSS_EFFECT]]</f>
        <v>0</v>
      </c>
      <c r="AH57" s="16">
        <f>tblCalculation[[#This Row],[FIAttributable]]*(tblBOneExport[[#This Row],[BMK_RETURN_GOV_CARRY]])</f>
        <v>0</v>
      </c>
      <c r="AI57" s="16">
        <f>tblCalculation[[#This Row],[FIAttributable]]*tblBOneExport[[#This Row],[BMK_CREDIT_CARRY]]</f>
        <v>0</v>
      </c>
      <c r="AJ57" s="16">
        <f>tblCalculation[[#This Row],[FIAttributable]]*tblBOneExport[[#This Row],[BMK_TOTAL_CURVE]]</f>
        <v>0</v>
      </c>
      <c r="AK57" s="16">
        <f>tblCalculation[[#This Row],[FIAttributable]]*(tblBOneExport[[#This Row],[BMK_TOTAL_SPREAD]]+BMK_Credit_Adj*tblCalculation[[#This Row],[BmkDTSWeight]])</f>
        <v>0</v>
      </c>
      <c r="AL57" s="16">
        <f>tblCalculation[[#This Row],[FIAttributable]]*tblBOneExport[[#This Row],[BMK_MODEL_RESIDUAL]]-BMK_Credit_Adj*tblCalculation[[#This Row],[BmkDTSWeight]]</f>
        <v>0</v>
      </c>
      <c r="AM57" s="16">
        <f>IF(tblCalculation[[#This Row],[Level3]]="Forward Contracts",tblCalculation[[#This Row],[BMKContributionLocal]],0)</f>
        <v>0</v>
      </c>
      <c r="AN57" s="16">
        <f>tblBOneExport[[#This Row],[BMK_SPOT_CCY_RETURN]]+tblBOneExport[[#This Row],[BMK_CROSS_EFFECT]]</f>
        <v>0</v>
      </c>
    </row>
    <row r="58" spans="5:40" x14ac:dyDescent="0.25">
      <c r="E58" s="7" t="str">
        <f>tblBOneExport[[#This Row],[INSTRUMENT_CODE]]</f>
        <v>S00021611</v>
      </c>
      <c r="F58" s="7" t="str">
        <f>tblBOneExport[[#This Row],[INSTRUMENT]]</f>
        <v>LCR FINANCE PLC 5.1 07/03/51</v>
      </c>
      <c r="G58" s="7" t="str">
        <f>IF(tblBOneExport[[#This Row],[ISIN]]&lt;&gt;"", tblBOneExport[[#This Row],[ISIN]],"")</f>
        <v>XS0150670551</v>
      </c>
      <c r="H58" s="7" t="str">
        <f>IF(tblCalculation[[#This Row],[B1Level2]]="CDS",tblBOneExport[[#This Row],[B1_TICKER]],IF(tblCalculation[[#This Row],[ISIN]]="","",INDEX(tblGetStaticData[Ticker],MATCH(tblCalculation[[#This Row],[ISIN]],tblGetStaticData[ISIN],0))))</f>
        <v>LCRFIN</v>
      </c>
      <c r="I58" s="7" t="str">
        <f>IF(tblBOneExport[[#This Row],[INSTRUMENT_TYPE]]="Forward Contract","Forward Contract",tblBOneExport[LEVEL2])</f>
        <v>Non-Corporate</v>
      </c>
      <c r="J58" s="7" t="str">
        <f>IF(tblBOneExport[[#This Row],[INSTRUMENT_TYPE]]="Forward Contract","Forward Contract",tblBOneExport[[#This Row],[LEVEL3]])</f>
        <v>Foreign Agency</v>
      </c>
      <c r="K58" s="7" t="str">
        <f>INDEX(tblLvl2Mapping[],MATCH(tblCalculation[[#This Row],[B1Level2]]&amp;"_"&amp;tblCalculation[[#This Row],[B1Level3]],tblLvl2Mapping[B1Level2_B1Level3],0),2)</f>
        <v>Corporate</v>
      </c>
      <c r="L58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58" s="7">
        <f>INDEX(tblAttributable[],MATCH(tblCalculation[[#This Row],[Level3]],tblAttributable[Level3],0),2)</f>
        <v>1</v>
      </c>
      <c r="N58" s="16">
        <f>tblBOneExport[[#This Row],[PTF_WEIGHT]]</f>
        <v>6.1830408999999998E-3</v>
      </c>
      <c r="O58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7.1893363807192856E-2</v>
      </c>
      <c r="P58" s="48">
        <f>tblCalculation[[#This Row],[PtfDTS]]/SUM(tblCalculation[PtfDTS])</f>
        <v>8.7186723150851943E-3</v>
      </c>
      <c r="Q58" s="16">
        <f>tblBOneExport[[#This Row],[PTF_CONTRIBUTION]]</f>
        <v>2.0912679999999999E-4</v>
      </c>
      <c r="R58" s="16">
        <f>tblCalculation[[#This Row],[PtfContributionBase]]-tblCalculation[[#This Row],[PtfCurrencyReturn]]</f>
        <v>2.0912679999999999E-4</v>
      </c>
      <c r="S58" s="16">
        <f>IF(tblBOneExport[[#This Row],[LEVEL1]]="Bonds",tblBOneExport[[#This Row],[PTF_GOV_CARRY]],"")</f>
        <v>8.9151000000000004E-6</v>
      </c>
      <c r="T58" s="16">
        <f>tblCalculation[[#This Row],[FIAttributable]]*tblBOneExport[[#This Row],[PTF_CREDIT_CARRY]]</f>
        <v>1.5854999999999999E-6</v>
      </c>
      <c r="U58" s="16">
        <f>tblCalculation[[#This Row],[FIAttributable]]*tblBOneExport[[#This Row],[PTF_TOTAL_CURVE]]</f>
        <v>1.9108769999999999E-4</v>
      </c>
      <c r="V58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1.6171299999999999E-5</v>
      </c>
      <c r="W58" s="16">
        <f>IF(AND(tblCalculation[[#This Row],[Level3]]="Forward Contracts",tblBOneExport[[#This Row],[PTF_COST_OF_CARRY]]=0),tblBOneExport[[#This Row],[PTF_VALUATION]],0)</f>
        <v>0</v>
      </c>
      <c r="X58" s="16">
        <f>SUM(tblCalculation[[#This Row],[PtfTrading]:[PtfModelRes]])</f>
        <v>-8.6327999999999997E-6</v>
      </c>
      <c r="Y58" s="16">
        <f>tblCalculation[[#This Row],[FIAttributable]]*tblBOneExport[[#This Row],[PTF_TRADING]]</f>
        <v>0</v>
      </c>
      <c r="Z58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58" s="16">
        <f>tblCalculation[[#This Row],[FIAttributable]]*tblBOneExport[[#This Row],[PTF_MODEL_RESIDUAL]]-PTF_Credit_Adj*tblCalculation[[#This Row],[PtfDTSWeight]]</f>
        <v>-8.6327999999999997E-6</v>
      </c>
      <c r="AB58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58" s="16">
        <f>tblBOneExport[[#This Row],[BMK_WEIGHT]]</f>
        <v>0</v>
      </c>
      <c r="AD58" s="78">
        <f>tblCalculation[[#This Row],[FIAttributable]]*SUMIFS(tblDTS[DTSContribution_BM],tblDTS[ISIN],tblCalculation[[#This Row],[ISIN]])</f>
        <v>9.4891082514046043E-2</v>
      </c>
      <c r="AE58" s="16">
        <f>IF(SUM(tblCalculation[BMKDTS])=0,0,tblCalculation[[#This Row],[BMKDTS]]/SUM(tblCalculation[BMKDTS]))</f>
        <v>1.1277831827482068E-2</v>
      </c>
      <c r="AF58" s="16">
        <f>tblBOneExport[[#This Row],[BMK_CONTRIBUTION]]</f>
        <v>0</v>
      </c>
      <c r="AG58" s="16">
        <f>tblCalculation[[#This Row],[BMKContributionBase]]-tblBOneExport[BMK_SPOT_CCY_RETURN]-tblBOneExport[[#This Row],[BMK_CROSS_EFFECT]]</f>
        <v>0</v>
      </c>
      <c r="AH58" s="16">
        <f>tblCalculation[[#This Row],[FIAttributable]]*(tblBOneExport[[#This Row],[BMK_RETURN_GOV_CARRY]])</f>
        <v>0</v>
      </c>
      <c r="AI58" s="16">
        <f>tblCalculation[[#This Row],[FIAttributable]]*tblBOneExport[[#This Row],[BMK_CREDIT_CARRY]]</f>
        <v>0</v>
      </c>
      <c r="AJ58" s="16">
        <f>tblCalculation[[#This Row],[FIAttributable]]*tblBOneExport[[#This Row],[BMK_TOTAL_CURVE]]</f>
        <v>0</v>
      </c>
      <c r="AK58" s="16">
        <f>tblCalculation[[#This Row],[FIAttributable]]*(tblBOneExport[[#This Row],[BMK_TOTAL_SPREAD]]+BMK_Credit_Adj*tblCalculation[[#This Row],[BmkDTSWeight]])</f>
        <v>0</v>
      </c>
      <c r="AL58" s="16">
        <f>tblCalculation[[#This Row],[FIAttributable]]*tblBOneExport[[#This Row],[BMK_MODEL_RESIDUAL]]-BMK_Credit_Adj*tblCalculation[[#This Row],[BmkDTSWeight]]</f>
        <v>0</v>
      </c>
      <c r="AM58" s="16">
        <f>IF(tblCalculation[[#This Row],[Level3]]="Forward Contracts",tblCalculation[[#This Row],[BMKContributionLocal]],0)</f>
        <v>0</v>
      </c>
      <c r="AN58" s="16">
        <f>tblBOneExport[[#This Row],[BMK_SPOT_CCY_RETURN]]+tblBOneExport[[#This Row],[BMK_CROSS_EFFECT]]</f>
        <v>0</v>
      </c>
    </row>
    <row r="59" spans="5:40" x14ac:dyDescent="0.25">
      <c r="E59" s="7" t="str">
        <f>tblBOneExport[[#This Row],[INSTRUMENT_CODE]]</f>
        <v>S00023137</v>
      </c>
      <c r="F59" s="7" t="str">
        <f>tblBOneExport[[#This Row],[INSTRUMENT]]</f>
        <v>ANGLIAN WAT FIN 6.293 30/07/30 A5</v>
      </c>
      <c r="G59" s="7" t="str">
        <f>IF(tblBOneExport[[#This Row],[ISIN]]&lt;&gt;"", tblBOneExport[[#This Row],[ISIN]],"")</f>
        <v>XS0151948980</v>
      </c>
      <c r="H59" s="7" t="str">
        <f>IF(tblCalculation[[#This Row],[B1Level2]]="CDS",tblBOneExport[[#This Row],[B1_TICKER]],IF(tblCalculation[[#This Row],[ISIN]]="","",INDEX(tblGetStaticData[Ticker],MATCH(tblCalculation[[#This Row],[ISIN]],tblGetStaticData[ISIN],0))))</f>
        <v>AWLN</v>
      </c>
      <c r="I59" s="7" t="str">
        <f>IF(tblBOneExport[[#This Row],[INSTRUMENT_TYPE]]="Forward Contract","Forward Contract",tblBOneExport[LEVEL2])</f>
        <v>Corporates</v>
      </c>
      <c r="J59" s="7" t="str">
        <f>IF(tblBOneExport[[#This Row],[INSTRUMENT_TYPE]]="Forward Contract","Forward Contract",tblBOneExport[[#This Row],[LEVEL3]])</f>
        <v>Utilities</v>
      </c>
      <c r="K59" s="7" t="str">
        <f>INDEX(tblLvl2Mapping[],MATCH(tblCalculation[[#This Row],[B1Level2]]&amp;"_"&amp;tblCalculation[[#This Row],[B1Level3]],tblLvl2Mapping[B1Level2_B1Level3],0),2)</f>
        <v>Corporate</v>
      </c>
      <c r="L59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59" s="7">
        <f>INDEX(tblAttributable[],MATCH(tblCalculation[[#This Row],[Level3]],tblAttributable[Level3],0),2)</f>
        <v>1</v>
      </c>
      <c r="N59" s="16">
        <f>tblBOneExport[[#This Row],[PTF_WEIGHT]]</f>
        <v>8.2827360000000006E-3</v>
      </c>
      <c r="O59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7.6572417318206507E-2</v>
      </c>
      <c r="P59" s="48">
        <f>tblCalculation[[#This Row],[PtfDTS]]/SUM(tblCalculation[PtfDTS])</f>
        <v>9.2861118136275539E-3</v>
      </c>
      <c r="Q59" s="16">
        <f>tblBOneExport[[#This Row],[PTF_CONTRIBUTION]]</f>
        <v>1.580277E-4</v>
      </c>
      <c r="R59" s="16">
        <f>tblCalculation[[#This Row],[PtfContributionBase]]-tblCalculation[[#This Row],[PtfCurrencyReturn]]</f>
        <v>1.580277E-4</v>
      </c>
      <c r="S59" s="16">
        <f>IF(tblBOneExport[[#This Row],[LEVEL1]]="Bonds",tblBOneExport[[#This Row],[PTF_GOV_CARRY]],"")</f>
        <v>9.7209000000000004E-6</v>
      </c>
      <c r="T59" s="16">
        <f>tblCalculation[[#This Row],[FIAttributable]]*tblBOneExport[[#This Row],[PTF_CREDIT_CARRY]]</f>
        <v>5.8688999999999998E-6</v>
      </c>
      <c r="U59" s="16">
        <f>tblCalculation[[#This Row],[FIAttributable]]*tblBOneExport[[#This Row],[PTF_TOTAL_CURVE]]</f>
        <v>1.5134720000000001E-4</v>
      </c>
      <c r="V59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-2.7226E-6</v>
      </c>
      <c r="W59" s="16">
        <f>IF(AND(tblCalculation[[#This Row],[Level3]]="Forward Contracts",tblBOneExport[[#This Row],[PTF_COST_OF_CARRY]]=0),tblBOneExport[[#This Row],[PTF_VALUATION]],0)</f>
        <v>0</v>
      </c>
      <c r="X59" s="16">
        <f>SUM(tblCalculation[[#This Row],[PtfTrading]:[PtfModelRes]])</f>
        <v>-6.1867000000000004E-6</v>
      </c>
      <c r="Y59" s="16">
        <f>tblCalculation[[#This Row],[FIAttributable]]*tblBOneExport[[#This Row],[PTF_TRADING]]</f>
        <v>0</v>
      </c>
      <c r="Z59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59" s="16">
        <f>tblCalculation[[#This Row],[FIAttributable]]*tblBOneExport[[#This Row],[PTF_MODEL_RESIDUAL]]-PTF_Credit_Adj*tblCalculation[[#This Row],[PtfDTSWeight]]</f>
        <v>-6.1867000000000004E-6</v>
      </c>
      <c r="AB59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59" s="16">
        <f>tblBOneExport[[#This Row],[BMK_WEIGHT]]</f>
        <v>0</v>
      </c>
      <c r="AD59" s="78">
        <f>tblCalculation[[#This Row],[FIAttributable]]*SUMIFS(tblDTS[DTSContribution_BM],tblDTS[ISIN],tblCalculation[[#This Row],[ISIN]])</f>
        <v>0.10106549570993613</v>
      </c>
      <c r="AE59" s="16">
        <f>IF(SUM(tblCalculation[BMKDTS])=0,0,tblCalculation[[#This Row],[BMKDTS]]/SUM(tblCalculation[BMKDTS]))</f>
        <v>1.2011662571233222E-2</v>
      </c>
      <c r="AF59" s="16">
        <f>tblBOneExport[[#This Row],[BMK_CONTRIBUTION]]</f>
        <v>0</v>
      </c>
      <c r="AG59" s="16">
        <f>tblCalculation[[#This Row],[BMKContributionBase]]-tblBOneExport[BMK_SPOT_CCY_RETURN]-tblBOneExport[[#This Row],[BMK_CROSS_EFFECT]]</f>
        <v>0</v>
      </c>
      <c r="AH59" s="16">
        <f>tblCalculation[[#This Row],[FIAttributable]]*(tblBOneExport[[#This Row],[BMK_RETURN_GOV_CARRY]])</f>
        <v>0</v>
      </c>
      <c r="AI59" s="16">
        <f>tblCalculation[[#This Row],[FIAttributable]]*tblBOneExport[[#This Row],[BMK_CREDIT_CARRY]]</f>
        <v>0</v>
      </c>
      <c r="AJ59" s="16">
        <f>tblCalculation[[#This Row],[FIAttributable]]*tblBOneExport[[#This Row],[BMK_TOTAL_CURVE]]</f>
        <v>0</v>
      </c>
      <c r="AK59" s="16">
        <f>tblCalculation[[#This Row],[FIAttributable]]*(tblBOneExport[[#This Row],[BMK_TOTAL_SPREAD]]+BMK_Credit_Adj*tblCalculation[[#This Row],[BmkDTSWeight]])</f>
        <v>0</v>
      </c>
      <c r="AL59" s="16">
        <f>tblCalculation[[#This Row],[FIAttributable]]*tblBOneExport[[#This Row],[BMK_MODEL_RESIDUAL]]-BMK_Credit_Adj*tblCalculation[[#This Row],[BmkDTSWeight]]</f>
        <v>0</v>
      </c>
      <c r="AM59" s="16">
        <f>IF(tblCalculation[[#This Row],[Level3]]="Forward Contracts",tblCalculation[[#This Row],[BMKContributionLocal]],0)</f>
        <v>0</v>
      </c>
      <c r="AN59" s="16">
        <f>tblBOneExport[[#This Row],[BMK_SPOT_CCY_RETURN]]+tblBOneExport[[#This Row],[BMK_CROSS_EFFECT]]</f>
        <v>0</v>
      </c>
    </row>
    <row r="60" spans="5:40" x14ac:dyDescent="0.25">
      <c r="E60" s="7" t="str">
        <f>tblBOneExport[[#This Row],[INSTRUMENT_CODE]]</f>
        <v>S00081226</v>
      </c>
      <c r="F60" s="7" t="str">
        <f>tblBOneExport[[#This Row],[INSTRUMENT]]</f>
        <v>GEN ELEC CAP CRP 5.625 16/09/31 EMTN</v>
      </c>
      <c r="G60" s="7" t="str">
        <f>IF(tblBOneExport[[#This Row],[ISIN]]&lt;&gt;"", tblBOneExport[[#This Row],[ISIN]],"")</f>
        <v>XS0154681737</v>
      </c>
      <c r="H60" s="7" t="str">
        <f>IF(tblCalculation[[#This Row],[B1Level2]]="CDS",tblBOneExport[[#This Row],[B1_TICKER]],IF(tblCalculation[[#This Row],[ISIN]]="","",INDEX(tblGetStaticData[Ticker],MATCH(tblCalculation[[#This Row],[ISIN]],tblGetStaticData[ISIN],0))))</f>
        <v>GE</v>
      </c>
      <c r="I60" s="7" t="str">
        <f>IF(tblBOneExport[[#This Row],[INSTRUMENT_TYPE]]="Forward Contract","Forward Contract",tblBOneExport[LEVEL2])</f>
        <v>Corporates</v>
      </c>
      <c r="J60" s="7" t="str">
        <f>IF(tblBOneExport[[#This Row],[INSTRUMENT_TYPE]]="Forward Contract","Forward Contract",tblBOneExport[[#This Row],[LEVEL3]])</f>
        <v>Financial Institutions</v>
      </c>
      <c r="K60" s="7" t="str">
        <f>INDEX(tblLvl2Mapping[],MATCH(tblCalculation[[#This Row],[B1Level2]]&amp;"_"&amp;tblCalculation[[#This Row],[B1Level3]],tblLvl2Mapping[B1Level2_B1Level3],0),2)</f>
        <v>Corporate</v>
      </c>
      <c r="L60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60" s="7">
        <f>INDEX(tblAttributable[],MATCH(tblCalculation[[#This Row],[Level3]],tblAttributable[Level3],0),2)</f>
        <v>1</v>
      </c>
      <c r="N60" s="16">
        <f>tblBOneExport[[#This Row],[PTF_WEIGHT]]</f>
        <v>8.1742932999999997E-3</v>
      </c>
      <c r="O60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7.2108251840807838E-2</v>
      </c>
      <c r="P60" s="48">
        <f>tblCalculation[[#This Row],[PtfDTS]]/SUM(tblCalculation[PtfDTS])</f>
        <v>8.7447322773724877E-3</v>
      </c>
      <c r="Q60" s="16">
        <f>tblBOneExport[[#This Row],[PTF_CONTRIBUTION]]</f>
        <v>1.5232050000000001E-4</v>
      </c>
      <c r="R60" s="16">
        <f>tblCalculation[[#This Row],[PtfContributionBase]]-tblCalculation[[#This Row],[PtfCurrencyReturn]]</f>
        <v>1.5232050000000001E-4</v>
      </c>
      <c r="S60" s="16">
        <f>IF(tblBOneExport[[#This Row],[LEVEL1]]="Bonds",tblBOneExport[[#This Row],[PTF_GOV_CARRY]],"")</f>
        <v>9.8980999999999993E-6</v>
      </c>
      <c r="T60" s="16">
        <f>tblCalculation[[#This Row],[FIAttributable]]*tblBOneExport[[#This Row],[PTF_CREDIT_CARRY]]</f>
        <v>5.1290000000000004E-6</v>
      </c>
      <c r="U60" s="16">
        <f>tblCalculation[[#This Row],[FIAttributable]]*tblBOneExport[[#This Row],[PTF_TOTAL_CURVE]]</f>
        <v>1.5306830000000001E-4</v>
      </c>
      <c r="V60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-6.4795999999999998E-6</v>
      </c>
      <c r="W60" s="16">
        <f>IF(AND(tblCalculation[[#This Row],[Level3]]="Forward Contracts",tblBOneExport[[#This Row],[PTF_COST_OF_CARRY]]=0),tblBOneExport[[#This Row],[PTF_VALUATION]],0)</f>
        <v>0</v>
      </c>
      <c r="X60" s="16">
        <f>SUM(tblCalculation[[#This Row],[PtfTrading]:[PtfModelRes]])</f>
        <v>-9.2952000000000004E-6</v>
      </c>
      <c r="Y60" s="16">
        <f>tblCalculation[[#This Row],[FIAttributable]]*tblBOneExport[[#This Row],[PTF_TRADING]]</f>
        <v>0</v>
      </c>
      <c r="Z60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60" s="16">
        <f>tblCalculation[[#This Row],[FIAttributable]]*tblBOneExport[[#This Row],[PTF_MODEL_RESIDUAL]]-PTF_Credit_Adj*tblCalculation[[#This Row],[PtfDTSWeight]]</f>
        <v>-9.2952000000000004E-6</v>
      </c>
      <c r="AB60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60" s="16">
        <f>tblBOneExport[[#This Row],[BMK_WEIGHT]]</f>
        <v>0</v>
      </c>
      <c r="AD60" s="78">
        <f>tblCalculation[[#This Row],[FIAttributable]]*SUMIFS(tblDTS[DTSContribution_BM],tblDTS[ISIN],tblCalculation[[#This Row],[ISIN]])</f>
        <v>0</v>
      </c>
      <c r="AE60" s="16">
        <f>IF(SUM(tblCalculation[BMKDTS])=0,0,tblCalculation[[#This Row],[BMKDTS]]/SUM(tblCalculation[BMKDTS]))</f>
        <v>0</v>
      </c>
      <c r="AF60" s="16">
        <f>tblBOneExport[[#This Row],[BMK_CONTRIBUTION]]</f>
        <v>0</v>
      </c>
      <c r="AG60" s="16">
        <f>tblCalculation[[#This Row],[BMKContributionBase]]-tblBOneExport[BMK_SPOT_CCY_RETURN]-tblBOneExport[[#This Row],[BMK_CROSS_EFFECT]]</f>
        <v>0</v>
      </c>
      <c r="AH60" s="16">
        <f>tblCalculation[[#This Row],[FIAttributable]]*(tblBOneExport[[#This Row],[BMK_RETURN_GOV_CARRY]])</f>
        <v>0</v>
      </c>
      <c r="AI60" s="16">
        <f>tblCalculation[[#This Row],[FIAttributable]]*tblBOneExport[[#This Row],[BMK_CREDIT_CARRY]]</f>
        <v>0</v>
      </c>
      <c r="AJ60" s="16">
        <f>tblCalculation[[#This Row],[FIAttributable]]*tblBOneExport[[#This Row],[BMK_TOTAL_CURVE]]</f>
        <v>0</v>
      </c>
      <c r="AK60" s="16">
        <f>tblCalculation[[#This Row],[FIAttributable]]*(tblBOneExport[[#This Row],[BMK_TOTAL_SPREAD]]+BMK_Credit_Adj*tblCalculation[[#This Row],[BmkDTSWeight]])</f>
        <v>0</v>
      </c>
      <c r="AL60" s="16">
        <f>tblCalculation[[#This Row],[FIAttributable]]*tblBOneExport[[#This Row],[BMK_MODEL_RESIDUAL]]-BMK_Credit_Adj*tblCalculation[[#This Row],[BmkDTSWeight]]</f>
        <v>0</v>
      </c>
      <c r="AM60" s="16">
        <f>IF(tblCalculation[[#This Row],[Level3]]="Forward Contracts",tblCalculation[[#This Row],[BMKContributionLocal]],0)</f>
        <v>0</v>
      </c>
      <c r="AN60" s="16">
        <f>tblBOneExport[[#This Row],[BMK_SPOT_CCY_RETURN]]+tblBOneExport[[#This Row],[BMK_CROSS_EFFECT]]</f>
        <v>0</v>
      </c>
    </row>
    <row r="61" spans="5:40" x14ac:dyDescent="0.25">
      <c r="E61" s="7" t="str">
        <f>tblBOneExport[[#This Row],[INSTRUMENT_CODE]]</f>
        <v>S00084090</v>
      </c>
      <c r="F61" s="7" t="str">
        <f>tblBOneExport[[#This Row],[INSTRUMENT]]</f>
        <v>PROCTER &amp; GAMBLE 5.25 19/01/33</v>
      </c>
      <c r="G61" s="7" t="str">
        <f>IF(tblBOneExport[[#This Row],[ISIN]]&lt;&gt;"", tblBOneExport[[#This Row],[ISIN]],"")</f>
        <v>XS0158603083</v>
      </c>
      <c r="H61" s="7" t="str">
        <f>IF(tblCalculation[[#This Row],[B1Level2]]="CDS",tblBOneExport[[#This Row],[B1_TICKER]],IF(tblCalculation[[#This Row],[ISIN]]="","",INDEX(tblGetStaticData[Ticker],MATCH(tblCalculation[[#This Row],[ISIN]],tblGetStaticData[ISIN],0))))</f>
        <v>PG</v>
      </c>
      <c r="I61" s="7" t="str">
        <f>IF(tblBOneExport[[#This Row],[INSTRUMENT_TYPE]]="Forward Contract","Forward Contract",tblBOneExport[LEVEL2])</f>
        <v>Corporates</v>
      </c>
      <c r="J61" s="7" t="str">
        <f>IF(tblBOneExport[[#This Row],[INSTRUMENT_TYPE]]="Forward Contract","Forward Contract",tblBOneExport[[#This Row],[LEVEL3]])</f>
        <v>Industrials</v>
      </c>
      <c r="K61" s="7" t="str">
        <f>INDEX(tblLvl2Mapping[],MATCH(tblCalculation[[#This Row],[B1Level2]]&amp;"_"&amp;tblCalculation[[#This Row],[B1Level3]],tblLvl2Mapping[B1Level2_B1Level3],0),2)</f>
        <v>Corporate</v>
      </c>
      <c r="L61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61" s="7">
        <f>INDEX(tblAttributable[],MATCH(tblCalculation[[#This Row],[Level3]],tblAttributable[Level3],0),2)</f>
        <v>1</v>
      </c>
      <c r="N61" s="16">
        <f>tblBOneExport[[#This Row],[PTF_WEIGHT]]</f>
        <v>4.9029034999999999E-3</v>
      </c>
      <c r="O61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3.9565429418639088E-2</v>
      </c>
      <c r="P61" s="48">
        <f>tblCalculation[[#This Row],[PtfDTS]]/SUM(tblCalculation[PtfDTS])</f>
        <v>4.7981899279587363E-3</v>
      </c>
      <c r="Q61" s="16">
        <f>tblBOneExport[[#This Row],[PTF_CONTRIBUTION]]</f>
        <v>8.5681300000000002E-5</v>
      </c>
      <c r="R61" s="16">
        <f>tblCalculation[[#This Row],[PtfContributionBase]]-tblCalculation[[#This Row],[PtfCurrencyReturn]]</f>
        <v>8.5681300000000002E-5</v>
      </c>
      <c r="S61" s="16">
        <f>IF(tblBOneExport[[#This Row],[LEVEL1]]="Bonds",tblBOneExport[[#This Row],[PTF_GOV_CARRY]],"")</f>
        <v>6.1523999999999997E-6</v>
      </c>
      <c r="T61" s="16">
        <f>tblCalculation[[#This Row],[FIAttributable]]*tblBOneExport[[#This Row],[PTF_CREDIT_CARRY]]</f>
        <v>2.4354999999999998E-6</v>
      </c>
      <c r="U61" s="16">
        <f>tblCalculation[[#This Row],[FIAttributable]]*tblBOneExport[[#This Row],[PTF_TOTAL_CURVE]]</f>
        <v>9.4652299999999995E-5</v>
      </c>
      <c r="V61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-1.26946E-5</v>
      </c>
      <c r="W61" s="16">
        <f>IF(AND(tblCalculation[[#This Row],[Level3]]="Forward Contracts",tblBOneExport[[#This Row],[PTF_COST_OF_CARRY]]=0),tblBOneExport[[#This Row],[PTF_VALUATION]],0)</f>
        <v>0</v>
      </c>
      <c r="X61" s="16">
        <f>SUM(tblCalculation[[#This Row],[PtfTrading]:[PtfModelRes]])</f>
        <v>-4.8643000000000002E-6</v>
      </c>
      <c r="Y61" s="16">
        <f>tblCalculation[[#This Row],[FIAttributable]]*tblBOneExport[[#This Row],[PTF_TRADING]]</f>
        <v>0</v>
      </c>
      <c r="Z61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61" s="16">
        <f>tblCalculation[[#This Row],[FIAttributable]]*tblBOneExport[[#This Row],[PTF_MODEL_RESIDUAL]]-PTF_Credit_Adj*tblCalculation[[#This Row],[PtfDTSWeight]]</f>
        <v>-4.8643000000000002E-6</v>
      </c>
      <c r="AB61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61" s="16">
        <f>tblBOneExport[[#This Row],[BMK_WEIGHT]]</f>
        <v>0</v>
      </c>
      <c r="AD61" s="78">
        <f>tblCalculation[[#This Row],[FIAttributable]]*SUMIFS(tblDTS[DTSContribution_BM],tblDTS[ISIN],tblCalculation[[#This Row],[ISIN]])</f>
        <v>5.222424833287944E-2</v>
      </c>
      <c r="AE61" s="16">
        <f>IF(SUM(tblCalculation[BMKDTS])=0,0,tblCalculation[[#This Row],[BMKDTS]]/SUM(tblCalculation[BMKDTS]))</f>
        <v>6.2068665928401981E-3</v>
      </c>
      <c r="AF61" s="16">
        <f>tblBOneExport[[#This Row],[BMK_CONTRIBUTION]]</f>
        <v>0</v>
      </c>
      <c r="AG61" s="16">
        <f>tblCalculation[[#This Row],[BMKContributionBase]]-tblBOneExport[BMK_SPOT_CCY_RETURN]-tblBOneExport[[#This Row],[BMK_CROSS_EFFECT]]</f>
        <v>0</v>
      </c>
      <c r="AH61" s="16">
        <f>tblCalculation[[#This Row],[FIAttributable]]*(tblBOneExport[[#This Row],[BMK_RETURN_GOV_CARRY]])</f>
        <v>0</v>
      </c>
      <c r="AI61" s="16">
        <f>tblCalculation[[#This Row],[FIAttributable]]*tblBOneExport[[#This Row],[BMK_CREDIT_CARRY]]</f>
        <v>0</v>
      </c>
      <c r="AJ61" s="16">
        <f>tblCalculation[[#This Row],[FIAttributable]]*tblBOneExport[[#This Row],[BMK_TOTAL_CURVE]]</f>
        <v>0</v>
      </c>
      <c r="AK61" s="16">
        <f>tblCalculation[[#This Row],[FIAttributable]]*(tblBOneExport[[#This Row],[BMK_TOTAL_SPREAD]]+BMK_Credit_Adj*tblCalculation[[#This Row],[BmkDTSWeight]])</f>
        <v>0</v>
      </c>
      <c r="AL61" s="16">
        <f>tblCalculation[[#This Row],[FIAttributable]]*tblBOneExport[[#This Row],[BMK_MODEL_RESIDUAL]]-BMK_Credit_Adj*tblCalculation[[#This Row],[BmkDTSWeight]]</f>
        <v>0</v>
      </c>
      <c r="AM61" s="16">
        <f>IF(tblCalculation[[#This Row],[Level3]]="Forward Contracts",tblCalculation[[#This Row],[BMKContributionLocal]],0)</f>
        <v>0</v>
      </c>
      <c r="AN61" s="16">
        <f>tblBOneExport[[#This Row],[BMK_SPOT_CCY_RETURN]]+tblBOneExport[[#This Row],[BMK_CROSS_EFFECT]]</f>
        <v>0</v>
      </c>
    </row>
    <row r="62" spans="5:40" x14ac:dyDescent="0.25">
      <c r="E62" s="7" t="str">
        <f>tblBOneExport[[#This Row],[INSTRUMENT_CODE]]</f>
        <v>S00027491</v>
      </c>
      <c r="F62" s="7" t="str">
        <f>tblBOneExport[[#This Row],[INSTRUMENT]]</f>
        <v>UNITED UTIL WAT 5.625 20/12/27 EMTN</v>
      </c>
      <c r="G62" s="7" t="str">
        <f>IF(tblBOneExport[[#This Row],[ISIN]]&lt;&gt;"", tblBOneExport[[#This Row],[ISIN]],"")</f>
        <v>XS0159728236</v>
      </c>
      <c r="H62" s="7" t="str">
        <f>IF(tblCalculation[[#This Row],[B1Level2]]="CDS",tblBOneExport[[#This Row],[B1_TICKER]],IF(tblCalculation[[#This Row],[ISIN]]="","",INDEX(tblGetStaticData[Ticker],MATCH(tblCalculation[[#This Row],[ISIN]],tblGetStaticData[ISIN],0))))</f>
        <v>UU</v>
      </c>
      <c r="I62" s="7" t="str">
        <f>IF(tblBOneExport[[#This Row],[INSTRUMENT_TYPE]]="Forward Contract","Forward Contract",tblBOneExport[LEVEL2])</f>
        <v>Corporates</v>
      </c>
      <c r="J62" s="7" t="str">
        <f>IF(tblBOneExport[[#This Row],[INSTRUMENT_TYPE]]="Forward Contract","Forward Contract",tblBOneExport[[#This Row],[LEVEL3]])</f>
        <v>Utilities</v>
      </c>
      <c r="K62" s="7" t="str">
        <f>INDEX(tblLvl2Mapping[],MATCH(tblCalculation[[#This Row],[B1Level2]]&amp;"_"&amp;tblCalculation[[#This Row],[B1Level3]],tblLvl2Mapping[B1Level2_B1Level3],0),2)</f>
        <v>Corporate</v>
      </c>
      <c r="L62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62" s="7">
        <f>INDEX(tblAttributable[],MATCH(tblCalculation[[#This Row],[Level3]],tblAttributable[Level3],0),2)</f>
        <v>1</v>
      </c>
      <c r="N62" s="16">
        <f>tblBOneExport[[#This Row],[PTF_WEIGHT]]</f>
        <v>8.9553819E-3</v>
      </c>
      <c r="O62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5.7445773827244292E-2</v>
      </c>
      <c r="P62" s="48">
        <f>tblCalculation[[#This Row],[PtfDTS]]/SUM(tblCalculation[PtfDTS])</f>
        <v>6.9665801036858828E-3</v>
      </c>
      <c r="Q62" s="16">
        <f>tblBOneExport[[#This Row],[PTF_CONTRIBUTION]]</f>
        <v>1.5164289999999999E-4</v>
      </c>
      <c r="R62" s="16">
        <f>tblCalculation[[#This Row],[PtfContributionBase]]-tblCalculation[[#This Row],[PtfCurrencyReturn]]</f>
        <v>1.5164289999999999E-4</v>
      </c>
      <c r="S62" s="16">
        <f>IF(tblBOneExport[[#This Row],[LEVEL1]]="Bonds",tblBOneExport[[#This Row],[PTF_GOV_CARRY]],"")</f>
        <v>8.6587999999999992E-6</v>
      </c>
      <c r="T62" s="16">
        <f>tblCalculation[[#This Row],[FIAttributable]]*tblBOneExport[[#This Row],[PTF_CREDIT_CARRY]]</f>
        <v>6.1538000000000003E-6</v>
      </c>
      <c r="U62" s="16">
        <f>tblCalculation[[#This Row],[FIAttributable]]*tblBOneExport[[#This Row],[PTF_TOTAL_CURVE]]</f>
        <v>1.4935069999999999E-4</v>
      </c>
      <c r="V62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-3.5543E-6</v>
      </c>
      <c r="W62" s="16">
        <f>IF(AND(tblCalculation[[#This Row],[Level3]]="Forward Contracts",tblBOneExport[[#This Row],[PTF_COST_OF_CARRY]]=0),tblBOneExport[[#This Row],[PTF_VALUATION]],0)</f>
        <v>0</v>
      </c>
      <c r="X62" s="16">
        <f>SUM(tblCalculation[[#This Row],[PtfTrading]:[PtfModelRes]])</f>
        <v>-8.9661000000000004E-6</v>
      </c>
      <c r="Y62" s="16">
        <f>tblCalculation[[#This Row],[FIAttributable]]*tblBOneExport[[#This Row],[PTF_TRADING]]</f>
        <v>0</v>
      </c>
      <c r="Z62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62" s="16">
        <f>tblCalculation[[#This Row],[FIAttributable]]*tblBOneExport[[#This Row],[PTF_MODEL_RESIDUAL]]-PTF_Credit_Adj*tblCalculation[[#This Row],[PtfDTSWeight]]</f>
        <v>-8.9661000000000004E-6</v>
      </c>
      <c r="AB62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62" s="16">
        <f>tblBOneExport[[#This Row],[BMK_WEIGHT]]</f>
        <v>0</v>
      </c>
      <c r="AD62" s="78">
        <f>tblCalculation[[#This Row],[FIAttributable]]*SUMIFS(tblDTS[DTSContribution_BM],tblDTS[ISIN],tblCalculation[[#This Row],[ISIN]])</f>
        <v>7.581766318193614E-2</v>
      </c>
      <c r="AE62" s="16">
        <f>IF(SUM(tblCalculation[BMKDTS])=0,0,tblCalculation[[#This Row],[BMKDTS]]/SUM(tblCalculation[BMKDTS]))</f>
        <v>9.0109505789649578E-3</v>
      </c>
      <c r="AF62" s="16">
        <f>tblBOneExport[[#This Row],[BMK_CONTRIBUTION]]</f>
        <v>0</v>
      </c>
      <c r="AG62" s="16">
        <f>tblCalculation[[#This Row],[BMKContributionBase]]-tblBOneExport[BMK_SPOT_CCY_RETURN]-tblBOneExport[[#This Row],[BMK_CROSS_EFFECT]]</f>
        <v>0</v>
      </c>
      <c r="AH62" s="16">
        <f>tblCalculation[[#This Row],[FIAttributable]]*(tblBOneExport[[#This Row],[BMK_RETURN_GOV_CARRY]])</f>
        <v>0</v>
      </c>
      <c r="AI62" s="16">
        <f>tblCalculation[[#This Row],[FIAttributable]]*tblBOneExport[[#This Row],[BMK_CREDIT_CARRY]]</f>
        <v>0</v>
      </c>
      <c r="AJ62" s="16">
        <f>tblCalculation[[#This Row],[FIAttributable]]*tblBOneExport[[#This Row],[BMK_TOTAL_CURVE]]</f>
        <v>0</v>
      </c>
      <c r="AK62" s="16">
        <f>tblCalculation[[#This Row],[FIAttributable]]*(tblBOneExport[[#This Row],[BMK_TOTAL_SPREAD]]+BMK_Credit_Adj*tblCalculation[[#This Row],[BmkDTSWeight]])</f>
        <v>0</v>
      </c>
      <c r="AL62" s="16">
        <f>tblCalculation[[#This Row],[FIAttributable]]*tblBOneExport[[#This Row],[BMK_MODEL_RESIDUAL]]-BMK_Credit_Adj*tblCalculation[[#This Row],[BmkDTSWeight]]</f>
        <v>0</v>
      </c>
      <c r="AM62" s="16">
        <f>IF(tblCalculation[[#This Row],[Level3]]="Forward Contracts",tblCalculation[[#This Row],[BMKContributionLocal]],0)</f>
        <v>0</v>
      </c>
      <c r="AN62" s="16">
        <f>tblBOneExport[[#This Row],[BMK_SPOT_CCY_RETURN]]+tblBOneExport[[#This Row],[BMK_CROSS_EFFECT]]</f>
        <v>0</v>
      </c>
    </row>
    <row r="63" spans="5:40" x14ac:dyDescent="0.25">
      <c r="E63" s="7" t="str">
        <f>tblBOneExport[[#This Row],[INSTRUMENT_CODE]]</f>
        <v>S00027553</v>
      </c>
      <c r="F63" s="7" t="str">
        <f>tblBOneExport[[#This Row],[INSTRUMENT]]</f>
        <v>NORTHUMBRIAN WTR 5.625 29/04/33</v>
      </c>
      <c r="G63" s="7" t="str">
        <f>IF(tblBOneExport[[#This Row],[ISIN]]&lt;&gt;"", tblBOneExport[[#This Row],[ISIN]],"")</f>
        <v>XS0159898153</v>
      </c>
      <c r="H63" s="7" t="str">
        <f>IF(tblCalculation[[#This Row],[B1Level2]]="CDS",tblBOneExport[[#This Row],[B1_TICKER]],IF(tblCalculation[[#This Row],[ISIN]]="","",INDEX(tblGetStaticData[Ticker],MATCH(tblCalculation[[#This Row],[ISIN]],tblGetStaticData[ISIN],0))))</f>
        <v>NWGLN</v>
      </c>
      <c r="I63" s="7" t="str">
        <f>IF(tblBOneExport[[#This Row],[INSTRUMENT_TYPE]]="Forward Contract","Forward Contract",tblBOneExport[LEVEL2])</f>
        <v>Corporates</v>
      </c>
      <c r="J63" s="7" t="str">
        <f>IF(tblBOneExport[[#This Row],[INSTRUMENT_TYPE]]="Forward Contract","Forward Contract",tblBOneExport[[#This Row],[LEVEL3]])</f>
        <v>Utilities</v>
      </c>
      <c r="K63" s="7" t="str">
        <f>INDEX(tblLvl2Mapping[],MATCH(tblCalculation[[#This Row],[B1Level2]]&amp;"_"&amp;tblCalculation[[#This Row],[B1Level3]],tblLvl2Mapping[B1Level2_B1Level3],0),2)</f>
        <v>Corporate</v>
      </c>
      <c r="L63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63" s="7">
        <f>INDEX(tblAttributable[],MATCH(tblCalculation[[#This Row],[Level3]],tblAttributable[Level3],0),2)</f>
        <v>1</v>
      </c>
      <c r="N63" s="16">
        <f>tblBOneExport[[#This Row],[PTF_WEIGHT]]</f>
        <v>1.6604516000000001E-3</v>
      </c>
      <c r="O63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1.9984204003547522E-2</v>
      </c>
      <c r="P63" s="48">
        <f>tblCalculation[[#This Row],[PtfDTS]]/SUM(tblCalculation[PtfDTS])</f>
        <v>2.4235300305605174E-3</v>
      </c>
      <c r="Q63" s="16">
        <f>tblBOneExport[[#This Row],[PTF_CONTRIBUTION]]</f>
        <v>3.3609899999999998E-5</v>
      </c>
      <c r="R63" s="16">
        <f>tblCalculation[[#This Row],[PtfContributionBase]]-tblCalculation[[#This Row],[PtfCurrencyReturn]]</f>
        <v>3.3609899999999998E-5</v>
      </c>
      <c r="S63" s="16">
        <f>IF(tblBOneExport[[#This Row],[LEVEL1]]="Bonds",tblBOneExport[[#This Row],[PTF_GOV_CARRY]],"")</f>
        <v>2.0899000000000001E-6</v>
      </c>
      <c r="T63" s="16">
        <f>tblCalculation[[#This Row],[FIAttributable]]*tblBOneExport[[#This Row],[PTF_CREDIT_CARRY]]</f>
        <v>1.3162E-6</v>
      </c>
      <c r="U63" s="16">
        <f>tblCalculation[[#This Row],[FIAttributable]]*tblBOneExport[[#This Row],[PTF_TOTAL_CURVE]]</f>
        <v>3.0963800000000003E-5</v>
      </c>
      <c r="V63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-1.8559000000000001E-6</v>
      </c>
      <c r="W63" s="16">
        <f>IF(AND(tblCalculation[[#This Row],[Level3]]="Forward Contracts",tblBOneExport[[#This Row],[PTF_COST_OF_CARRY]]=0),tblBOneExport[[#This Row],[PTF_VALUATION]],0)</f>
        <v>0</v>
      </c>
      <c r="X63" s="16">
        <f>SUM(tblCalculation[[#This Row],[PtfTrading]:[PtfModelRes]])</f>
        <v>1.0958E-6</v>
      </c>
      <c r="Y63" s="16">
        <f>tblCalculation[[#This Row],[FIAttributable]]*tblBOneExport[[#This Row],[PTF_TRADING]]</f>
        <v>0</v>
      </c>
      <c r="Z63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63" s="16">
        <f>tblCalculation[[#This Row],[FIAttributable]]*tblBOneExport[[#This Row],[PTF_MODEL_RESIDUAL]]-PTF_Credit_Adj*tblCalculation[[#This Row],[PtfDTSWeight]]</f>
        <v>1.0958E-6</v>
      </c>
      <c r="AB63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63" s="16">
        <f>tblBOneExport[[#This Row],[BMK_WEIGHT]]</f>
        <v>0</v>
      </c>
      <c r="AD63" s="78">
        <f>tblCalculation[[#This Row],[FIAttributable]]*SUMIFS(tblDTS[DTSContribution_BM],tblDTS[ISIN],tblCalculation[[#This Row],[ISIN]])</f>
        <v>2.6380116042759302E-2</v>
      </c>
      <c r="AE63" s="16">
        <f>IF(SUM(tblCalculation[BMKDTS])=0,0,tblCalculation[[#This Row],[BMKDTS]]/SUM(tblCalculation[BMKDTS]))</f>
        <v>3.1352842062441727E-3</v>
      </c>
      <c r="AF63" s="16">
        <f>tblBOneExport[[#This Row],[BMK_CONTRIBUTION]]</f>
        <v>0</v>
      </c>
      <c r="AG63" s="16">
        <f>tblCalculation[[#This Row],[BMKContributionBase]]-tblBOneExport[BMK_SPOT_CCY_RETURN]-tblBOneExport[[#This Row],[BMK_CROSS_EFFECT]]</f>
        <v>0</v>
      </c>
      <c r="AH63" s="16">
        <f>tblCalculation[[#This Row],[FIAttributable]]*(tblBOneExport[[#This Row],[BMK_RETURN_GOV_CARRY]])</f>
        <v>0</v>
      </c>
      <c r="AI63" s="16">
        <f>tblCalculation[[#This Row],[FIAttributable]]*tblBOneExport[[#This Row],[BMK_CREDIT_CARRY]]</f>
        <v>0</v>
      </c>
      <c r="AJ63" s="16">
        <f>tblCalculation[[#This Row],[FIAttributable]]*tblBOneExport[[#This Row],[BMK_TOTAL_CURVE]]</f>
        <v>0</v>
      </c>
      <c r="AK63" s="16">
        <f>tblCalculation[[#This Row],[FIAttributable]]*(tblBOneExport[[#This Row],[BMK_TOTAL_SPREAD]]+BMK_Credit_Adj*tblCalculation[[#This Row],[BmkDTSWeight]])</f>
        <v>0</v>
      </c>
      <c r="AL63" s="16">
        <f>tblCalculation[[#This Row],[FIAttributable]]*tblBOneExport[[#This Row],[BMK_MODEL_RESIDUAL]]-BMK_Credit_Adj*tblCalculation[[#This Row],[BmkDTSWeight]]</f>
        <v>0</v>
      </c>
      <c r="AM63" s="16">
        <f>IF(tblCalculation[[#This Row],[Level3]]="Forward Contracts",tblCalculation[[#This Row],[BMKContributionLocal]],0)</f>
        <v>0</v>
      </c>
      <c r="AN63" s="16">
        <f>tblBOneExport[[#This Row],[BMK_SPOT_CCY_RETURN]]+tblBOneExport[[#This Row],[BMK_CROSS_EFFECT]]</f>
        <v>0</v>
      </c>
    </row>
    <row r="64" spans="5:40" x14ac:dyDescent="0.25">
      <c r="E64" s="7" t="str">
        <f>tblBOneExport[[#This Row],[INSTRUMENT_CODE]]</f>
        <v>S00033439</v>
      </c>
      <c r="F64" s="7" t="str">
        <f>tblBOneExport[[#This Row],[INSTRUMENT]]</f>
        <v>UNITED UTIL WAT 5.375 14/05/18 EMTN</v>
      </c>
      <c r="G64" s="7" t="str">
        <f>IF(tblBOneExport[[#This Row],[ISIN]]&lt;&gt;"", tblBOneExport[[#This Row],[ISIN]],"")</f>
        <v>XS0168054673</v>
      </c>
      <c r="H64" s="7" t="str">
        <f>IF(tblCalculation[[#This Row],[B1Level2]]="CDS",tblBOneExport[[#This Row],[B1_TICKER]],IF(tblCalculation[[#This Row],[ISIN]]="","",INDEX(tblGetStaticData[Ticker],MATCH(tblCalculation[[#This Row],[ISIN]],tblGetStaticData[ISIN],0))))</f>
        <v>UU</v>
      </c>
      <c r="I64" s="7" t="str">
        <f>IF(tblBOneExport[[#This Row],[INSTRUMENT_TYPE]]="Forward Contract","Forward Contract",tblBOneExport[LEVEL2])</f>
        <v>Corporates</v>
      </c>
      <c r="J64" s="7" t="str">
        <f>IF(tblBOneExport[[#This Row],[INSTRUMENT_TYPE]]="Forward Contract","Forward Contract",tblBOneExport[[#This Row],[LEVEL3]])</f>
        <v>Utilities</v>
      </c>
      <c r="K64" s="7" t="str">
        <f>INDEX(tblLvl2Mapping[],MATCH(tblCalculation[[#This Row],[B1Level2]]&amp;"_"&amp;tblCalculation[[#This Row],[B1Level3]],tblLvl2Mapping[B1Level2_B1Level3],0),2)</f>
        <v>Corporate</v>
      </c>
      <c r="L64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64" s="7">
        <f>INDEX(tblAttributable[],MATCH(tblCalculation[[#This Row],[Level3]],tblAttributable[Level3],0),2)</f>
        <v>1</v>
      </c>
      <c r="N64" s="16">
        <f>tblBOneExport[[#This Row],[PTF_WEIGHT]]</f>
        <v>2.7841159000000001E-3</v>
      </c>
      <c r="O64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1.228554974366485E-3</v>
      </c>
      <c r="P64" s="48">
        <f>tblCalculation[[#This Row],[PtfDTS]]/SUM(tblCalculation[PtfDTS])</f>
        <v>1.4898966574015851E-4</v>
      </c>
      <c r="Q64" s="16">
        <f>tblBOneExport[[#This Row],[PTF_CONTRIBUTION]]</f>
        <v>3.5029E-6</v>
      </c>
      <c r="R64" s="16">
        <f>tblCalculation[[#This Row],[PtfContributionBase]]-tblCalculation[[#This Row],[PtfCurrencyReturn]]</f>
        <v>3.5029E-6</v>
      </c>
      <c r="S64" s="16">
        <f>IF(tblBOneExport[[#This Row],[LEVEL1]]="Bonds",tblBOneExport[[#This Row],[PTF_GOV_CARRY]],"")</f>
        <v>4.8210000000000001E-7</v>
      </c>
      <c r="T64" s="16">
        <f>tblCalculation[[#This Row],[FIAttributable]]*tblBOneExport[[#This Row],[PTF_CREDIT_CARRY]]</f>
        <v>1.6793E-6</v>
      </c>
      <c r="U64" s="16">
        <f>tblCalculation[[#This Row],[FIAttributable]]*tblBOneExport[[#This Row],[PTF_TOTAL_CURVE]]</f>
        <v>1.7506E-6</v>
      </c>
      <c r="V64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-1.9149999999999999E-7</v>
      </c>
      <c r="W64" s="16">
        <f>IF(AND(tblCalculation[[#This Row],[Level3]]="Forward Contracts",tblBOneExport[[#This Row],[PTF_COST_OF_CARRY]]=0),tblBOneExport[[#This Row],[PTF_VALUATION]],0)</f>
        <v>0</v>
      </c>
      <c r="X64" s="16">
        <f>SUM(tblCalculation[[#This Row],[PtfTrading]:[PtfModelRes]])</f>
        <v>-2.1759999999999999E-7</v>
      </c>
      <c r="Y64" s="16">
        <f>tblCalculation[[#This Row],[FIAttributable]]*tblBOneExport[[#This Row],[PTF_TRADING]]</f>
        <v>0</v>
      </c>
      <c r="Z64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64" s="16">
        <f>tblCalculation[[#This Row],[FIAttributable]]*tblBOneExport[[#This Row],[PTF_MODEL_RESIDUAL]]-PTF_Credit_Adj*tblCalculation[[#This Row],[PtfDTSWeight]]</f>
        <v>-2.1759999999999999E-7</v>
      </c>
      <c r="AB64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64" s="16">
        <f>tblBOneExport[[#This Row],[BMK_WEIGHT]]</f>
        <v>0</v>
      </c>
      <c r="AD64" s="78">
        <f>tblCalculation[[#This Row],[FIAttributable]]*SUMIFS(tblDTS[DTSContribution_BM],tblDTS[ISIN],tblCalculation[[#This Row],[ISIN]])</f>
        <v>1.6211718576752859E-3</v>
      </c>
      <c r="AE64" s="16">
        <f>IF(SUM(tblCalculation[BMKDTS])=0,0,tblCalculation[[#This Row],[BMKDTS]]/SUM(tblCalculation[BMKDTS]))</f>
        <v>1.9267673094152153E-4</v>
      </c>
      <c r="AF64" s="16">
        <f>tblBOneExport[[#This Row],[BMK_CONTRIBUTION]]</f>
        <v>0</v>
      </c>
      <c r="AG64" s="16">
        <f>tblCalculation[[#This Row],[BMKContributionBase]]-tblBOneExport[BMK_SPOT_CCY_RETURN]-tblBOneExport[[#This Row],[BMK_CROSS_EFFECT]]</f>
        <v>0</v>
      </c>
      <c r="AH64" s="16">
        <f>tblCalculation[[#This Row],[FIAttributable]]*(tblBOneExport[[#This Row],[BMK_RETURN_GOV_CARRY]])</f>
        <v>0</v>
      </c>
      <c r="AI64" s="16">
        <f>tblCalculation[[#This Row],[FIAttributable]]*tblBOneExport[[#This Row],[BMK_CREDIT_CARRY]]</f>
        <v>0</v>
      </c>
      <c r="AJ64" s="16">
        <f>tblCalculation[[#This Row],[FIAttributable]]*tblBOneExport[[#This Row],[BMK_TOTAL_CURVE]]</f>
        <v>0</v>
      </c>
      <c r="AK64" s="16">
        <f>tblCalculation[[#This Row],[FIAttributable]]*(tblBOneExport[[#This Row],[BMK_TOTAL_SPREAD]]+BMK_Credit_Adj*tblCalculation[[#This Row],[BmkDTSWeight]])</f>
        <v>0</v>
      </c>
      <c r="AL64" s="16">
        <f>tblCalculation[[#This Row],[FIAttributable]]*tblBOneExport[[#This Row],[BMK_MODEL_RESIDUAL]]-BMK_Credit_Adj*tblCalculation[[#This Row],[BmkDTSWeight]]</f>
        <v>0</v>
      </c>
      <c r="AM64" s="16">
        <f>IF(tblCalculation[[#This Row],[Level3]]="Forward Contracts",tblCalculation[[#This Row],[BMKContributionLocal]],0)</f>
        <v>0</v>
      </c>
      <c r="AN64" s="16">
        <f>tblBOneExport[[#This Row],[BMK_SPOT_CCY_RETURN]]+tblBOneExport[[#This Row],[BMK_CROSS_EFFECT]]</f>
        <v>0</v>
      </c>
    </row>
    <row r="65" spans="5:40" x14ac:dyDescent="0.25">
      <c r="E65" s="7" t="str">
        <f>tblBOneExport[[#This Row],[INSTRUMENT_CODE]]</f>
        <v>B7NGR35</v>
      </c>
      <c r="F65" s="7" t="str">
        <f>tblBOneExport[[#This Row],[INSTRUMENT]]</f>
        <v>EDF ENERGY 5.5 05/06/26 EMTN</v>
      </c>
      <c r="G65" s="7" t="str">
        <f>IF(tblBOneExport[[#This Row],[ISIN]]&lt;&gt;"", tblBOneExport[[#This Row],[ISIN]],"")</f>
        <v>XS0169169355</v>
      </c>
      <c r="H65" s="7" t="str">
        <f>IF(tblCalculation[[#This Row],[B1Level2]]="CDS",tblBOneExport[[#This Row],[B1_TICKER]],IF(tblCalculation[[#This Row],[ISIN]]="","",INDEX(tblGetStaticData[Ticker],MATCH(tblCalculation[[#This Row],[ISIN]],tblGetStaticData[ISIN],0))))</f>
        <v>UKPONE</v>
      </c>
      <c r="I65" s="7" t="str">
        <f>IF(tblBOneExport[[#This Row],[INSTRUMENT_TYPE]]="Forward Contract","Forward Contract",tblBOneExport[LEVEL2])</f>
        <v>Corporates</v>
      </c>
      <c r="J65" s="7" t="str">
        <f>IF(tblBOneExport[[#This Row],[INSTRUMENT_TYPE]]="Forward Contract","Forward Contract",tblBOneExport[[#This Row],[LEVEL3]])</f>
        <v>Utilities</v>
      </c>
      <c r="K65" s="7" t="str">
        <f>INDEX(tblLvl2Mapping[],MATCH(tblCalculation[[#This Row],[B1Level2]]&amp;"_"&amp;tblCalculation[[#This Row],[B1Level3]],tblLvl2Mapping[B1Level2_B1Level3],0),2)</f>
        <v>Corporate</v>
      </c>
      <c r="L65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65" s="7">
        <f>INDEX(tblAttributable[],MATCH(tblCalculation[[#This Row],[Level3]],tblAttributable[Level3],0),2)</f>
        <v>1</v>
      </c>
      <c r="N65" s="16">
        <f>tblBOneExport[[#This Row],[PTF_WEIGHT]]</f>
        <v>2.0633813000000001E-3</v>
      </c>
      <c r="O65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1.4074516581853875E-2</v>
      </c>
      <c r="P65" s="48">
        <f>tblCalculation[[#This Row],[PtfDTS]]/SUM(tblCalculation[PtfDTS])</f>
        <v>1.7068487489263892E-3</v>
      </c>
      <c r="Q65" s="16">
        <f>tblBOneExport[[#This Row],[PTF_CONTRIBUTION]]</f>
        <v>2.8379999999999999E-5</v>
      </c>
      <c r="R65" s="16">
        <f>tblCalculation[[#This Row],[PtfContributionBase]]-tblCalculation[[#This Row],[PtfCurrencyReturn]]</f>
        <v>2.8379999999999999E-5</v>
      </c>
      <c r="S65" s="16">
        <f>IF(tblBOneExport[[#This Row],[LEVEL1]]="Bonds",tblBOneExport[[#This Row],[PTF_GOV_CARRY]],"")</f>
        <v>1.6894000000000001E-6</v>
      </c>
      <c r="T65" s="16">
        <f>tblCalculation[[#This Row],[FIAttributable]]*tblBOneExport[[#This Row],[PTF_CREDIT_CARRY]]</f>
        <v>1.8208E-6</v>
      </c>
      <c r="U65" s="16">
        <f>tblCalculation[[#This Row],[FIAttributable]]*tblBOneExport[[#This Row],[PTF_TOTAL_CURVE]]</f>
        <v>2.9643200000000001E-5</v>
      </c>
      <c r="V65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-4.6369999999999998E-6</v>
      </c>
      <c r="W65" s="16">
        <f>IF(AND(tblCalculation[[#This Row],[Level3]]="Forward Contracts",tblBOneExport[[#This Row],[PTF_COST_OF_CARRY]]=0),tblBOneExport[[#This Row],[PTF_VALUATION]],0)</f>
        <v>0</v>
      </c>
      <c r="X65" s="16">
        <f>SUM(tblCalculation[[#This Row],[PtfTrading]:[PtfModelRes]])</f>
        <v>-1.364E-7</v>
      </c>
      <c r="Y65" s="16">
        <f>tblCalculation[[#This Row],[FIAttributable]]*tblBOneExport[[#This Row],[PTF_TRADING]]</f>
        <v>0</v>
      </c>
      <c r="Z65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65" s="16">
        <f>tblCalculation[[#This Row],[FIAttributable]]*tblBOneExport[[#This Row],[PTF_MODEL_RESIDUAL]]-PTF_Credit_Adj*tblCalculation[[#This Row],[PtfDTSWeight]]</f>
        <v>-1.364E-7</v>
      </c>
      <c r="AB65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65" s="16">
        <f>tblBOneExport[[#This Row],[BMK_WEIGHT]]</f>
        <v>0</v>
      </c>
      <c r="AD65" s="78">
        <f>tblCalculation[[#This Row],[FIAttributable]]*SUMIFS(tblDTS[DTSContribution_BM],tblDTS[ISIN],tblCalculation[[#This Row],[ISIN]])</f>
        <v>0</v>
      </c>
      <c r="AE65" s="16">
        <f>IF(SUM(tblCalculation[BMKDTS])=0,0,tblCalculation[[#This Row],[BMKDTS]]/SUM(tblCalculation[BMKDTS]))</f>
        <v>0</v>
      </c>
      <c r="AF65" s="16">
        <f>tblBOneExport[[#This Row],[BMK_CONTRIBUTION]]</f>
        <v>0</v>
      </c>
      <c r="AG65" s="16">
        <f>tblCalculation[[#This Row],[BMKContributionBase]]-tblBOneExport[BMK_SPOT_CCY_RETURN]-tblBOneExport[[#This Row],[BMK_CROSS_EFFECT]]</f>
        <v>0</v>
      </c>
      <c r="AH65" s="16">
        <f>tblCalculation[[#This Row],[FIAttributable]]*(tblBOneExport[[#This Row],[BMK_RETURN_GOV_CARRY]])</f>
        <v>0</v>
      </c>
      <c r="AI65" s="16">
        <f>tblCalculation[[#This Row],[FIAttributable]]*tblBOneExport[[#This Row],[BMK_CREDIT_CARRY]]</f>
        <v>0</v>
      </c>
      <c r="AJ65" s="16">
        <f>tblCalculation[[#This Row],[FIAttributable]]*tblBOneExport[[#This Row],[BMK_TOTAL_CURVE]]</f>
        <v>0</v>
      </c>
      <c r="AK65" s="16">
        <f>tblCalculation[[#This Row],[FIAttributable]]*(tblBOneExport[[#This Row],[BMK_TOTAL_SPREAD]]+BMK_Credit_Adj*tblCalculation[[#This Row],[BmkDTSWeight]])</f>
        <v>0</v>
      </c>
      <c r="AL65" s="16">
        <f>tblCalculation[[#This Row],[FIAttributable]]*tblBOneExport[[#This Row],[BMK_MODEL_RESIDUAL]]-BMK_Credit_Adj*tblCalculation[[#This Row],[BmkDTSWeight]]</f>
        <v>0</v>
      </c>
      <c r="AM65" s="16">
        <f>IF(tblCalculation[[#This Row],[Level3]]="Forward Contracts",tblCalculation[[#This Row],[BMKContributionLocal]],0)</f>
        <v>0</v>
      </c>
      <c r="AN65" s="16">
        <f>tblBOneExport[[#This Row],[BMK_SPOT_CCY_RETURN]]+tblBOneExport[[#This Row],[BMK_CROSS_EFFECT]]</f>
        <v>0</v>
      </c>
    </row>
    <row r="66" spans="5:40" x14ac:dyDescent="0.25">
      <c r="E66" s="7" t="str">
        <f>tblBOneExport[[#This Row],[INSTRUMENT_CODE]]</f>
        <v>S00489582</v>
      </c>
      <c r="F66" s="7" t="str">
        <f>tblBOneExport[[#This Row],[INSTRUMENT]]</f>
        <v>INNOGY FINANCE 5.625 06/12/23 EMTN</v>
      </c>
      <c r="G66" s="7" t="str">
        <f>IF(tblBOneExport[[#This Row],[ISIN]]&lt;&gt;"", tblBOneExport[[#This Row],[ISIN]],"")</f>
        <v>XS0170732738</v>
      </c>
      <c r="H66" s="7" t="str">
        <f>IF(tblCalculation[[#This Row],[B1Level2]]="CDS",tblBOneExport[[#This Row],[B1_TICKER]],IF(tblCalculation[[#This Row],[ISIN]]="","",INDEX(tblGetStaticData[Ticker],MATCH(tblCalculation[[#This Row],[ISIN]],tblGetStaticData[ISIN],0))))</f>
        <v>IGYGY</v>
      </c>
      <c r="I66" s="7" t="str">
        <f>IF(tblBOneExport[[#This Row],[INSTRUMENT_TYPE]]="Forward Contract","Forward Contract",tblBOneExport[LEVEL2])</f>
        <v>Corporates</v>
      </c>
      <c r="J66" s="7" t="str">
        <f>IF(tblBOneExport[[#This Row],[INSTRUMENT_TYPE]]="Forward Contract","Forward Contract",tblBOneExport[[#This Row],[LEVEL3]])</f>
        <v>Utilities</v>
      </c>
      <c r="K66" s="7" t="str">
        <f>INDEX(tblLvl2Mapping[],MATCH(tblCalculation[[#This Row],[B1Level2]]&amp;"_"&amp;tblCalculation[[#This Row],[B1Level3]],tblLvl2Mapping[B1Level2_B1Level3],0),2)</f>
        <v>Corporate</v>
      </c>
      <c r="L66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66" s="7">
        <f>INDEX(tblAttributable[],MATCH(tblCalculation[[#This Row],[Level3]],tblAttributable[Level3],0),2)</f>
        <v>1</v>
      </c>
      <c r="N66" s="16">
        <f>tblBOneExport[[#This Row],[PTF_WEIGHT]]</f>
        <v>1.4668589E-3</v>
      </c>
      <c r="O66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6.8131789277221686E-3</v>
      </c>
      <c r="P66" s="48">
        <f>tblCalculation[[#This Row],[PtfDTS]]/SUM(tblCalculation[PtfDTS])</f>
        <v>8.2624975865867064E-4</v>
      </c>
      <c r="Q66" s="16">
        <f>tblBOneExport[[#This Row],[PTF_CONTRIBUTION]]</f>
        <v>1.33527E-5</v>
      </c>
      <c r="R66" s="16">
        <f>tblCalculation[[#This Row],[PtfContributionBase]]-tblCalculation[[#This Row],[PtfCurrencyReturn]]</f>
        <v>1.33527E-5</v>
      </c>
      <c r="S66" s="16">
        <f>IF(tblBOneExport[[#This Row],[LEVEL1]]="Bonds",tblBOneExport[[#This Row],[PTF_GOV_CARRY]],"")</f>
        <v>8.1800000000000005E-7</v>
      </c>
      <c r="T66" s="16">
        <f>tblCalculation[[#This Row],[FIAttributable]]*tblBOneExport[[#This Row],[PTF_CREDIT_CARRY]]</f>
        <v>1.3857999999999999E-6</v>
      </c>
      <c r="U66" s="16">
        <f>tblCalculation[[#This Row],[FIAttributable]]*tblBOneExport[[#This Row],[PTF_TOTAL_CURVE]]</f>
        <v>1.15364E-5</v>
      </c>
      <c r="V66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-1.172E-7</v>
      </c>
      <c r="W66" s="16">
        <f>IF(AND(tblCalculation[[#This Row],[Level3]]="Forward Contracts",tblBOneExport[[#This Row],[PTF_COST_OF_CARRY]]=0),tblBOneExport[[#This Row],[PTF_VALUATION]],0)</f>
        <v>0</v>
      </c>
      <c r="X66" s="16">
        <f>SUM(tblCalculation[[#This Row],[PtfTrading]:[PtfModelRes]])</f>
        <v>-2.7029999999999998E-7</v>
      </c>
      <c r="Y66" s="16">
        <f>tblCalculation[[#This Row],[FIAttributable]]*tblBOneExport[[#This Row],[PTF_TRADING]]</f>
        <v>0</v>
      </c>
      <c r="Z66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66" s="16">
        <f>tblCalculation[[#This Row],[FIAttributable]]*tblBOneExport[[#This Row],[PTF_MODEL_RESIDUAL]]-PTF_Credit_Adj*tblCalculation[[#This Row],[PtfDTSWeight]]</f>
        <v>-2.7029999999999998E-7</v>
      </c>
      <c r="AB66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66" s="16">
        <f>tblBOneExport[[#This Row],[BMK_WEIGHT]]</f>
        <v>0</v>
      </c>
      <c r="AD66" s="78">
        <f>tblCalculation[[#This Row],[FIAttributable]]*SUMIFS(tblDTS[DTSContribution_BM],tblDTS[ISIN],tblCalculation[[#This Row],[ISIN]])</f>
        <v>8.9933133064363339E-3</v>
      </c>
      <c r="AE66" s="16">
        <f>IF(SUM(tblCalculation[BMKDTS])=0,0,tblCalculation[[#This Row],[BMKDTS]]/SUM(tblCalculation[BMKDTS]))</f>
        <v>1.0688578141874654E-3</v>
      </c>
      <c r="AF66" s="16">
        <f>tblBOneExport[[#This Row],[BMK_CONTRIBUTION]]</f>
        <v>0</v>
      </c>
      <c r="AG66" s="16">
        <f>tblCalculation[[#This Row],[BMKContributionBase]]-tblBOneExport[BMK_SPOT_CCY_RETURN]-tblBOneExport[[#This Row],[BMK_CROSS_EFFECT]]</f>
        <v>0</v>
      </c>
      <c r="AH66" s="16">
        <f>tblCalculation[[#This Row],[FIAttributable]]*(tblBOneExport[[#This Row],[BMK_RETURN_GOV_CARRY]])</f>
        <v>0</v>
      </c>
      <c r="AI66" s="16">
        <f>tblCalculation[[#This Row],[FIAttributable]]*tblBOneExport[[#This Row],[BMK_CREDIT_CARRY]]</f>
        <v>0</v>
      </c>
      <c r="AJ66" s="16">
        <f>tblCalculation[[#This Row],[FIAttributable]]*tblBOneExport[[#This Row],[BMK_TOTAL_CURVE]]</f>
        <v>0</v>
      </c>
      <c r="AK66" s="16">
        <f>tblCalculation[[#This Row],[FIAttributable]]*(tblBOneExport[[#This Row],[BMK_TOTAL_SPREAD]]+BMK_Credit_Adj*tblCalculation[[#This Row],[BmkDTSWeight]])</f>
        <v>0</v>
      </c>
      <c r="AL66" s="16">
        <f>tblCalculation[[#This Row],[FIAttributable]]*tblBOneExport[[#This Row],[BMK_MODEL_RESIDUAL]]-BMK_Credit_Adj*tblCalculation[[#This Row],[BmkDTSWeight]]</f>
        <v>0</v>
      </c>
      <c r="AM66" s="16">
        <f>IF(tblCalculation[[#This Row],[Level3]]="Forward Contracts",tblCalculation[[#This Row],[BMKContributionLocal]],0)</f>
        <v>0</v>
      </c>
      <c r="AN66" s="16">
        <f>tblBOneExport[[#This Row],[BMK_SPOT_CCY_RETURN]]+tblBOneExport[[#This Row],[BMK_CROSS_EFFECT]]</f>
        <v>0</v>
      </c>
    </row>
    <row r="67" spans="5:40" x14ac:dyDescent="0.25">
      <c r="E67" s="7" t="str">
        <f>tblBOneExport[[#This Row],[INSTRUMENT_CODE]]</f>
        <v>S00037784</v>
      </c>
      <c r="F67" s="7" t="str">
        <f>tblBOneExport[[#This Row],[INSTRUMENT]]</f>
        <v>SOUTHERN WATER 6.192 31/03/29 A1</v>
      </c>
      <c r="G67" s="7" t="str">
        <f>IF(tblBOneExport[[#This Row],[ISIN]]&lt;&gt;"", tblBOneExport[[#This Row],[ISIN]],"")</f>
        <v>XS0172989252</v>
      </c>
      <c r="H67" s="7" t="str">
        <f>IF(tblCalculation[[#This Row],[B1Level2]]="CDS",tblBOneExport[[#This Row],[B1_TICKER]],IF(tblCalculation[[#This Row],[ISIN]]="","",INDEX(tblGetStaticData[Ticker],MATCH(tblCalculation[[#This Row],[ISIN]],tblGetStaticData[ISIN],0))))</f>
        <v>SWSFIN</v>
      </c>
      <c r="I67" s="7" t="str">
        <f>IF(tblBOneExport[[#This Row],[INSTRUMENT_TYPE]]="Forward Contract","Forward Contract",tblBOneExport[LEVEL2])</f>
        <v>Corporates</v>
      </c>
      <c r="J67" s="7" t="str">
        <f>IF(tblBOneExport[[#This Row],[INSTRUMENT_TYPE]]="Forward Contract","Forward Contract",tblBOneExport[[#This Row],[LEVEL3]])</f>
        <v>Utilities</v>
      </c>
      <c r="K67" s="7" t="str">
        <f>INDEX(tblLvl2Mapping[],MATCH(tblCalculation[[#This Row],[B1Level2]]&amp;"_"&amp;tblCalculation[[#This Row],[B1Level3]],tblLvl2Mapping[B1Level2_B1Level3],0),2)</f>
        <v>Corporate</v>
      </c>
      <c r="L67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67" s="7">
        <f>INDEX(tblAttributable[],MATCH(tblCalculation[[#This Row],[Level3]],tblAttributable[Level3],0),2)</f>
        <v>1</v>
      </c>
      <c r="N67" s="16">
        <f>tblBOneExport[[#This Row],[PTF_WEIGHT]]</f>
        <v>7.2177298999999999E-3</v>
      </c>
      <c r="O67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5.4232219323699316E-2</v>
      </c>
      <c r="P67" s="48">
        <f>tblCalculation[[#This Row],[PtfDTS]]/SUM(tblCalculation[PtfDTS])</f>
        <v>6.576865014568411E-3</v>
      </c>
      <c r="Q67" s="16">
        <f>tblBOneExport[[#This Row],[PTF_CONTRIBUTION]]</f>
        <v>1.4203499999999999E-4</v>
      </c>
      <c r="R67" s="16">
        <f>tblCalculation[[#This Row],[PtfContributionBase]]-tblCalculation[[#This Row],[PtfCurrencyReturn]]</f>
        <v>1.4203499999999999E-4</v>
      </c>
      <c r="S67" s="16">
        <f>IF(tblBOneExport[[#This Row],[LEVEL1]]="Bonds",tblBOneExport[[#This Row],[PTF_GOV_CARRY]],"")</f>
        <v>7.9718000000000005E-6</v>
      </c>
      <c r="T67" s="16">
        <f>tblCalculation[[#This Row],[FIAttributable]]*tblBOneExport[[#This Row],[PTF_CREDIT_CARRY]]</f>
        <v>4.6303999999999997E-6</v>
      </c>
      <c r="U67" s="16">
        <f>tblCalculation[[#This Row],[FIAttributable]]*tblBOneExport[[#This Row],[PTF_TOTAL_CURVE]]</f>
        <v>1.2852109999999999E-4</v>
      </c>
      <c r="V67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3.3492999999999998E-6</v>
      </c>
      <c r="W67" s="16">
        <f>IF(AND(tblCalculation[[#This Row],[Level3]]="Forward Contracts",tblBOneExport[[#This Row],[PTF_COST_OF_CARRY]]=0),tblBOneExport[[#This Row],[PTF_VALUATION]],0)</f>
        <v>0</v>
      </c>
      <c r="X67" s="16">
        <f>SUM(tblCalculation[[#This Row],[PtfTrading]:[PtfModelRes]])</f>
        <v>-2.4376000000000002E-6</v>
      </c>
      <c r="Y67" s="16">
        <f>tblCalculation[[#This Row],[FIAttributable]]*tblBOneExport[[#This Row],[PTF_TRADING]]</f>
        <v>0</v>
      </c>
      <c r="Z67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67" s="16">
        <f>tblCalculation[[#This Row],[FIAttributable]]*tblBOneExport[[#This Row],[PTF_MODEL_RESIDUAL]]-PTF_Credit_Adj*tblCalculation[[#This Row],[PtfDTSWeight]]</f>
        <v>-2.4376000000000002E-6</v>
      </c>
      <c r="AB67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67" s="16">
        <f>tblBOneExport[[#This Row],[BMK_WEIGHT]]</f>
        <v>0</v>
      </c>
      <c r="AD67" s="78">
        <f>tblCalculation[[#This Row],[FIAttributable]]*SUMIFS(tblDTS[DTSContribution_BM],tblDTS[ISIN],tblCalculation[[#This Row],[ISIN]])</f>
        <v>7.1577178606652359E-2</v>
      </c>
      <c r="AE67" s="16">
        <f>IF(SUM(tblCalculation[BMKDTS])=0,0,tblCalculation[[#This Row],[BMKDTS]]/SUM(tblCalculation[BMKDTS]))</f>
        <v>8.5069677953350711E-3</v>
      </c>
      <c r="AF67" s="16">
        <f>tblBOneExport[[#This Row],[BMK_CONTRIBUTION]]</f>
        <v>0</v>
      </c>
      <c r="AG67" s="16">
        <f>tblCalculation[[#This Row],[BMKContributionBase]]-tblBOneExport[BMK_SPOT_CCY_RETURN]-tblBOneExport[[#This Row],[BMK_CROSS_EFFECT]]</f>
        <v>0</v>
      </c>
      <c r="AH67" s="16">
        <f>tblCalculation[[#This Row],[FIAttributable]]*(tblBOneExport[[#This Row],[BMK_RETURN_GOV_CARRY]])</f>
        <v>0</v>
      </c>
      <c r="AI67" s="16">
        <f>tblCalculation[[#This Row],[FIAttributable]]*tblBOneExport[[#This Row],[BMK_CREDIT_CARRY]]</f>
        <v>0</v>
      </c>
      <c r="AJ67" s="16">
        <f>tblCalculation[[#This Row],[FIAttributable]]*tblBOneExport[[#This Row],[BMK_TOTAL_CURVE]]</f>
        <v>0</v>
      </c>
      <c r="AK67" s="16">
        <f>tblCalculation[[#This Row],[FIAttributable]]*(tblBOneExport[[#This Row],[BMK_TOTAL_SPREAD]]+BMK_Credit_Adj*tblCalculation[[#This Row],[BmkDTSWeight]])</f>
        <v>0</v>
      </c>
      <c r="AL67" s="16">
        <f>tblCalculation[[#This Row],[FIAttributable]]*tblBOneExport[[#This Row],[BMK_MODEL_RESIDUAL]]-BMK_Credit_Adj*tblCalculation[[#This Row],[BmkDTSWeight]]</f>
        <v>0</v>
      </c>
      <c r="AM67" s="16">
        <f>IF(tblCalculation[[#This Row],[Level3]]="Forward Contracts",tblCalculation[[#This Row],[BMKContributionLocal]],0)</f>
        <v>0</v>
      </c>
      <c r="AN67" s="16">
        <f>tblBOneExport[[#This Row],[BMK_SPOT_CCY_RETURN]]+tblBOneExport[[#This Row],[BMK_CROSS_EFFECT]]</f>
        <v>0</v>
      </c>
    </row>
    <row r="68" spans="5:40" x14ac:dyDescent="0.25">
      <c r="E68" s="7" t="str">
        <f>tblBOneExport[[#This Row],[INSTRUMENT_CODE]]</f>
        <v>S00037846</v>
      </c>
      <c r="F68" s="7" t="str">
        <f>tblBOneExport[[#This Row],[INSTRUMENT]]</f>
        <v>SOUTHERN WATER 6.64 31/03/26 A4</v>
      </c>
      <c r="G68" s="7" t="str">
        <f>IF(tblBOneExport[[#This Row],[ISIN]]&lt;&gt;"", tblBOneExport[[#This Row],[ISIN]],"")</f>
        <v>XS0172992637</v>
      </c>
      <c r="H68" s="7" t="str">
        <f>IF(tblCalculation[[#This Row],[B1Level2]]="CDS",tblBOneExport[[#This Row],[B1_TICKER]],IF(tblCalculation[[#This Row],[ISIN]]="","",INDEX(tblGetStaticData[Ticker],MATCH(tblCalculation[[#This Row],[ISIN]],tblGetStaticData[ISIN],0))))</f>
        <v>SWSFIN</v>
      </c>
      <c r="I68" s="7" t="str">
        <f>IF(tblBOneExport[[#This Row],[INSTRUMENT_TYPE]]="Forward Contract","Forward Contract",tblBOneExport[LEVEL2])</f>
        <v>Corporates</v>
      </c>
      <c r="J68" s="7" t="str">
        <f>IF(tblBOneExport[[#This Row],[INSTRUMENT_TYPE]]="Forward Contract","Forward Contract",tblBOneExport[[#This Row],[LEVEL3]])</f>
        <v>Utilities</v>
      </c>
      <c r="K68" s="7" t="str">
        <f>INDEX(tblLvl2Mapping[],MATCH(tblCalculation[[#This Row],[B1Level2]]&amp;"_"&amp;tblCalculation[[#This Row],[B1Level3]],tblLvl2Mapping[B1Level2_B1Level3],0),2)</f>
        <v>Corporate</v>
      </c>
      <c r="L68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68" s="7">
        <f>INDEX(tblAttributable[],MATCH(tblCalculation[[#This Row],[Level3]],tblAttributable[Level3],0),2)</f>
        <v>1</v>
      </c>
      <c r="N68" s="16">
        <f>tblBOneExport[[#This Row],[PTF_WEIGHT]]</f>
        <v>4.3775120999999997E-3</v>
      </c>
      <c r="O68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2.55935732069578E-2</v>
      </c>
      <c r="P68" s="48">
        <f>tblCalculation[[#This Row],[PtfDTS]]/SUM(tblCalculation[PtfDTS])</f>
        <v>3.103791036430598E-3</v>
      </c>
      <c r="Q68" s="16">
        <f>tblBOneExport[[#This Row],[PTF_CONTRIBUTION]]</f>
        <v>5.7651900000000003E-5</v>
      </c>
      <c r="R68" s="16">
        <f>tblCalculation[[#This Row],[PtfContributionBase]]-tblCalculation[[#This Row],[PtfCurrencyReturn]]</f>
        <v>5.7651900000000003E-5</v>
      </c>
      <c r="S68" s="16">
        <f>IF(tblBOneExport[[#This Row],[LEVEL1]]="Bonds",tblBOneExport[[#This Row],[PTF_GOV_CARRY]],"")</f>
        <v>3.4979E-6</v>
      </c>
      <c r="T68" s="16">
        <f>tblCalculation[[#This Row],[FIAttributable]]*tblBOneExport[[#This Row],[PTF_CREDIT_CARRY]]</f>
        <v>3.5352999999999998E-6</v>
      </c>
      <c r="U68" s="16">
        <f>tblCalculation[[#This Row],[FIAttributable]]*tblBOneExport[[#This Row],[PTF_TOTAL_CURVE]]</f>
        <v>6.0048099999999999E-5</v>
      </c>
      <c r="V68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-7.542E-6</v>
      </c>
      <c r="W68" s="16">
        <f>IF(AND(tblCalculation[[#This Row],[Level3]]="Forward Contracts",tblBOneExport[[#This Row],[PTF_COST_OF_CARRY]]=0),tblBOneExport[[#This Row],[PTF_VALUATION]],0)</f>
        <v>0</v>
      </c>
      <c r="X68" s="16">
        <f>SUM(tblCalculation[[#This Row],[PtfTrading]:[PtfModelRes]])</f>
        <v>-1.8873999999999999E-6</v>
      </c>
      <c r="Y68" s="16">
        <f>tblCalculation[[#This Row],[FIAttributable]]*tblBOneExport[[#This Row],[PTF_TRADING]]</f>
        <v>0</v>
      </c>
      <c r="Z68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68" s="16">
        <f>tblCalculation[[#This Row],[FIAttributable]]*tblBOneExport[[#This Row],[PTF_MODEL_RESIDUAL]]-PTF_Credit_Adj*tblCalculation[[#This Row],[PtfDTSWeight]]</f>
        <v>-1.8873999999999999E-6</v>
      </c>
      <c r="AB68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68" s="16">
        <f>tblBOneExport[[#This Row],[BMK_WEIGHT]]</f>
        <v>0</v>
      </c>
      <c r="AD68" s="78">
        <f>tblCalculation[[#This Row],[FIAttributable]]*SUMIFS(tblDTS[DTSContribution_BM],tblDTS[ISIN],tblCalculation[[#This Row],[ISIN]])</f>
        <v>3.3778019708019108E-2</v>
      </c>
      <c r="AE68" s="16">
        <f>IF(SUM(tblCalculation[BMKDTS])=0,0,tblCalculation[[#This Row],[BMKDTS]]/SUM(tblCalculation[BMKDTS]))</f>
        <v>4.014527136161886E-3</v>
      </c>
      <c r="AF68" s="16">
        <f>tblBOneExport[[#This Row],[BMK_CONTRIBUTION]]</f>
        <v>0</v>
      </c>
      <c r="AG68" s="16">
        <f>tblCalculation[[#This Row],[BMKContributionBase]]-tblBOneExport[BMK_SPOT_CCY_RETURN]-tblBOneExport[[#This Row],[BMK_CROSS_EFFECT]]</f>
        <v>0</v>
      </c>
      <c r="AH68" s="16">
        <f>tblCalculation[[#This Row],[FIAttributable]]*(tblBOneExport[[#This Row],[BMK_RETURN_GOV_CARRY]])</f>
        <v>0</v>
      </c>
      <c r="AI68" s="16">
        <f>tblCalculation[[#This Row],[FIAttributable]]*tblBOneExport[[#This Row],[BMK_CREDIT_CARRY]]</f>
        <v>0</v>
      </c>
      <c r="AJ68" s="16">
        <f>tblCalculation[[#This Row],[FIAttributable]]*tblBOneExport[[#This Row],[BMK_TOTAL_CURVE]]</f>
        <v>0</v>
      </c>
      <c r="AK68" s="16">
        <f>tblCalculation[[#This Row],[FIAttributable]]*(tblBOneExport[[#This Row],[BMK_TOTAL_SPREAD]]+BMK_Credit_Adj*tblCalculation[[#This Row],[BmkDTSWeight]])</f>
        <v>0</v>
      </c>
      <c r="AL68" s="16">
        <f>tblCalculation[[#This Row],[FIAttributable]]*tblBOneExport[[#This Row],[BMK_MODEL_RESIDUAL]]-BMK_Credit_Adj*tblCalculation[[#This Row],[BmkDTSWeight]]</f>
        <v>0</v>
      </c>
      <c r="AM68" s="16">
        <f>IF(tblCalculation[[#This Row],[Level3]]="Forward Contracts",tblCalculation[[#This Row],[BMKContributionLocal]],0)</f>
        <v>0</v>
      </c>
      <c r="AN68" s="16">
        <f>tblBOneExport[[#This Row],[BMK_SPOT_CCY_RETURN]]+tblBOneExport[[#This Row],[BMK_CROSS_EFFECT]]</f>
        <v>0</v>
      </c>
    </row>
    <row r="69" spans="5:40" x14ac:dyDescent="0.25">
      <c r="E69" s="7" t="str">
        <f>tblBOneExport[[#This Row],[INSTRUMENT_CODE]]</f>
        <v>S00487851</v>
      </c>
      <c r="F69" s="7" t="str">
        <f>tblBOneExport[[#This Row],[INSTRUMENT]]</f>
        <v>WESSEX WATER FIN 5.75 14/10/33</v>
      </c>
      <c r="G69" s="7" t="str">
        <f>IF(tblBOneExport[[#This Row],[ISIN]]&lt;&gt;"", tblBOneExport[[#This Row],[ISIN]],"")</f>
        <v>XS0178489844</v>
      </c>
      <c r="H69" s="7" t="str">
        <f>IF(tblCalculation[[#This Row],[B1Level2]]="CDS",tblBOneExport[[#This Row],[B1_TICKER]],IF(tblCalculation[[#This Row],[ISIN]]="","",INDEX(tblGetStaticData[Ticker],MATCH(tblCalculation[[#This Row],[ISIN]],tblGetStaticData[ISIN],0))))</f>
        <v>YTLPMK</v>
      </c>
      <c r="I69" s="7" t="str">
        <f>IF(tblBOneExport[[#This Row],[INSTRUMENT_TYPE]]="Forward Contract","Forward Contract",tblBOneExport[LEVEL2])</f>
        <v>Corporates</v>
      </c>
      <c r="J69" s="7" t="str">
        <f>IF(tblBOneExport[[#This Row],[INSTRUMENT_TYPE]]="Forward Contract","Forward Contract",tblBOneExport[[#This Row],[LEVEL3]])</f>
        <v>Utilities</v>
      </c>
      <c r="K69" s="7" t="str">
        <f>INDEX(tblLvl2Mapping[],MATCH(tblCalculation[[#This Row],[B1Level2]]&amp;"_"&amp;tblCalculation[[#This Row],[B1Level3]],tblLvl2Mapping[B1Level2_B1Level3],0),2)</f>
        <v>Corporate</v>
      </c>
      <c r="L69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69" s="7">
        <f>INDEX(tblAttributable[],MATCH(tblCalculation[[#This Row],[Level3]],tblAttributable[Level3],0),2)</f>
        <v>1</v>
      </c>
      <c r="N69" s="16">
        <f>tblBOneExport[[#This Row],[PTF_WEIGHT]]</f>
        <v>4.3669627000000001E-3</v>
      </c>
      <c r="O69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4.7972332042523151E-2</v>
      </c>
      <c r="P69" s="48">
        <f>tblCalculation[[#This Row],[PtfDTS]]/SUM(tblCalculation[PtfDTS])</f>
        <v>5.8177141966943968E-3</v>
      </c>
      <c r="Q69" s="16">
        <f>tblBOneExport[[#This Row],[PTF_CONTRIBUTION]]</f>
        <v>9.1214199999999998E-5</v>
      </c>
      <c r="R69" s="16">
        <f>tblCalculation[[#This Row],[PtfContributionBase]]-tblCalculation[[#This Row],[PtfCurrencyReturn]]</f>
        <v>9.1214199999999998E-5</v>
      </c>
      <c r="S69" s="16">
        <f>IF(tblBOneExport[[#This Row],[LEVEL1]]="Bonds",tblBOneExport[[#This Row],[PTF_GOV_CARRY]],"")</f>
        <v>5.5619000000000001E-6</v>
      </c>
      <c r="T69" s="16">
        <f>tblCalculation[[#This Row],[FIAttributable]]*tblBOneExport[[#This Row],[PTF_CREDIT_CARRY]]</f>
        <v>3.0653999999999999E-6</v>
      </c>
      <c r="U69" s="16">
        <f>tblCalculation[[#This Row],[FIAttributable]]*tblBOneExport[[#This Row],[PTF_TOTAL_CURVE]]</f>
        <v>7.6771699999999995E-5</v>
      </c>
      <c r="V69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4.0859000000000001E-6</v>
      </c>
      <c r="W69" s="16">
        <f>IF(AND(tblCalculation[[#This Row],[Level3]]="Forward Contracts",tblBOneExport[[#This Row],[PTF_COST_OF_CARRY]]=0),tblBOneExport[[#This Row],[PTF_VALUATION]],0)</f>
        <v>0</v>
      </c>
      <c r="X69" s="16">
        <f>SUM(tblCalculation[[#This Row],[PtfTrading]:[PtfModelRes]])</f>
        <v>1.7292000000000001E-6</v>
      </c>
      <c r="Y69" s="16">
        <f>tblCalculation[[#This Row],[FIAttributable]]*tblBOneExport[[#This Row],[PTF_TRADING]]</f>
        <v>0</v>
      </c>
      <c r="Z69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69" s="16">
        <f>tblCalculation[[#This Row],[FIAttributable]]*tblBOneExport[[#This Row],[PTF_MODEL_RESIDUAL]]-PTF_Credit_Adj*tblCalculation[[#This Row],[PtfDTSWeight]]</f>
        <v>1.7292000000000001E-6</v>
      </c>
      <c r="AB69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69" s="16">
        <f>tblBOneExport[[#This Row],[BMK_WEIGHT]]</f>
        <v>0</v>
      </c>
      <c r="AD69" s="78">
        <f>tblCalculation[[#This Row],[FIAttributable]]*SUMIFS(tblDTS[DTSContribution_BM],tblDTS[ISIN],tblCalculation[[#This Row],[ISIN]])</f>
        <v>6.3317171877740788E-2</v>
      </c>
      <c r="AE69" s="16">
        <f>IF(SUM(tblCalculation[BMKDTS])=0,0,tblCalculation[[#This Row],[BMKDTS]]/SUM(tblCalculation[BMKDTS]))</f>
        <v>7.5252636739942076E-3</v>
      </c>
      <c r="AF69" s="16">
        <f>tblBOneExport[[#This Row],[BMK_CONTRIBUTION]]</f>
        <v>0</v>
      </c>
      <c r="AG69" s="16">
        <f>tblCalculation[[#This Row],[BMKContributionBase]]-tblBOneExport[BMK_SPOT_CCY_RETURN]-tblBOneExport[[#This Row],[BMK_CROSS_EFFECT]]</f>
        <v>0</v>
      </c>
      <c r="AH69" s="16">
        <f>tblCalculation[[#This Row],[FIAttributable]]*(tblBOneExport[[#This Row],[BMK_RETURN_GOV_CARRY]])</f>
        <v>0</v>
      </c>
      <c r="AI69" s="16">
        <f>tblCalculation[[#This Row],[FIAttributable]]*tblBOneExport[[#This Row],[BMK_CREDIT_CARRY]]</f>
        <v>0</v>
      </c>
      <c r="AJ69" s="16">
        <f>tblCalculation[[#This Row],[FIAttributable]]*tblBOneExport[[#This Row],[BMK_TOTAL_CURVE]]</f>
        <v>0</v>
      </c>
      <c r="AK69" s="16">
        <f>tblCalculation[[#This Row],[FIAttributable]]*(tblBOneExport[[#This Row],[BMK_TOTAL_SPREAD]]+BMK_Credit_Adj*tblCalculation[[#This Row],[BmkDTSWeight]])</f>
        <v>0</v>
      </c>
      <c r="AL69" s="16">
        <f>tblCalculation[[#This Row],[FIAttributable]]*tblBOneExport[[#This Row],[BMK_MODEL_RESIDUAL]]-BMK_Credit_Adj*tblCalculation[[#This Row],[BmkDTSWeight]]</f>
        <v>0</v>
      </c>
      <c r="AM69" s="16">
        <f>IF(tblCalculation[[#This Row],[Level3]]="Forward Contracts",tblCalculation[[#This Row],[BMKContributionLocal]],0)</f>
        <v>0</v>
      </c>
      <c r="AN69" s="16">
        <f>tblBOneExport[[#This Row],[BMK_SPOT_CCY_RETURN]]+tblBOneExport[[#This Row],[BMK_CROSS_EFFECT]]</f>
        <v>0</v>
      </c>
    </row>
    <row r="70" spans="5:40" x14ac:dyDescent="0.25">
      <c r="E70" s="7" t="str">
        <f>tblBOneExport[[#This Row],[INSTRUMENT_CODE]]</f>
        <v>S00043964</v>
      </c>
      <c r="F70" s="7" t="str">
        <f>tblBOneExport[[#This Row],[INSTRUMENT]]</f>
        <v>FIRSTGROUP PLC 6.125 18/01/19</v>
      </c>
      <c r="G70" s="7" t="str">
        <f>IF(tblBOneExport[[#This Row],[ISIN]]&lt;&gt;"", tblBOneExport[[#This Row],[ISIN]],"")</f>
        <v>XS0181013607</v>
      </c>
      <c r="H70" s="7" t="str">
        <f>IF(tblCalculation[[#This Row],[B1Level2]]="CDS",tblBOneExport[[#This Row],[B1_TICKER]],IF(tblCalculation[[#This Row],[ISIN]]="","",INDEX(tblGetStaticData[Ticker],MATCH(tblCalculation[[#This Row],[ISIN]],tblGetStaticData[ISIN],0))))</f>
        <v>FGPLN</v>
      </c>
      <c r="I70" s="7" t="str">
        <f>IF(tblBOneExport[[#This Row],[INSTRUMENT_TYPE]]="Forward Contract","Forward Contract",tblBOneExport[LEVEL2])</f>
        <v>Corporates</v>
      </c>
      <c r="J70" s="7" t="str">
        <f>IF(tblBOneExport[[#This Row],[INSTRUMENT_TYPE]]="Forward Contract","Forward Contract",tblBOneExport[[#This Row],[LEVEL3]])</f>
        <v>Industrials</v>
      </c>
      <c r="K70" s="7" t="str">
        <f>INDEX(tblLvl2Mapping[],MATCH(tblCalculation[[#This Row],[B1Level2]]&amp;"_"&amp;tblCalculation[[#This Row],[B1Level3]],tblLvl2Mapping[B1Level2_B1Level3],0),2)</f>
        <v>Corporate</v>
      </c>
      <c r="L70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70" s="7">
        <f>INDEX(tblAttributable[],MATCH(tblCalculation[[#This Row],[Level3]],tblAttributable[Level3],0),2)</f>
        <v>1</v>
      </c>
      <c r="N70" s="16">
        <f>tblBOneExport[[#This Row],[PTF_WEIGHT]]</f>
        <v>1.4049516E-3</v>
      </c>
      <c r="O70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1.5441301811659647E-3</v>
      </c>
      <c r="P70" s="48">
        <f>tblCalculation[[#This Row],[PtfDTS]]/SUM(tblCalculation[PtfDTS])</f>
        <v>1.8726019132342013E-4</v>
      </c>
      <c r="Q70" s="16">
        <f>tblBOneExport[[#This Row],[PTF_CONTRIBUTION]]</f>
        <v>2.8455999999999999E-6</v>
      </c>
      <c r="R70" s="16">
        <f>tblCalculation[[#This Row],[PtfContributionBase]]-tblCalculation[[#This Row],[PtfCurrencyReturn]]</f>
        <v>2.8455999999999999E-6</v>
      </c>
      <c r="S70" s="16">
        <f>IF(tblBOneExport[[#This Row],[LEVEL1]]="Bonds",tblBOneExport[[#This Row],[PTF_GOV_CARRY]],"")</f>
        <v>2.5409999999999998E-7</v>
      </c>
      <c r="T70" s="16">
        <f>tblCalculation[[#This Row],[FIAttributable]]*tblBOneExport[[#This Row],[PTF_CREDIT_CARRY]]</f>
        <v>1.1876000000000001E-6</v>
      </c>
      <c r="U70" s="16">
        <f>tblCalculation[[#This Row],[FIAttributable]]*tblBOneExport[[#This Row],[PTF_TOTAL_CURVE]]</f>
        <v>2.4246999999999998E-6</v>
      </c>
      <c r="V70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-6.906E-7</v>
      </c>
      <c r="W70" s="16">
        <f>IF(AND(tblCalculation[[#This Row],[Level3]]="Forward Contracts",tblBOneExport[[#This Row],[PTF_COST_OF_CARRY]]=0),tblBOneExport[[#This Row],[PTF_VALUATION]],0)</f>
        <v>0</v>
      </c>
      <c r="X70" s="16">
        <f>SUM(tblCalculation[[#This Row],[PtfTrading]:[PtfModelRes]])</f>
        <v>-3.3029999999999999E-7</v>
      </c>
      <c r="Y70" s="16">
        <f>tblCalculation[[#This Row],[FIAttributable]]*tblBOneExport[[#This Row],[PTF_TRADING]]</f>
        <v>0</v>
      </c>
      <c r="Z70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70" s="16">
        <f>tblCalculation[[#This Row],[FIAttributable]]*tblBOneExport[[#This Row],[PTF_MODEL_RESIDUAL]]-PTF_Credit_Adj*tblCalculation[[#This Row],[PtfDTSWeight]]</f>
        <v>-3.3029999999999999E-7</v>
      </c>
      <c r="AB70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70" s="16">
        <f>tblBOneExport[[#This Row],[BMK_WEIGHT]]</f>
        <v>0</v>
      </c>
      <c r="AD70" s="78">
        <f>tblCalculation[[#This Row],[FIAttributable]]*SUMIFS(tblDTS[DTSContribution_BM],tblDTS[ISIN],tblCalculation[[#This Row],[ISIN]])</f>
        <v>2.0375503210366581E-3</v>
      </c>
      <c r="AE70" s="16">
        <f>IF(SUM(tblCalculation[BMKDTS])=0,0,tblCalculation[[#This Row],[BMKDTS]]/SUM(tblCalculation[BMKDTS]))</f>
        <v>2.4216342834198451E-4</v>
      </c>
      <c r="AF70" s="16">
        <f>tblBOneExport[[#This Row],[BMK_CONTRIBUTION]]</f>
        <v>0</v>
      </c>
      <c r="AG70" s="16">
        <f>tblCalculation[[#This Row],[BMKContributionBase]]-tblBOneExport[BMK_SPOT_CCY_RETURN]-tblBOneExport[[#This Row],[BMK_CROSS_EFFECT]]</f>
        <v>0</v>
      </c>
      <c r="AH70" s="16">
        <f>tblCalculation[[#This Row],[FIAttributable]]*(tblBOneExport[[#This Row],[BMK_RETURN_GOV_CARRY]])</f>
        <v>0</v>
      </c>
      <c r="AI70" s="16">
        <f>tblCalculation[[#This Row],[FIAttributable]]*tblBOneExport[[#This Row],[BMK_CREDIT_CARRY]]</f>
        <v>0</v>
      </c>
      <c r="AJ70" s="16">
        <f>tblCalculation[[#This Row],[FIAttributable]]*tblBOneExport[[#This Row],[BMK_TOTAL_CURVE]]</f>
        <v>0</v>
      </c>
      <c r="AK70" s="16">
        <f>tblCalculation[[#This Row],[FIAttributable]]*(tblBOneExport[[#This Row],[BMK_TOTAL_SPREAD]]+BMK_Credit_Adj*tblCalculation[[#This Row],[BmkDTSWeight]])</f>
        <v>0</v>
      </c>
      <c r="AL70" s="16">
        <f>tblCalculation[[#This Row],[FIAttributable]]*tblBOneExport[[#This Row],[BMK_MODEL_RESIDUAL]]-BMK_Credit_Adj*tblCalculation[[#This Row],[BmkDTSWeight]]</f>
        <v>0</v>
      </c>
      <c r="AM70" s="16">
        <f>IF(tblCalculation[[#This Row],[Level3]]="Forward Contracts",tblCalculation[[#This Row],[BMKContributionLocal]],0)</f>
        <v>0</v>
      </c>
      <c r="AN70" s="16">
        <f>tblBOneExport[[#This Row],[BMK_SPOT_CCY_RETURN]]+tblBOneExport[[#This Row],[BMK_CROSS_EFFECT]]</f>
        <v>0</v>
      </c>
    </row>
    <row r="71" spans="5:40" x14ac:dyDescent="0.25">
      <c r="E71" s="7" t="str">
        <f>tblBOneExport[[#This Row],[INSTRUMENT_CODE]]</f>
        <v>S00045355</v>
      </c>
      <c r="F71" s="7" t="str">
        <f>tblBOneExport[[#This Row],[INSTRUMENT]]</f>
        <v>BAT INTL FINANCE 6.375 12/12/19 EMTN</v>
      </c>
      <c r="G71" s="7" t="str">
        <f>IF(tblBOneExport[[#This Row],[ISIN]]&lt;&gt;"", tblBOneExport[[#This Row],[ISIN]],"")</f>
        <v>XS0182188366</v>
      </c>
      <c r="H71" s="7" t="str">
        <f>IF(tblCalculation[[#This Row],[B1Level2]]="CDS",tblBOneExport[[#This Row],[B1_TICKER]],IF(tblCalculation[[#This Row],[ISIN]]="","",INDEX(tblGetStaticData[Ticker],MATCH(tblCalculation[[#This Row],[ISIN]],tblGetStaticData[ISIN],0))))</f>
        <v>BATSLN</v>
      </c>
      <c r="I71" s="7" t="str">
        <f>IF(tblBOneExport[[#This Row],[INSTRUMENT_TYPE]]="Forward Contract","Forward Contract",tblBOneExport[LEVEL2])</f>
        <v>Corporates</v>
      </c>
      <c r="J71" s="7" t="str">
        <f>IF(tblBOneExport[[#This Row],[INSTRUMENT_TYPE]]="Forward Contract","Forward Contract",tblBOneExport[[#This Row],[LEVEL3]])</f>
        <v>Industrials</v>
      </c>
      <c r="K71" s="7" t="str">
        <f>INDEX(tblLvl2Mapping[],MATCH(tblCalculation[[#This Row],[B1Level2]]&amp;"_"&amp;tblCalculation[[#This Row],[B1Level3]],tblLvl2Mapping[B1Level2_B1Level3],0),2)</f>
        <v>Corporate</v>
      </c>
      <c r="L71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71" s="7">
        <f>INDEX(tblAttributable[],MATCH(tblCalculation[[#This Row],[Level3]],tblAttributable[Level3],0),2)</f>
        <v>1</v>
      </c>
      <c r="N71" s="16">
        <f>tblBOneExport[[#This Row],[PTF_WEIGHT]]</f>
        <v>1.3459415E-3</v>
      </c>
      <c r="O71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1.7497017842436093E-3</v>
      </c>
      <c r="P71" s="48">
        <f>tblCalculation[[#This Row],[PtfDTS]]/SUM(tblCalculation[PtfDTS])</f>
        <v>2.1219032881604672E-4</v>
      </c>
      <c r="Q71" s="16">
        <f>tblBOneExport[[#This Row],[PTF_CONTRIBUTION]]</f>
        <v>4.0333E-6</v>
      </c>
      <c r="R71" s="16">
        <f>tblCalculation[[#This Row],[PtfContributionBase]]-tblCalculation[[#This Row],[PtfCurrencyReturn]]</f>
        <v>4.0333E-6</v>
      </c>
      <c r="S71" s="16">
        <f>IF(tblBOneExport[[#This Row],[LEVEL1]]="Bonds",tblBOneExport[[#This Row],[PTF_GOV_CARRY]],"")</f>
        <v>2.5499999999999999E-7</v>
      </c>
      <c r="T71" s="16">
        <f>tblCalculation[[#This Row],[FIAttributable]]*tblBOneExport[[#This Row],[PTF_CREDIT_CARRY]]</f>
        <v>9.9999999999999995E-7</v>
      </c>
      <c r="U71" s="16">
        <f>tblCalculation[[#This Row],[FIAttributable]]*tblBOneExport[[#This Row],[PTF_TOTAL_CURVE]]</f>
        <v>3.0158E-6</v>
      </c>
      <c r="V71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1.143E-7</v>
      </c>
      <c r="W71" s="16">
        <f>IF(AND(tblCalculation[[#This Row],[Level3]]="Forward Contracts",tblBOneExport[[#This Row],[PTF_COST_OF_CARRY]]=0),tblBOneExport[[#This Row],[PTF_VALUATION]],0)</f>
        <v>0</v>
      </c>
      <c r="X71" s="16">
        <f>SUM(tblCalculation[[#This Row],[PtfTrading]:[PtfModelRes]])</f>
        <v>-3.5180000000000001E-7</v>
      </c>
      <c r="Y71" s="16">
        <f>tblCalculation[[#This Row],[FIAttributable]]*tblBOneExport[[#This Row],[PTF_TRADING]]</f>
        <v>0</v>
      </c>
      <c r="Z71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71" s="16">
        <f>tblCalculation[[#This Row],[FIAttributable]]*tblBOneExport[[#This Row],[PTF_MODEL_RESIDUAL]]-PTF_Credit_Adj*tblCalculation[[#This Row],[PtfDTSWeight]]</f>
        <v>-3.5180000000000001E-7</v>
      </c>
      <c r="AB71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71" s="16">
        <f>tblBOneExport[[#This Row],[BMK_WEIGHT]]</f>
        <v>0</v>
      </c>
      <c r="AD71" s="78">
        <f>tblCalculation[[#This Row],[FIAttributable]]*SUMIFS(tblDTS[DTSContribution_BM],tblDTS[ISIN],tblCalculation[[#This Row],[ISIN]])</f>
        <v>2.3091549020323519E-3</v>
      </c>
      <c r="AE71" s="16">
        <f>IF(SUM(tblCalculation[BMKDTS])=0,0,tblCalculation[[#This Row],[BMKDTS]]/SUM(tblCalculation[BMKDTS]))</f>
        <v>2.7444370913222373E-4</v>
      </c>
      <c r="AF71" s="16">
        <f>tblBOneExport[[#This Row],[BMK_CONTRIBUTION]]</f>
        <v>0</v>
      </c>
      <c r="AG71" s="16">
        <f>tblCalculation[[#This Row],[BMKContributionBase]]-tblBOneExport[BMK_SPOT_CCY_RETURN]-tblBOneExport[[#This Row],[BMK_CROSS_EFFECT]]</f>
        <v>0</v>
      </c>
      <c r="AH71" s="16">
        <f>tblCalculation[[#This Row],[FIAttributable]]*(tblBOneExport[[#This Row],[BMK_RETURN_GOV_CARRY]])</f>
        <v>0</v>
      </c>
      <c r="AI71" s="16">
        <f>tblCalculation[[#This Row],[FIAttributable]]*tblBOneExport[[#This Row],[BMK_CREDIT_CARRY]]</f>
        <v>0</v>
      </c>
      <c r="AJ71" s="16">
        <f>tblCalculation[[#This Row],[FIAttributable]]*tblBOneExport[[#This Row],[BMK_TOTAL_CURVE]]</f>
        <v>0</v>
      </c>
      <c r="AK71" s="16">
        <f>tblCalculation[[#This Row],[FIAttributable]]*(tblBOneExport[[#This Row],[BMK_TOTAL_SPREAD]]+BMK_Credit_Adj*tblCalculation[[#This Row],[BmkDTSWeight]])</f>
        <v>0</v>
      </c>
      <c r="AL71" s="16">
        <f>tblCalculation[[#This Row],[FIAttributable]]*tblBOneExport[[#This Row],[BMK_MODEL_RESIDUAL]]-BMK_Credit_Adj*tblCalculation[[#This Row],[BmkDTSWeight]]</f>
        <v>0</v>
      </c>
      <c r="AM71" s="16">
        <f>IF(tblCalculation[[#This Row],[Level3]]="Forward Contracts",tblCalculation[[#This Row],[BMKContributionLocal]],0)</f>
        <v>0</v>
      </c>
      <c r="AN71" s="16">
        <f>tblBOneExport[[#This Row],[BMK_SPOT_CCY_RETURN]]+tblBOneExport[[#This Row],[BMK_CROSS_EFFECT]]</f>
        <v>0</v>
      </c>
    </row>
    <row r="72" spans="5:40" x14ac:dyDescent="0.25">
      <c r="E72" s="7" t="str">
        <f>tblBOneExport[[#This Row],[INSTRUMENT_CODE]]</f>
        <v>S00049100</v>
      </c>
      <c r="F72" s="7" t="str">
        <f>tblBOneExport[[#This Row],[INSTRUMENT]]</f>
        <v>EDF NRG NET EPN 5.75 08/03/24 EMTN</v>
      </c>
      <c r="G72" s="7" t="str">
        <f>IF(tblBOneExport[[#This Row],[ISIN]]&lt;&gt;"", tblBOneExport[[#This Row],[ISIN]],"")</f>
        <v>XS0187202303</v>
      </c>
      <c r="H72" s="7" t="str">
        <f>IF(tblCalculation[[#This Row],[B1Level2]]="CDS",tblBOneExport[[#This Row],[B1_TICKER]],IF(tblCalculation[[#This Row],[ISIN]]="","",INDEX(tblGetStaticData[Ticker],MATCH(tblCalculation[[#This Row],[ISIN]],tblGetStaticData[ISIN],0))))</f>
        <v>UKPONE</v>
      </c>
      <c r="I72" s="7" t="str">
        <f>IF(tblBOneExport[[#This Row],[INSTRUMENT_TYPE]]="Forward Contract","Forward Contract",tblBOneExport[LEVEL2])</f>
        <v>Corporates</v>
      </c>
      <c r="J72" s="7" t="str">
        <f>IF(tblBOneExport[[#This Row],[INSTRUMENT_TYPE]]="Forward Contract","Forward Contract",tblBOneExport[[#This Row],[LEVEL3]])</f>
        <v>Utilities</v>
      </c>
      <c r="K72" s="7" t="str">
        <f>INDEX(tblLvl2Mapping[],MATCH(tblCalculation[[#This Row],[B1Level2]]&amp;"_"&amp;tblCalculation[[#This Row],[B1Level3]],tblLvl2Mapping[B1Level2_B1Level3],0),2)</f>
        <v>Corporate</v>
      </c>
      <c r="L72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72" s="7">
        <f>INDEX(tblAttributable[],MATCH(tblCalculation[[#This Row],[Level3]],tblAttributable[Level3],0),2)</f>
        <v>1</v>
      </c>
      <c r="N72" s="16">
        <f>tblBOneExport[[#This Row],[PTF_WEIGHT]]</f>
        <v>8.8210359999999995E-4</v>
      </c>
      <c r="O72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4.1584804811637998E-3</v>
      </c>
      <c r="P72" s="48">
        <f>tblCalculation[[#This Row],[PtfDTS]]/SUM(tblCalculation[PtfDTS])</f>
        <v>5.0430841907994801E-4</v>
      </c>
      <c r="Q72" s="16">
        <f>tblBOneExport[[#This Row],[PTF_CONTRIBUTION]]</f>
        <v>9.0525000000000001E-6</v>
      </c>
      <c r="R72" s="16">
        <f>tblCalculation[[#This Row],[PtfContributionBase]]-tblCalculation[[#This Row],[PtfCurrencyReturn]]</f>
        <v>9.0525000000000001E-6</v>
      </c>
      <c r="S72" s="16">
        <f>IF(tblBOneExport[[#This Row],[LEVEL1]]="Bonds",tblBOneExport[[#This Row],[PTF_GOV_CARRY]],"")</f>
        <v>5.1460000000000002E-7</v>
      </c>
      <c r="T72" s="16">
        <f>tblCalculation[[#This Row],[FIAttributable]]*tblBOneExport[[#This Row],[PTF_CREDIT_CARRY]]</f>
        <v>8.1510000000000004E-7</v>
      </c>
      <c r="U72" s="16">
        <f>tblCalculation[[#This Row],[FIAttributable]]*tblBOneExport[[#This Row],[PTF_TOTAL_CURVE]]</f>
        <v>7.7982999999999995E-6</v>
      </c>
      <c r="V72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-2.8389999999999999E-7</v>
      </c>
      <c r="W72" s="16">
        <f>IF(AND(tblCalculation[[#This Row],[Level3]]="Forward Contracts",tblBOneExport[[#This Row],[PTF_COST_OF_CARRY]]=0),tblBOneExport[[#This Row],[PTF_VALUATION]],0)</f>
        <v>0</v>
      </c>
      <c r="X72" s="16">
        <f>SUM(tblCalculation[[#This Row],[PtfTrading]:[PtfModelRes]])</f>
        <v>2.0840000000000001E-7</v>
      </c>
      <c r="Y72" s="16">
        <f>tblCalculation[[#This Row],[FIAttributable]]*tblBOneExport[[#This Row],[PTF_TRADING]]</f>
        <v>0</v>
      </c>
      <c r="Z72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72" s="16">
        <f>tblCalculation[[#This Row],[FIAttributable]]*tblBOneExport[[#This Row],[PTF_MODEL_RESIDUAL]]-PTF_Credit_Adj*tblCalculation[[#This Row],[PtfDTSWeight]]</f>
        <v>2.0840000000000001E-7</v>
      </c>
      <c r="AB72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72" s="16">
        <f>tblBOneExport[[#This Row],[BMK_WEIGHT]]</f>
        <v>0</v>
      </c>
      <c r="AD72" s="78">
        <f>tblCalculation[[#This Row],[FIAttributable]]*SUMIFS(tblDTS[DTSContribution_BM],tblDTS[ISIN],tblCalculation[[#This Row],[ISIN]])</f>
        <v>5.4884101808363216E-3</v>
      </c>
      <c r="AE72" s="16">
        <f>IF(SUM(tblCalculation[BMKDTS])=0,0,tblCalculation[[#This Row],[BMKDTS]]/SUM(tblCalculation[BMKDTS]))</f>
        <v>6.5229909259966823E-4</v>
      </c>
      <c r="AF72" s="16">
        <f>tblBOneExport[[#This Row],[BMK_CONTRIBUTION]]</f>
        <v>0</v>
      </c>
      <c r="AG72" s="16">
        <f>tblCalculation[[#This Row],[BMKContributionBase]]-tblBOneExport[BMK_SPOT_CCY_RETURN]-tblBOneExport[[#This Row],[BMK_CROSS_EFFECT]]</f>
        <v>0</v>
      </c>
      <c r="AH72" s="16">
        <f>tblCalculation[[#This Row],[FIAttributable]]*(tblBOneExport[[#This Row],[BMK_RETURN_GOV_CARRY]])</f>
        <v>0</v>
      </c>
      <c r="AI72" s="16">
        <f>tblCalculation[[#This Row],[FIAttributable]]*tblBOneExport[[#This Row],[BMK_CREDIT_CARRY]]</f>
        <v>0</v>
      </c>
      <c r="AJ72" s="16">
        <f>tblCalculation[[#This Row],[FIAttributable]]*tblBOneExport[[#This Row],[BMK_TOTAL_CURVE]]</f>
        <v>0</v>
      </c>
      <c r="AK72" s="16">
        <f>tblCalculation[[#This Row],[FIAttributable]]*(tblBOneExport[[#This Row],[BMK_TOTAL_SPREAD]]+BMK_Credit_Adj*tblCalculation[[#This Row],[BmkDTSWeight]])</f>
        <v>0</v>
      </c>
      <c r="AL72" s="16">
        <f>tblCalculation[[#This Row],[FIAttributable]]*tblBOneExport[[#This Row],[BMK_MODEL_RESIDUAL]]-BMK_Credit_Adj*tblCalculation[[#This Row],[BmkDTSWeight]]</f>
        <v>0</v>
      </c>
      <c r="AM72" s="16">
        <f>IF(tblCalculation[[#This Row],[Level3]]="Forward Contracts",tblCalculation[[#This Row],[BMKContributionLocal]],0)</f>
        <v>0</v>
      </c>
      <c r="AN72" s="16">
        <f>tblBOneExport[[#This Row],[BMK_SPOT_CCY_RETURN]]+tblBOneExport[[#This Row],[BMK_CROSS_EFFECT]]</f>
        <v>0</v>
      </c>
    </row>
    <row r="73" spans="5:40" x14ac:dyDescent="0.25">
      <c r="E73" s="7" t="str">
        <f>tblBOneExport[[#This Row],[INSTRUMENT_CODE]]</f>
        <v>S00197754</v>
      </c>
      <c r="F73" s="7" t="str">
        <f>tblBOneExport[[#This Row],[INSTRUMENT]]</f>
        <v>AUTOSTRADE PER L 6.25 09/06/22 EMTN</v>
      </c>
      <c r="G73" s="7" t="str">
        <f>IF(tblBOneExport[[#This Row],[ISIN]]&lt;&gt;"", tblBOneExport[[#This Row],[ISIN]],"")</f>
        <v>XS0193942124</v>
      </c>
      <c r="H73" s="7" t="str">
        <f>IF(tblCalculation[[#This Row],[B1Level2]]="CDS",tblBOneExport[[#This Row],[B1_TICKER]],IF(tblCalculation[[#This Row],[ISIN]]="","",INDEX(tblGetStaticData[Ticker],MATCH(tblCalculation[[#This Row],[ISIN]],tblGetStaticData[ISIN],0))))</f>
        <v>ATLIM</v>
      </c>
      <c r="I73" s="7" t="str">
        <f>IF(tblBOneExport[[#This Row],[INSTRUMENT_TYPE]]="Forward Contract","Forward Contract",tblBOneExport[LEVEL2])</f>
        <v>Corporates</v>
      </c>
      <c r="J73" s="7" t="str">
        <f>IF(tblBOneExport[[#This Row],[INSTRUMENT_TYPE]]="Forward Contract","Forward Contract",tblBOneExport[[#This Row],[LEVEL3]])</f>
        <v>Industrials</v>
      </c>
      <c r="K73" s="7" t="str">
        <f>INDEX(tblLvl2Mapping[],MATCH(tblCalculation[[#This Row],[B1Level2]]&amp;"_"&amp;tblCalculation[[#This Row],[B1Level3]],tblLvl2Mapping[B1Level2_B1Level3],0),2)</f>
        <v>Corporate</v>
      </c>
      <c r="L73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73" s="7">
        <f>INDEX(tblAttributable[],MATCH(tblCalculation[[#This Row],[Level3]],tblAttributable[Level3],0),2)</f>
        <v>1</v>
      </c>
      <c r="N73" s="16">
        <f>tblBOneExport[[#This Row],[PTF_WEIGHT]]</f>
        <v>1.1365523E-3</v>
      </c>
      <c r="O73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3.8275229115161524E-3</v>
      </c>
      <c r="P73" s="48">
        <f>tblCalculation[[#This Row],[PtfDTS]]/SUM(tblCalculation[PtfDTS])</f>
        <v>4.6417243924607446E-4</v>
      </c>
      <c r="Q73" s="16">
        <f>tblBOneExport[[#This Row],[PTF_CONTRIBUTION]]</f>
        <v>9.2938000000000007E-6</v>
      </c>
      <c r="R73" s="16">
        <f>tblCalculation[[#This Row],[PtfContributionBase]]-tblCalculation[[#This Row],[PtfCurrencyReturn]]</f>
        <v>9.2938000000000007E-6</v>
      </c>
      <c r="S73" s="16">
        <f>IF(tblBOneExport[[#This Row],[LEVEL1]]="Bonds",tblBOneExport[[#This Row],[PTF_GOV_CARRY]],"")</f>
        <v>4.4480000000000001E-7</v>
      </c>
      <c r="T73" s="16">
        <f>tblCalculation[[#This Row],[FIAttributable]]*tblBOneExport[[#This Row],[PTF_CREDIT_CARRY]]</f>
        <v>1.0651E-6</v>
      </c>
      <c r="U73" s="16">
        <f>tblCalculation[[#This Row],[FIAttributable]]*tblBOneExport[[#This Row],[PTF_TOTAL_CURVE]]</f>
        <v>7.858E-6</v>
      </c>
      <c r="V73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-2.8620000000000001E-7</v>
      </c>
      <c r="W73" s="16">
        <f>IF(AND(tblCalculation[[#This Row],[Level3]]="Forward Contracts",tblBOneExport[[#This Row],[PTF_COST_OF_CARRY]]=0),tblBOneExport[[#This Row],[PTF_VALUATION]],0)</f>
        <v>0</v>
      </c>
      <c r="X73" s="16">
        <f>SUM(tblCalculation[[#This Row],[PtfTrading]:[PtfModelRes]])</f>
        <v>2.121E-7</v>
      </c>
      <c r="Y73" s="16">
        <f>tblCalculation[[#This Row],[FIAttributable]]*tblBOneExport[[#This Row],[PTF_TRADING]]</f>
        <v>0</v>
      </c>
      <c r="Z73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73" s="16">
        <f>tblCalculation[[#This Row],[FIAttributable]]*tblBOneExport[[#This Row],[PTF_MODEL_RESIDUAL]]-PTF_Credit_Adj*tblCalculation[[#This Row],[PtfDTSWeight]]</f>
        <v>2.121E-7</v>
      </c>
      <c r="AB73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73" s="16">
        <f>tblBOneExport[[#This Row],[BMK_WEIGHT]]</f>
        <v>0</v>
      </c>
      <c r="AD73" s="78">
        <f>tblCalculation[[#This Row],[FIAttributable]]*SUMIFS(tblDTS[DTSContribution_BM],tblDTS[ISIN],tblCalculation[[#This Row],[ISIN]])</f>
        <v>5.0513327339566224E-3</v>
      </c>
      <c r="AE73" s="16">
        <f>IF(SUM(tblCalculation[BMKDTS])=0,0,tblCalculation[[#This Row],[BMKDTS]]/SUM(tblCalculation[BMKDTS]))</f>
        <v>6.0035231519026491E-4</v>
      </c>
      <c r="AF73" s="16">
        <f>tblBOneExport[[#This Row],[BMK_CONTRIBUTION]]</f>
        <v>0</v>
      </c>
      <c r="AG73" s="16">
        <f>tblCalculation[[#This Row],[BMKContributionBase]]-tblBOneExport[BMK_SPOT_CCY_RETURN]-tblBOneExport[[#This Row],[BMK_CROSS_EFFECT]]</f>
        <v>0</v>
      </c>
      <c r="AH73" s="16">
        <f>tblCalculation[[#This Row],[FIAttributable]]*(tblBOneExport[[#This Row],[BMK_RETURN_GOV_CARRY]])</f>
        <v>0</v>
      </c>
      <c r="AI73" s="16">
        <f>tblCalculation[[#This Row],[FIAttributable]]*tblBOneExport[[#This Row],[BMK_CREDIT_CARRY]]</f>
        <v>0</v>
      </c>
      <c r="AJ73" s="16">
        <f>tblCalculation[[#This Row],[FIAttributable]]*tblBOneExport[[#This Row],[BMK_TOTAL_CURVE]]</f>
        <v>0</v>
      </c>
      <c r="AK73" s="16">
        <f>tblCalculation[[#This Row],[FIAttributable]]*(tblBOneExport[[#This Row],[BMK_TOTAL_SPREAD]]+BMK_Credit_Adj*tblCalculation[[#This Row],[BmkDTSWeight]])</f>
        <v>0</v>
      </c>
      <c r="AL73" s="16">
        <f>tblCalculation[[#This Row],[FIAttributable]]*tblBOneExport[[#This Row],[BMK_MODEL_RESIDUAL]]-BMK_Credit_Adj*tblCalculation[[#This Row],[BmkDTSWeight]]</f>
        <v>0</v>
      </c>
      <c r="AM73" s="16">
        <f>IF(tblCalculation[[#This Row],[Level3]]="Forward Contracts",tblCalculation[[#This Row],[BMKContributionLocal]],0)</f>
        <v>0</v>
      </c>
      <c r="AN73" s="16">
        <f>tblBOneExport[[#This Row],[BMK_SPOT_CCY_RETURN]]+tblBOneExport[[#This Row],[BMK_CROSS_EFFECT]]</f>
        <v>0</v>
      </c>
    </row>
    <row r="74" spans="5:40" x14ac:dyDescent="0.25">
      <c r="E74" s="7" t="str">
        <f>tblBOneExport[[#This Row],[INSTRUMENT_CODE]]</f>
        <v>S00203906</v>
      </c>
      <c r="F74" s="7" t="str">
        <f>tblBOneExport[[#This Row],[INSTRUMENT]]</f>
        <v>AFFINITY WATER 5.875 13/07/26</v>
      </c>
      <c r="G74" s="7" t="str">
        <f>IF(tblBOneExport[[#This Row],[ISIN]]&lt;&gt;"", tblBOneExport[[#This Row],[ISIN]],"")</f>
        <v>XS0195751523</v>
      </c>
      <c r="H74" s="7" t="str">
        <f>IF(tblCalculation[[#This Row],[B1Level2]]="CDS",tblBOneExport[[#This Row],[B1_TICKER]],IF(tblCalculation[[#This Row],[ISIN]]="","",INDEX(tblGetStaticData[Ticker],MATCH(tblCalculation[[#This Row],[ISIN]],tblGetStaticData[ISIN],0))))</f>
        <v>AFFNTY</v>
      </c>
      <c r="I74" s="7" t="str">
        <f>IF(tblBOneExport[[#This Row],[INSTRUMENT_TYPE]]="Forward Contract","Forward Contract",tblBOneExport[LEVEL2])</f>
        <v>Corporates</v>
      </c>
      <c r="J74" s="7" t="str">
        <f>IF(tblBOneExport[[#This Row],[INSTRUMENT_TYPE]]="Forward Contract","Forward Contract",tblBOneExport[[#This Row],[LEVEL3]])</f>
        <v>Utilities</v>
      </c>
      <c r="K74" s="7" t="str">
        <f>INDEX(tblLvl2Mapping[],MATCH(tblCalculation[[#This Row],[B1Level2]]&amp;"_"&amp;tblCalculation[[#This Row],[B1Level3]],tblLvl2Mapping[B1Level2_B1Level3],0),2)</f>
        <v>Corporate</v>
      </c>
      <c r="L74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74" s="7">
        <f>INDEX(tblAttributable[],MATCH(tblCalculation[[#This Row],[Level3]],tblAttributable[Level3],0),2)</f>
        <v>1</v>
      </c>
      <c r="N74" s="16">
        <f>tblBOneExport[[#This Row],[PTF_WEIGHT]]</f>
        <v>1.0805000400000001E-2</v>
      </c>
      <c r="O74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6.1560848946134485E-2</v>
      </c>
      <c r="P74" s="48">
        <f>tblCalculation[[#This Row],[PtfDTS]]/SUM(tblCalculation[PtfDTS])</f>
        <v>7.4656246554164595E-3</v>
      </c>
      <c r="Q74" s="16">
        <f>tblBOneExport[[#This Row],[PTF_CONTRIBUTION]]</f>
        <v>1.4536789999999999E-4</v>
      </c>
      <c r="R74" s="16">
        <f>tblCalculation[[#This Row],[PtfContributionBase]]-tblCalculation[[#This Row],[PtfCurrencyReturn]]</f>
        <v>1.4536789999999999E-4</v>
      </c>
      <c r="S74" s="16">
        <f>IF(tblBOneExport[[#This Row],[LEVEL1]]="Bonds",tblBOneExport[[#This Row],[PTF_GOV_CARRY]],"")</f>
        <v>8.9863000000000007E-6</v>
      </c>
      <c r="T74" s="16">
        <f>tblCalculation[[#This Row],[FIAttributable]]*tblBOneExport[[#This Row],[PTF_CREDIT_CARRY]]</f>
        <v>8.1630999999999998E-6</v>
      </c>
      <c r="U74" s="16">
        <f>tblCalculation[[#This Row],[FIAttributable]]*tblBOneExport[[#This Row],[PTF_TOTAL_CURVE]]</f>
        <v>1.563139E-4</v>
      </c>
      <c r="V74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-1.87598E-5</v>
      </c>
      <c r="W74" s="16">
        <f>IF(AND(tblCalculation[[#This Row],[Level3]]="Forward Contracts",tblBOneExport[[#This Row],[PTF_COST_OF_CARRY]]=0),tblBOneExport[[#This Row],[PTF_VALUATION]],0)</f>
        <v>0</v>
      </c>
      <c r="X74" s="16">
        <f>SUM(tblCalculation[[#This Row],[PtfTrading]:[PtfModelRes]])</f>
        <v>-9.3355000000000007E-6</v>
      </c>
      <c r="Y74" s="16">
        <f>tblCalculation[[#This Row],[FIAttributable]]*tblBOneExport[[#This Row],[PTF_TRADING]]</f>
        <v>0</v>
      </c>
      <c r="Z74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74" s="16">
        <f>tblCalculation[[#This Row],[FIAttributable]]*tblBOneExport[[#This Row],[PTF_MODEL_RESIDUAL]]-PTF_Credit_Adj*tblCalculation[[#This Row],[PtfDTSWeight]]</f>
        <v>-9.3355000000000007E-6</v>
      </c>
      <c r="AB74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74" s="16">
        <f>tblBOneExport[[#This Row],[BMK_WEIGHT]]</f>
        <v>0</v>
      </c>
      <c r="AD74" s="78">
        <f>tblCalculation[[#This Row],[FIAttributable]]*SUMIFS(tblDTS[DTSContribution_BM],tblDTS[ISIN],tblCalculation[[#This Row],[ISIN]])</f>
        <v>8.1253496531056291E-2</v>
      </c>
      <c r="AE74" s="16">
        <f>IF(SUM(tblCalculation[BMKDTS])=0,0,tblCalculation[[#This Row],[BMKDTS]]/SUM(tblCalculation[BMKDTS]))</f>
        <v>9.6570009003375829E-3</v>
      </c>
      <c r="AF74" s="16">
        <f>tblBOneExport[[#This Row],[BMK_CONTRIBUTION]]</f>
        <v>0</v>
      </c>
      <c r="AG74" s="16">
        <f>tblCalculation[[#This Row],[BMKContributionBase]]-tblBOneExport[BMK_SPOT_CCY_RETURN]-tblBOneExport[[#This Row],[BMK_CROSS_EFFECT]]</f>
        <v>0</v>
      </c>
      <c r="AH74" s="16">
        <f>tblCalculation[[#This Row],[FIAttributable]]*(tblBOneExport[[#This Row],[BMK_RETURN_GOV_CARRY]])</f>
        <v>0</v>
      </c>
      <c r="AI74" s="16">
        <f>tblCalculation[[#This Row],[FIAttributable]]*tblBOneExport[[#This Row],[BMK_CREDIT_CARRY]]</f>
        <v>0</v>
      </c>
      <c r="AJ74" s="16">
        <f>tblCalculation[[#This Row],[FIAttributable]]*tblBOneExport[[#This Row],[BMK_TOTAL_CURVE]]</f>
        <v>0</v>
      </c>
      <c r="AK74" s="16">
        <f>tblCalculation[[#This Row],[FIAttributable]]*(tblBOneExport[[#This Row],[BMK_TOTAL_SPREAD]]+BMK_Credit_Adj*tblCalculation[[#This Row],[BmkDTSWeight]])</f>
        <v>0</v>
      </c>
      <c r="AL74" s="16">
        <f>tblCalculation[[#This Row],[FIAttributable]]*tblBOneExport[[#This Row],[BMK_MODEL_RESIDUAL]]-BMK_Credit_Adj*tblCalculation[[#This Row],[BmkDTSWeight]]</f>
        <v>0</v>
      </c>
      <c r="AM74" s="16">
        <f>IF(tblCalculation[[#This Row],[Level3]]="Forward Contracts",tblCalculation[[#This Row],[BMKContributionLocal]],0)</f>
        <v>0</v>
      </c>
      <c r="AN74" s="16">
        <f>tblBOneExport[[#This Row],[BMK_SPOT_CCY_RETURN]]+tblBOneExport[[#This Row],[BMK_CROSS_EFFECT]]</f>
        <v>0</v>
      </c>
    </row>
    <row r="75" spans="5:40" x14ac:dyDescent="0.25">
      <c r="E75" s="7" t="str">
        <f>tblBOneExport[[#This Row],[INSTRUMENT_CODE]]</f>
        <v>S00208689</v>
      </c>
      <c r="F75" s="7" t="str">
        <f>tblBOneExport[[#This Row],[INSTRUMENT]]</f>
        <v>SOUTH EAST WATER 5.5834 29/03/29 A2</v>
      </c>
      <c r="G75" s="7" t="str">
        <f>IF(tblBOneExport[[#This Row],[ISIN]]&lt;&gt;"", tblBOneExport[[#This Row],[ISIN]],"")</f>
        <v>XS0197111619</v>
      </c>
      <c r="H75" s="7" t="str">
        <f>IF(tblCalculation[[#This Row],[B1Level2]]="CDS",tblBOneExport[[#This Row],[B1_TICKER]],IF(tblCalculation[[#This Row],[ISIN]]="","",INDEX(tblGetStaticData[Ticker],MATCH(tblCalculation[[#This Row],[ISIN]],tblGetStaticData[ISIN],0))))</f>
        <v>SEWLTD</v>
      </c>
      <c r="I75" s="7" t="str">
        <f>IF(tblBOneExport[[#This Row],[INSTRUMENT_TYPE]]="Forward Contract","Forward Contract",tblBOneExport[LEVEL2])</f>
        <v>Corporates</v>
      </c>
      <c r="J75" s="7" t="str">
        <f>IF(tblBOneExport[[#This Row],[INSTRUMENT_TYPE]]="Forward Contract","Forward Contract",tblBOneExport[[#This Row],[LEVEL3]])</f>
        <v>Utilities</v>
      </c>
      <c r="K75" s="7" t="str">
        <f>INDEX(tblLvl2Mapping[],MATCH(tblCalculation[[#This Row],[B1Level2]]&amp;"_"&amp;tblCalculation[[#This Row],[B1Level3]],tblLvl2Mapping[B1Level2_B1Level3],0),2)</f>
        <v>Corporate</v>
      </c>
      <c r="L75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75" s="7">
        <f>INDEX(tblAttributable[],MATCH(tblCalculation[[#This Row],[Level3]],tblAttributable[Level3],0),2)</f>
        <v>1</v>
      </c>
      <c r="N75" s="16">
        <f>tblBOneExport[[#This Row],[PTF_WEIGHT]]</f>
        <v>2.0042580000000001E-3</v>
      </c>
      <c r="O75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2.1727065481944152E-2</v>
      </c>
      <c r="P75" s="48">
        <f>tblCalculation[[#This Row],[PtfDTS]]/SUM(tblCalculation[PtfDTS])</f>
        <v>2.6348908198744938E-3</v>
      </c>
      <c r="Q75" s="16">
        <f>tblBOneExport[[#This Row],[PTF_CONTRIBUTION]]</f>
        <v>4.0865399999999997E-5</v>
      </c>
      <c r="R75" s="16">
        <f>tblCalculation[[#This Row],[PtfContributionBase]]-tblCalculation[[#This Row],[PtfCurrencyReturn]]</f>
        <v>4.0865399999999997E-5</v>
      </c>
      <c r="S75" s="16">
        <f>IF(tblBOneExport[[#This Row],[LEVEL1]]="Bonds",tblBOneExport[[#This Row],[PTF_GOV_CARRY]],"")</f>
        <v>2.2041000000000002E-6</v>
      </c>
      <c r="T75" s="16">
        <f>tblCalculation[[#This Row],[FIAttributable]]*tblBOneExport[[#This Row],[PTF_CREDIT_CARRY]]</f>
        <v>1.9373000000000001E-6</v>
      </c>
      <c r="U75" s="16">
        <f>tblCalculation[[#This Row],[FIAttributable]]*tblBOneExport[[#This Row],[PTF_TOTAL_CURVE]]</f>
        <v>3.5906599999999999E-5</v>
      </c>
      <c r="V75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1.9769000000000001E-6</v>
      </c>
      <c r="W75" s="16">
        <f>IF(AND(tblCalculation[[#This Row],[Level3]]="Forward Contracts",tblBOneExport[[#This Row],[PTF_COST_OF_CARRY]]=0),tblBOneExport[[#This Row],[PTF_VALUATION]],0)</f>
        <v>0</v>
      </c>
      <c r="X75" s="16">
        <f>SUM(tblCalculation[[#This Row],[PtfTrading]:[PtfModelRes]])</f>
        <v>-1.1595000000000001E-6</v>
      </c>
      <c r="Y75" s="16">
        <f>tblCalculation[[#This Row],[FIAttributable]]*tblBOneExport[[#This Row],[PTF_TRADING]]</f>
        <v>0</v>
      </c>
      <c r="Z75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75" s="16">
        <f>tblCalculation[[#This Row],[FIAttributable]]*tblBOneExport[[#This Row],[PTF_MODEL_RESIDUAL]]-PTF_Credit_Adj*tblCalculation[[#This Row],[PtfDTSWeight]]</f>
        <v>-1.1595000000000001E-6</v>
      </c>
      <c r="AB75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75" s="16">
        <f>tblBOneExport[[#This Row],[BMK_WEIGHT]]</f>
        <v>0</v>
      </c>
      <c r="AD75" s="78">
        <f>tblCalculation[[#This Row],[FIAttributable]]*SUMIFS(tblDTS[DTSContribution_BM],tblDTS[ISIN],tblCalculation[[#This Row],[ISIN]])</f>
        <v>0</v>
      </c>
      <c r="AE75" s="16">
        <f>IF(SUM(tblCalculation[BMKDTS])=0,0,tblCalculation[[#This Row],[BMKDTS]]/SUM(tblCalculation[BMKDTS]))</f>
        <v>0</v>
      </c>
      <c r="AF75" s="16">
        <f>tblBOneExport[[#This Row],[BMK_CONTRIBUTION]]</f>
        <v>0</v>
      </c>
      <c r="AG75" s="16">
        <f>tblCalculation[[#This Row],[BMKContributionBase]]-tblBOneExport[BMK_SPOT_CCY_RETURN]-tblBOneExport[[#This Row],[BMK_CROSS_EFFECT]]</f>
        <v>0</v>
      </c>
      <c r="AH75" s="16">
        <f>tblCalculation[[#This Row],[FIAttributable]]*(tblBOneExport[[#This Row],[BMK_RETURN_GOV_CARRY]])</f>
        <v>0</v>
      </c>
      <c r="AI75" s="16">
        <f>tblCalculation[[#This Row],[FIAttributable]]*tblBOneExport[[#This Row],[BMK_CREDIT_CARRY]]</f>
        <v>0</v>
      </c>
      <c r="AJ75" s="16">
        <f>tblCalculation[[#This Row],[FIAttributable]]*tblBOneExport[[#This Row],[BMK_TOTAL_CURVE]]</f>
        <v>0</v>
      </c>
      <c r="AK75" s="16">
        <f>tblCalculation[[#This Row],[FIAttributable]]*(tblBOneExport[[#This Row],[BMK_TOTAL_SPREAD]]+BMK_Credit_Adj*tblCalculation[[#This Row],[BmkDTSWeight]])</f>
        <v>0</v>
      </c>
      <c r="AL75" s="16">
        <f>tblCalculation[[#This Row],[FIAttributable]]*tblBOneExport[[#This Row],[BMK_MODEL_RESIDUAL]]-BMK_Credit_Adj*tblCalculation[[#This Row],[BmkDTSWeight]]</f>
        <v>0</v>
      </c>
      <c r="AM75" s="16">
        <f>IF(tblCalculation[[#This Row],[Level3]]="Forward Contracts",tblCalculation[[#This Row],[BMKContributionLocal]],0)</f>
        <v>0</v>
      </c>
      <c r="AN75" s="16">
        <f>tblBOneExport[[#This Row],[BMK_SPOT_CCY_RETURN]]+tblBOneExport[[#This Row],[BMK_CROSS_EFFECT]]</f>
        <v>0</v>
      </c>
    </row>
    <row r="76" spans="5:40" x14ac:dyDescent="0.25">
      <c r="E76" s="7" t="str">
        <f>tblBOneExport[[#This Row],[INSTRUMENT_CODE]]</f>
        <v>S00485791</v>
      </c>
      <c r="F76" s="7" t="str">
        <f>tblBOneExport[[#This Row],[INSTRUMENT]]</f>
        <v>WAL MART STORES 5.25 28/09/35</v>
      </c>
      <c r="G76" s="7" t="str">
        <f>IF(tblBOneExport[[#This Row],[ISIN]]&lt;&gt;"", tblBOneExport[[#This Row],[ISIN]],"")</f>
        <v>XS0202077953</v>
      </c>
      <c r="H76" s="7" t="str">
        <f>IF(tblCalculation[[#This Row],[B1Level2]]="CDS",tblBOneExport[[#This Row],[B1_TICKER]],IF(tblCalculation[[#This Row],[ISIN]]="","",INDEX(tblGetStaticData[Ticker],MATCH(tblCalculation[[#This Row],[ISIN]],tblGetStaticData[ISIN],0))))</f>
        <v>WMT</v>
      </c>
      <c r="I76" s="7" t="str">
        <f>IF(tblBOneExport[[#This Row],[INSTRUMENT_TYPE]]="Forward Contract","Forward Contract",tblBOneExport[LEVEL2])</f>
        <v>Corporates</v>
      </c>
      <c r="J76" s="7" t="str">
        <f>IF(tblBOneExport[[#This Row],[INSTRUMENT_TYPE]]="Forward Contract","Forward Contract",tblBOneExport[[#This Row],[LEVEL3]])</f>
        <v>Industrials</v>
      </c>
      <c r="K76" s="7" t="str">
        <f>INDEX(tblLvl2Mapping[],MATCH(tblCalculation[[#This Row],[B1Level2]]&amp;"_"&amp;tblCalculation[[#This Row],[B1Level3]],tblLvl2Mapping[B1Level2_B1Level3],0),2)</f>
        <v>Corporate</v>
      </c>
      <c r="L76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76" s="7">
        <f>INDEX(tblAttributable[],MATCH(tblCalculation[[#This Row],[Level3]],tblAttributable[Level3],0),2)</f>
        <v>1</v>
      </c>
      <c r="N76" s="16">
        <f>tblBOneExport[[#This Row],[PTF_WEIGHT]]</f>
        <v>3.3695566999999999E-3</v>
      </c>
      <c r="O76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3.9560272502909125E-2</v>
      </c>
      <c r="P76" s="48">
        <f>tblCalculation[[#This Row],[PtfDTS]]/SUM(tblCalculation[PtfDTS])</f>
        <v>4.7975645370182509E-3</v>
      </c>
      <c r="Q76" s="16">
        <f>tblBOneExport[[#This Row],[PTF_CONTRIBUTION]]</f>
        <v>5.8740399999999998E-5</v>
      </c>
      <c r="R76" s="16">
        <f>tblCalculation[[#This Row],[PtfContributionBase]]-tblCalculation[[#This Row],[PtfCurrencyReturn]]</f>
        <v>5.8740399999999998E-5</v>
      </c>
      <c r="S76" s="16">
        <f>IF(tblBOneExport[[#This Row],[LEVEL1]]="Bonds",tblBOneExport[[#This Row],[PTF_GOV_CARRY]],"")</f>
        <v>4.4916000000000003E-6</v>
      </c>
      <c r="T76" s="16">
        <f>tblCalculation[[#This Row],[FIAttributable]]*tblBOneExport[[#This Row],[PTF_CREDIT_CARRY]]</f>
        <v>2.1025000000000002E-6</v>
      </c>
      <c r="U76" s="16">
        <f>tblCalculation[[#This Row],[FIAttributable]]*tblBOneExport[[#This Row],[PTF_TOTAL_CURVE]]</f>
        <v>4.99155E-5</v>
      </c>
      <c r="V76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3.2442000000000002E-6</v>
      </c>
      <c r="W76" s="16">
        <f>IF(AND(tblCalculation[[#This Row],[Level3]]="Forward Contracts",tblBOneExport[[#This Row],[PTF_COST_OF_CARRY]]=0),tblBOneExport[[#This Row],[PTF_VALUATION]],0)</f>
        <v>0</v>
      </c>
      <c r="X76" s="16">
        <f>SUM(tblCalculation[[#This Row],[PtfTrading]:[PtfModelRes]])</f>
        <v>-1.0133999999999999E-6</v>
      </c>
      <c r="Y76" s="16">
        <f>tblCalculation[[#This Row],[FIAttributable]]*tblBOneExport[[#This Row],[PTF_TRADING]]</f>
        <v>0</v>
      </c>
      <c r="Z76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76" s="16">
        <f>tblCalculation[[#This Row],[FIAttributable]]*tblBOneExport[[#This Row],[PTF_MODEL_RESIDUAL]]-PTF_Credit_Adj*tblCalculation[[#This Row],[PtfDTSWeight]]</f>
        <v>-1.0133999999999999E-6</v>
      </c>
      <c r="AB76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76" s="16">
        <f>tblBOneExport[[#This Row],[BMK_WEIGHT]]</f>
        <v>0</v>
      </c>
      <c r="AD76" s="78">
        <f>tblCalculation[[#This Row],[FIAttributable]]*SUMIFS(tblDTS[DTSContribution_BM],tblDTS[ISIN],tblCalculation[[#This Row],[ISIN]])</f>
        <v>5.2216416128601742E-2</v>
      </c>
      <c r="AE76" s="16">
        <f>IF(SUM(tblCalculation[BMKDTS])=0,0,tblCalculation[[#This Row],[BMKDTS]]/SUM(tblCalculation[BMKDTS]))</f>
        <v>6.2059357331604248E-3</v>
      </c>
      <c r="AF76" s="16">
        <f>tblBOneExport[[#This Row],[BMK_CONTRIBUTION]]</f>
        <v>0</v>
      </c>
      <c r="AG76" s="16">
        <f>tblCalculation[[#This Row],[BMKContributionBase]]-tblBOneExport[BMK_SPOT_CCY_RETURN]-tblBOneExport[[#This Row],[BMK_CROSS_EFFECT]]</f>
        <v>0</v>
      </c>
      <c r="AH76" s="16">
        <f>tblCalculation[[#This Row],[FIAttributable]]*(tblBOneExport[[#This Row],[BMK_RETURN_GOV_CARRY]])</f>
        <v>0</v>
      </c>
      <c r="AI76" s="16">
        <f>tblCalculation[[#This Row],[FIAttributable]]*tblBOneExport[[#This Row],[BMK_CREDIT_CARRY]]</f>
        <v>0</v>
      </c>
      <c r="AJ76" s="16">
        <f>tblCalculation[[#This Row],[FIAttributable]]*tblBOneExport[[#This Row],[BMK_TOTAL_CURVE]]</f>
        <v>0</v>
      </c>
      <c r="AK76" s="16">
        <f>tblCalculation[[#This Row],[FIAttributable]]*(tblBOneExport[[#This Row],[BMK_TOTAL_SPREAD]]+BMK_Credit_Adj*tblCalculation[[#This Row],[BmkDTSWeight]])</f>
        <v>0</v>
      </c>
      <c r="AL76" s="16">
        <f>tblCalculation[[#This Row],[FIAttributable]]*tblBOneExport[[#This Row],[BMK_MODEL_RESIDUAL]]-BMK_Credit_Adj*tblCalculation[[#This Row],[BmkDTSWeight]]</f>
        <v>0</v>
      </c>
      <c r="AM76" s="16">
        <f>IF(tblCalculation[[#This Row],[Level3]]="Forward Contracts",tblCalculation[[#This Row],[BMKContributionLocal]],0)</f>
        <v>0</v>
      </c>
      <c r="AN76" s="16">
        <f>tblBOneExport[[#This Row],[BMK_SPOT_CCY_RETURN]]+tblBOneExport[[#This Row],[BMK_CROSS_EFFECT]]</f>
        <v>0</v>
      </c>
    </row>
    <row r="77" spans="5:40" x14ac:dyDescent="0.25">
      <c r="E77" s="7" t="str">
        <f>tblBOneExport[[#This Row],[INSTRUMENT_CODE]]</f>
        <v>S00499802</v>
      </c>
      <c r="F77" s="7" t="str">
        <f>tblBOneExport[[#This Row],[INSTRUMENT]]</f>
        <v>NETWRK RAIL INFR 4.75 29/11/35 EMTN</v>
      </c>
      <c r="G77" s="7" t="str">
        <f>IF(tblBOneExport[[#This Row],[ISIN]]&lt;&gt;"", tblBOneExport[[#This Row],[ISIN]],"")</f>
        <v>XS0206361221</v>
      </c>
      <c r="H77" s="7" t="str">
        <f>IF(tblCalculation[[#This Row],[B1Level2]]="CDS",tblBOneExport[[#This Row],[B1_TICKER]],IF(tblCalculation[[#This Row],[ISIN]]="","",INDEX(tblGetStaticData[Ticker],MATCH(tblCalculation[[#This Row],[ISIN]],tblGetStaticData[ISIN],0))))</f>
        <v>UKRAIL</v>
      </c>
      <c r="I77" s="7" t="str">
        <f>IF(tblBOneExport[[#This Row],[INSTRUMENT_TYPE]]="Forward Contract","Forward Contract",tblBOneExport[LEVEL2])</f>
        <v>Non-Corporate</v>
      </c>
      <c r="J77" s="7" t="str">
        <f>IF(tblBOneExport[[#This Row],[INSTRUMENT_TYPE]]="Forward Contract","Forward Contract",tblBOneExport[[#This Row],[LEVEL3]])</f>
        <v>Foreign Agency</v>
      </c>
      <c r="K77" s="7" t="str">
        <f>INDEX(tblLvl2Mapping[],MATCH(tblCalculation[[#This Row],[B1Level2]]&amp;"_"&amp;tblCalculation[[#This Row],[B1Level3]],tblLvl2Mapping[B1Level2_B1Level3],0),2)</f>
        <v>Corporate</v>
      </c>
      <c r="L77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77" s="7">
        <f>INDEX(tblAttributable[],MATCH(tblCalculation[[#This Row],[Level3]],tblAttributable[Level3],0),2)</f>
        <v>1</v>
      </c>
      <c r="N77" s="16">
        <f>tblBOneExport[[#This Row],[PTF_WEIGHT]]</f>
        <v>5.1316412000000002E-3</v>
      </c>
      <c r="O77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3.1969063809325064E-2</v>
      </c>
      <c r="P77" s="48">
        <f>tblCalculation[[#This Row],[PtfDTS]]/SUM(tblCalculation[PtfDTS])</f>
        <v>3.8769613329132898E-3</v>
      </c>
      <c r="Q77" s="16">
        <f>tblBOneExport[[#This Row],[PTF_CONTRIBUTION]]</f>
        <v>1.211373E-4</v>
      </c>
      <c r="R77" s="16">
        <f>tblCalculation[[#This Row],[PtfContributionBase]]-tblCalculation[[#This Row],[PtfCurrencyReturn]]</f>
        <v>1.211373E-4</v>
      </c>
      <c r="S77" s="16">
        <f>IF(tblBOneExport[[#This Row],[LEVEL1]]="Bonds",tblBOneExport[[#This Row],[PTF_GOV_CARRY]],"")</f>
        <v>6.8971999999999998E-6</v>
      </c>
      <c r="T77" s="16">
        <f>tblCalculation[[#This Row],[FIAttributable]]*tblBOneExport[[#This Row],[PTF_CREDIT_CARRY]]</f>
        <v>1.2284E-6</v>
      </c>
      <c r="U77" s="16">
        <f>tblCalculation[[#This Row],[FIAttributable]]*tblBOneExport[[#This Row],[PTF_TOTAL_CURVE]]</f>
        <v>7.5760700000000001E-5</v>
      </c>
      <c r="V77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3.7481499999999997E-5</v>
      </c>
      <c r="W77" s="16">
        <f>IF(AND(tblCalculation[[#This Row],[Level3]]="Forward Contracts",tblBOneExport[[#This Row],[PTF_COST_OF_CARRY]]=0),tblBOneExport[[#This Row],[PTF_VALUATION]],0)</f>
        <v>0</v>
      </c>
      <c r="X77" s="16">
        <f>SUM(tblCalculation[[#This Row],[PtfTrading]:[PtfModelRes]])</f>
        <v>-2.3050000000000001E-7</v>
      </c>
      <c r="Y77" s="16">
        <f>tblCalculation[[#This Row],[FIAttributable]]*tblBOneExport[[#This Row],[PTF_TRADING]]</f>
        <v>0</v>
      </c>
      <c r="Z77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77" s="16">
        <f>tblCalculation[[#This Row],[FIAttributable]]*tblBOneExport[[#This Row],[PTF_MODEL_RESIDUAL]]-PTF_Credit_Adj*tblCalculation[[#This Row],[PtfDTSWeight]]</f>
        <v>-2.3050000000000001E-7</v>
      </c>
      <c r="AB77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77" s="16">
        <f>tblBOneExport[[#This Row],[BMK_WEIGHT]]</f>
        <v>0</v>
      </c>
      <c r="AD77" s="78">
        <f>tblCalculation[[#This Row],[FIAttributable]]*SUMIFS(tblDTS[DTSContribution_BM],tblDTS[ISIN],tblCalculation[[#This Row],[ISIN]])</f>
        <v>4.2195870994479877E-2</v>
      </c>
      <c r="AE77" s="16">
        <f>IF(SUM(tblCalculation[BMKDTS])=0,0,tblCalculation[[#This Row],[BMKDTS]]/SUM(tblCalculation[BMKDTS]))</f>
        <v>5.0149911275322607E-3</v>
      </c>
      <c r="AF77" s="16">
        <f>tblBOneExport[[#This Row],[BMK_CONTRIBUTION]]</f>
        <v>0</v>
      </c>
      <c r="AG77" s="16">
        <f>tblCalculation[[#This Row],[BMKContributionBase]]-tblBOneExport[BMK_SPOT_CCY_RETURN]-tblBOneExport[[#This Row],[BMK_CROSS_EFFECT]]</f>
        <v>0</v>
      </c>
      <c r="AH77" s="16">
        <f>tblCalculation[[#This Row],[FIAttributable]]*(tblBOneExport[[#This Row],[BMK_RETURN_GOV_CARRY]])</f>
        <v>0</v>
      </c>
      <c r="AI77" s="16">
        <f>tblCalculation[[#This Row],[FIAttributable]]*tblBOneExport[[#This Row],[BMK_CREDIT_CARRY]]</f>
        <v>0</v>
      </c>
      <c r="AJ77" s="16">
        <f>tblCalculation[[#This Row],[FIAttributable]]*tblBOneExport[[#This Row],[BMK_TOTAL_CURVE]]</f>
        <v>0</v>
      </c>
      <c r="AK77" s="16">
        <f>tblCalculation[[#This Row],[FIAttributable]]*(tblBOneExport[[#This Row],[BMK_TOTAL_SPREAD]]+BMK_Credit_Adj*tblCalculation[[#This Row],[BmkDTSWeight]])</f>
        <v>0</v>
      </c>
      <c r="AL77" s="16">
        <f>tblCalculation[[#This Row],[FIAttributable]]*tblBOneExport[[#This Row],[BMK_MODEL_RESIDUAL]]-BMK_Credit_Adj*tblCalculation[[#This Row],[BmkDTSWeight]]</f>
        <v>0</v>
      </c>
      <c r="AM77" s="16">
        <f>IF(tblCalculation[[#This Row],[Level3]]="Forward Contracts",tblCalculation[[#This Row],[BMKContributionLocal]],0)</f>
        <v>0</v>
      </c>
      <c r="AN77" s="16">
        <f>tblBOneExport[[#This Row],[BMK_SPOT_CCY_RETURN]]+tblBOneExport[[#This Row],[BMK_CROSS_EFFECT]]</f>
        <v>0</v>
      </c>
    </row>
    <row r="78" spans="5:40" x14ac:dyDescent="0.25">
      <c r="E78" s="7" t="str">
        <f>tblBOneExport[[#This Row],[INSTRUMENT_CODE]]</f>
        <v>S00503645</v>
      </c>
      <c r="F78" s="7" t="str">
        <f>tblBOneExport[[#This Row],[INSTRUMENT]]</f>
        <v>METLIFE INC 5.375 09/12/24</v>
      </c>
      <c r="G78" s="7" t="str">
        <f>IF(tblBOneExport[[#This Row],[ISIN]]&lt;&gt;"", tblBOneExport[[#This Row],[ISIN]],"")</f>
        <v>XS0207636712</v>
      </c>
      <c r="H78" s="7" t="str">
        <f>IF(tblCalculation[[#This Row],[B1Level2]]="CDS",tblBOneExport[[#This Row],[B1_TICKER]],IF(tblCalculation[[#This Row],[ISIN]]="","",INDEX(tblGetStaticData[Ticker],MATCH(tblCalculation[[#This Row],[ISIN]],tblGetStaticData[ISIN],0))))</f>
        <v>MET</v>
      </c>
      <c r="I78" s="7" t="str">
        <f>IF(tblBOneExport[[#This Row],[INSTRUMENT_TYPE]]="Forward Contract","Forward Contract",tblBOneExport[LEVEL2])</f>
        <v>Corporates</v>
      </c>
      <c r="J78" s="7" t="str">
        <f>IF(tblBOneExport[[#This Row],[INSTRUMENT_TYPE]]="Forward Contract","Forward Contract",tblBOneExport[[#This Row],[LEVEL3]])</f>
        <v>Financial Institutions</v>
      </c>
      <c r="K78" s="7" t="str">
        <f>INDEX(tblLvl2Mapping[],MATCH(tblCalculation[[#This Row],[B1Level2]]&amp;"_"&amp;tblCalculation[[#This Row],[B1Level3]],tblLvl2Mapping[B1Level2_B1Level3],0),2)</f>
        <v>Corporate</v>
      </c>
      <c r="L78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78" s="7">
        <f>INDEX(tblAttributable[],MATCH(tblCalculation[[#This Row],[Level3]],tblAttributable[Level3],0),2)</f>
        <v>1</v>
      </c>
      <c r="N78" s="16">
        <f>tblBOneExport[[#This Row],[PTF_WEIGHT]]</f>
        <v>8.7896595999999994E-3</v>
      </c>
      <c r="O78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3.4571899387833782E-2</v>
      </c>
      <c r="P78" s="48">
        <f>tblCalculation[[#This Row],[PtfDTS]]/SUM(tblCalculation[PtfDTS])</f>
        <v>4.192613144114149E-3</v>
      </c>
      <c r="Q78" s="16">
        <f>tblBOneExport[[#This Row],[PTF_CONTRIBUTION]]</f>
        <v>8.48211E-5</v>
      </c>
      <c r="R78" s="16">
        <f>tblCalculation[[#This Row],[PtfContributionBase]]-tblCalculation[[#This Row],[PtfCurrencyReturn]]</f>
        <v>8.48211E-5</v>
      </c>
      <c r="S78" s="16">
        <f>IF(tblBOneExport[[#This Row],[LEVEL1]]="Bonds",tblBOneExport[[#This Row],[PTF_GOV_CARRY]],"")</f>
        <v>5.8092999999999996E-6</v>
      </c>
      <c r="T78" s="16">
        <f>tblCalculation[[#This Row],[FIAttributable]]*tblBOneExport[[#This Row],[PTF_CREDIT_CARRY]]</f>
        <v>6.2403999999999996E-6</v>
      </c>
      <c r="U78" s="16">
        <f>tblCalculation[[#This Row],[FIAttributable]]*tblBOneExport[[#This Row],[PTF_TOTAL_CURVE]]</f>
        <v>1.0005930000000001E-4</v>
      </c>
      <c r="V78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-2.3655500000000001E-5</v>
      </c>
      <c r="W78" s="16">
        <f>IF(AND(tblCalculation[[#This Row],[Level3]]="Forward Contracts",tblBOneExport[[#This Row],[PTF_COST_OF_CARRY]]=0),tblBOneExport[[#This Row],[PTF_VALUATION]],0)</f>
        <v>0</v>
      </c>
      <c r="X78" s="16">
        <f>SUM(tblCalculation[[#This Row],[PtfTrading]:[PtfModelRes]])</f>
        <v>-3.6324000000000002E-6</v>
      </c>
      <c r="Y78" s="16">
        <f>tblCalculation[[#This Row],[FIAttributable]]*tblBOneExport[[#This Row],[PTF_TRADING]]</f>
        <v>0</v>
      </c>
      <c r="Z78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78" s="16">
        <f>tblCalculation[[#This Row],[FIAttributable]]*tblBOneExport[[#This Row],[PTF_MODEL_RESIDUAL]]-PTF_Credit_Adj*tblCalculation[[#This Row],[PtfDTSWeight]]</f>
        <v>-3.6324000000000002E-6</v>
      </c>
      <c r="AB78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78" s="16">
        <f>tblBOneExport[[#This Row],[BMK_WEIGHT]]</f>
        <v>0</v>
      </c>
      <c r="AD78" s="78">
        <f>tblCalculation[[#This Row],[FIAttributable]]*SUMIFS(tblDTS[DTSContribution_BM],tblDTS[ISIN],tblCalculation[[#This Row],[ISIN]])</f>
        <v>4.5633084426419453E-2</v>
      </c>
      <c r="AE78" s="16">
        <f>IF(SUM(tblCalculation[BMKDTS])=0,0,tblCalculation[[#This Row],[BMKDTS]]/SUM(tblCalculation[BMKDTS]))</f>
        <v>5.4235049100032221E-3</v>
      </c>
      <c r="AF78" s="16">
        <f>tblBOneExport[[#This Row],[BMK_CONTRIBUTION]]</f>
        <v>0</v>
      </c>
      <c r="AG78" s="16">
        <f>tblCalculation[[#This Row],[BMKContributionBase]]-tblBOneExport[BMK_SPOT_CCY_RETURN]-tblBOneExport[[#This Row],[BMK_CROSS_EFFECT]]</f>
        <v>0</v>
      </c>
      <c r="AH78" s="16">
        <f>tblCalculation[[#This Row],[FIAttributable]]*(tblBOneExport[[#This Row],[BMK_RETURN_GOV_CARRY]])</f>
        <v>0</v>
      </c>
      <c r="AI78" s="16">
        <f>tblCalculation[[#This Row],[FIAttributable]]*tblBOneExport[[#This Row],[BMK_CREDIT_CARRY]]</f>
        <v>0</v>
      </c>
      <c r="AJ78" s="16">
        <f>tblCalculation[[#This Row],[FIAttributable]]*tblBOneExport[[#This Row],[BMK_TOTAL_CURVE]]</f>
        <v>0</v>
      </c>
      <c r="AK78" s="16">
        <f>tblCalculation[[#This Row],[FIAttributable]]*(tblBOneExport[[#This Row],[BMK_TOTAL_SPREAD]]+BMK_Credit_Adj*tblCalculation[[#This Row],[BmkDTSWeight]])</f>
        <v>0</v>
      </c>
      <c r="AL78" s="16">
        <f>tblCalculation[[#This Row],[FIAttributable]]*tblBOneExport[[#This Row],[BMK_MODEL_RESIDUAL]]-BMK_Credit_Adj*tblCalculation[[#This Row],[BmkDTSWeight]]</f>
        <v>0</v>
      </c>
      <c r="AM78" s="16">
        <f>IF(tblCalculation[[#This Row],[Level3]]="Forward Contracts",tblCalculation[[#This Row],[BMKContributionLocal]],0)</f>
        <v>0</v>
      </c>
      <c r="AN78" s="16">
        <f>tblBOneExport[[#This Row],[BMK_SPOT_CCY_RETURN]]+tblBOneExport[[#This Row],[BMK_CROSS_EFFECT]]</f>
        <v>0</v>
      </c>
    </row>
    <row r="79" spans="5:40" x14ac:dyDescent="0.25">
      <c r="E79" s="7" t="str">
        <f>tblBOneExport[[#This Row],[INSTRUMENT_CODE]]</f>
        <v>S00341507</v>
      </c>
      <c r="F79" s="7" t="str">
        <f>tblBOneExport[[#This Row],[INSTRUMENT]]</f>
        <v>NETWRK RAIL INFR 4.75 22/01/24 EMTN</v>
      </c>
      <c r="G79" s="7" t="str">
        <f>IF(tblBOneExport[[#This Row],[ISIN]]&lt;&gt;"", tblBOneExport[[#This Row],[ISIN]],"")</f>
        <v>XS0210467873</v>
      </c>
      <c r="H79" s="7" t="str">
        <f>IF(tblCalculation[[#This Row],[B1Level2]]="CDS",tblBOneExport[[#This Row],[B1_TICKER]],IF(tblCalculation[[#This Row],[ISIN]]="","",INDEX(tblGetStaticData[Ticker],MATCH(tblCalculation[[#This Row],[ISIN]],tblGetStaticData[ISIN],0))))</f>
        <v>UKRAIL</v>
      </c>
      <c r="I79" s="7" t="str">
        <f>IF(tblBOneExport[[#This Row],[INSTRUMENT_TYPE]]="Forward Contract","Forward Contract",tblBOneExport[LEVEL2])</f>
        <v>Non-Corporate</v>
      </c>
      <c r="J79" s="7" t="str">
        <f>IF(tblBOneExport[[#This Row],[INSTRUMENT_TYPE]]="Forward Contract","Forward Contract",tblBOneExport[[#This Row],[LEVEL3]])</f>
        <v>Foreign Agency</v>
      </c>
      <c r="K79" s="7" t="str">
        <f>INDEX(tblLvl2Mapping[],MATCH(tblCalculation[[#This Row],[B1Level2]]&amp;"_"&amp;tblCalculation[[#This Row],[B1Level3]],tblLvl2Mapping[B1Level2_B1Level3],0),2)</f>
        <v>Corporate</v>
      </c>
      <c r="L79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79" s="7">
        <f>INDEX(tblAttributable[],MATCH(tblCalculation[[#This Row],[Level3]],tblAttributable[Level3],0),2)</f>
        <v>1</v>
      </c>
      <c r="N79" s="16">
        <f>tblBOneExport[[#This Row],[PTF_WEIGHT]]</f>
        <v>4.1008968999999996E-3</v>
      </c>
      <c r="O79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4.6060139779716932E-3</v>
      </c>
      <c r="P79" s="48">
        <f>tblCalculation[[#This Row],[PtfDTS]]/SUM(tblCalculation[PtfDTS])</f>
        <v>5.5858182766820865E-4</v>
      </c>
      <c r="Q79" s="16">
        <f>tblBOneExport[[#This Row],[PTF_CONTRIBUTION]]</f>
        <v>4.0527200000000001E-5</v>
      </c>
      <c r="R79" s="16">
        <f>tblCalculation[[#This Row],[PtfContributionBase]]-tblCalculation[[#This Row],[PtfCurrencyReturn]]</f>
        <v>4.0527200000000001E-5</v>
      </c>
      <c r="S79" s="16">
        <f>IF(tblBOneExport[[#This Row],[LEVEL1]]="Bonds",tblBOneExport[[#This Row],[PTF_GOV_CARRY]],"")</f>
        <v>2.3591E-6</v>
      </c>
      <c r="T79" s="16">
        <f>tblCalculation[[#This Row],[FIAttributable]]*tblBOneExport[[#This Row],[PTF_CREDIT_CARRY]]</f>
        <v>1.0092E-6</v>
      </c>
      <c r="U79" s="16">
        <f>tblCalculation[[#This Row],[FIAttributable]]*tblBOneExport[[#This Row],[PTF_TOTAL_CURVE]]</f>
        <v>3.5342899999999997E-5</v>
      </c>
      <c r="V79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2.2701999999999999E-6</v>
      </c>
      <c r="W79" s="16">
        <f>IF(AND(tblCalculation[[#This Row],[Level3]]="Forward Contracts",tblBOneExport[[#This Row],[PTF_COST_OF_CARRY]]=0),tblBOneExport[[#This Row],[PTF_VALUATION]],0)</f>
        <v>0</v>
      </c>
      <c r="X79" s="16">
        <f>SUM(tblCalculation[[#This Row],[PtfTrading]:[PtfModelRes]])</f>
        <v>-4.5410000000000002E-7</v>
      </c>
      <c r="Y79" s="16">
        <f>tblCalculation[[#This Row],[FIAttributable]]*tblBOneExport[[#This Row],[PTF_TRADING]]</f>
        <v>0</v>
      </c>
      <c r="Z79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79" s="16">
        <f>tblCalculation[[#This Row],[FIAttributable]]*tblBOneExport[[#This Row],[PTF_MODEL_RESIDUAL]]-PTF_Credit_Adj*tblCalculation[[#This Row],[PtfDTSWeight]]</f>
        <v>-4.5410000000000002E-7</v>
      </c>
      <c r="AB79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79" s="16">
        <f>tblBOneExport[[#This Row],[BMK_WEIGHT]]</f>
        <v>0</v>
      </c>
      <c r="AD79" s="78">
        <f>tblCalculation[[#This Row],[FIAttributable]]*SUMIFS(tblDTS[DTSContribution_BM],tblDTS[ISIN],tblCalculation[[#This Row],[ISIN]])</f>
        <v>4.3271380436586751E-3</v>
      </c>
      <c r="AE79" s="16">
        <f>IF(SUM(tblCalculation[BMKDTS])=0,0,tblCalculation[[#This Row],[BMKDTS]]/SUM(tblCalculation[BMKDTS]))</f>
        <v>5.1428157270161476E-4</v>
      </c>
      <c r="AF79" s="16">
        <f>tblBOneExport[[#This Row],[BMK_CONTRIBUTION]]</f>
        <v>0</v>
      </c>
      <c r="AG79" s="16">
        <f>tblCalculation[[#This Row],[BMKContributionBase]]-tblBOneExport[BMK_SPOT_CCY_RETURN]-tblBOneExport[[#This Row],[BMK_CROSS_EFFECT]]</f>
        <v>0</v>
      </c>
      <c r="AH79" s="16">
        <f>tblCalculation[[#This Row],[FIAttributable]]*(tblBOneExport[[#This Row],[BMK_RETURN_GOV_CARRY]])</f>
        <v>0</v>
      </c>
      <c r="AI79" s="16">
        <f>tblCalculation[[#This Row],[FIAttributable]]*tblBOneExport[[#This Row],[BMK_CREDIT_CARRY]]</f>
        <v>0</v>
      </c>
      <c r="AJ79" s="16">
        <f>tblCalculation[[#This Row],[FIAttributable]]*tblBOneExport[[#This Row],[BMK_TOTAL_CURVE]]</f>
        <v>0</v>
      </c>
      <c r="AK79" s="16">
        <f>tblCalculation[[#This Row],[FIAttributable]]*(tblBOneExport[[#This Row],[BMK_TOTAL_SPREAD]]+BMK_Credit_Adj*tblCalculation[[#This Row],[BmkDTSWeight]])</f>
        <v>0</v>
      </c>
      <c r="AL79" s="16">
        <f>tblCalculation[[#This Row],[FIAttributable]]*tblBOneExport[[#This Row],[BMK_MODEL_RESIDUAL]]-BMK_Credit_Adj*tblCalculation[[#This Row],[BmkDTSWeight]]</f>
        <v>0</v>
      </c>
      <c r="AM79" s="16">
        <f>IF(tblCalculation[[#This Row],[Level3]]="Forward Contracts",tblCalculation[[#This Row],[BMKContributionLocal]],0)</f>
        <v>0</v>
      </c>
      <c r="AN79" s="16">
        <f>tblBOneExport[[#This Row],[BMK_SPOT_CCY_RETURN]]+tblBOneExport[[#This Row],[BMK_CROSS_EFFECT]]</f>
        <v>0</v>
      </c>
    </row>
    <row r="80" spans="5:40" x14ac:dyDescent="0.25">
      <c r="E80" s="7" t="str">
        <f>tblBOneExport[[#This Row],[INSTRUMENT_CODE]]</f>
        <v>S00350766</v>
      </c>
      <c r="F80" s="7" t="str">
        <f>tblBOneExport[[#This Row],[INSTRUMENT]]</f>
        <v>WESSEX WATER FIN 5.375 10/03/28</v>
      </c>
      <c r="G80" s="7" t="str">
        <f>IF(tblBOneExport[[#This Row],[ISIN]]&lt;&gt;"", tblBOneExport[[#This Row],[ISIN]],"")</f>
        <v>XS0214275785</v>
      </c>
      <c r="H80" s="7" t="str">
        <f>IF(tblCalculation[[#This Row],[B1Level2]]="CDS",tblBOneExport[[#This Row],[B1_TICKER]],IF(tblCalculation[[#This Row],[ISIN]]="","",INDEX(tblGetStaticData[Ticker],MATCH(tblCalculation[[#This Row],[ISIN]],tblGetStaticData[ISIN],0))))</f>
        <v>YTLPMK</v>
      </c>
      <c r="I80" s="7" t="str">
        <f>IF(tblBOneExport[[#This Row],[INSTRUMENT_TYPE]]="Forward Contract","Forward Contract",tblBOneExport[LEVEL2])</f>
        <v>Corporates</v>
      </c>
      <c r="J80" s="7" t="str">
        <f>IF(tblBOneExport[[#This Row],[INSTRUMENT_TYPE]]="Forward Contract","Forward Contract",tblBOneExport[[#This Row],[LEVEL3]])</f>
        <v>Utilities</v>
      </c>
      <c r="K80" s="7" t="str">
        <f>INDEX(tblLvl2Mapping[],MATCH(tblCalculation[[#This Row],[B1Level2]]&amp;"_"&amp;tblCalculation[[#This Row],[B1Level3]],tblLvl2Mapping[B1Level2_B1Level3],0),2)</f>
        <v>Corporate</v>
      </c>
      <c r="L80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80" s="7">
        <f>INDEX(tblAttributable[],MATCH(tblCalculation[[#This Row],[Level3]],tblAttributable[Level3],0),2)</f>
        <v>1</v>
      </c>
      <c r="N80" s="16">
        <f>tblBOneExport[[#This Row],[PTF_WEIGHT]]</f>
        <v>1.0114744300000001E-2</v>
      </c>
      <c r="O80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7.0999805136449268E-2</v>
      </c>
      <c r="P80" s="48">
        <f>tblCalculation[[#This Row],[PtfDTS]]/SUM(tblCalculation[PtfDTS])</f>
        <v>8.6103084156659137E-3</v>
      </c>
      <c r="Q80" s="16">
        <f>tblBOneExport[[#This Row],[PTF_CONTRIBUTION]]</f>
        <v>1.8782339999999999E-4</v>
      </c>
      <c r="R80" s="16">
        <f>tblCalculation[[#This Row],[PtfContributionBase]]-tblCalculation[[#This Row],[PtfCurrencyReturn]]</f>
        <v>1.8782339999999999E-4</v>
      </c>
      <c r="S80" s="16">
        <f>IF(tblBOneExport[[#This Row],[LEVEL1]]="Bonds",tblBOneExport[[#This Row],[PTF_GOV_CARRY]],"")</f>
        <v>1.0017700000000001E-5</v>
      </c>
      <c r="T80" s="16">
        <f>tblCalculation[[#This Row],[FIAttributable]]*tblBOneExport[[#This Row],[PTF_CREDIT_CARRY]]</f>
        <v>7.1744999999999997E-6</v>
      </c>
      <c r="U80" s="16">
        <f>tblCalculation[[#This Row],[FIAttributable]]*tblBOneExport[[#This Row],[PTF_TOTAL_CURVE]]</f>
        <v>1.733982E-4</v>
      </c>
      <c r="V80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-5.539E-7</v>
      </c>
      <c r="W80" s="16">
        <f>IF(AND(tblCalculation[[#This Row],[Level3]]="Forward Contracts",tblBOneExport[[#This Row],[PTF_COST_OF_CARRY]]=0),tblBOneExport[[#This Row],[PTF_VALUATION]],0)</f>
        <v>0</v>
      </c>
      <c r="X80" s="16">
        <f>SUM(tblCalculation[[#This Row],[PtfTrading]:[PtfModelRes]])</f>
        <v>-2.2131E-6</v>
      </c>
      <c r="Y80" s="16">
        <f>tblCalculation[[#This Row],[FIAttributable]]*tblBOneExport[[#This Row],[PTF_TRADING]]</f>
        <v>0</v>
      </c>
      <c r="Z80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80" s="16">
        <f>tblCalculation[[#This Row],[FIAttributable]]*tblBOneExport[[#This Row],[PTF_MODEL_RESIDUAL]]-PTF_Credit_Adj*tblCalculation[[#This Row],[PtfDTSWeight]]</f>
        <v>-2.2131E-6</v>
      </c>
      <c r="AB80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80" s="16">
        <f>tblBOneExport[[#This Row],[BMK_WEIGHT]]</f>
        <v>0</v>
      </c>
      <c r="AD80" s="78">
        <f>tblCalculation[[#This Row],[FIAttributable]]*SUMIFS(tblDTS[DTSContribution_BM],tblDTS[ISIN],tblCalculation[[#This Row],[ISIN]])</f>
        <v>7.4971729585492669E-2</v>
      </c>
      <c r="AE80" s="16">
        <f>IF(SUM(tblCalculation[BMKDTS])=0,0,tblCalculation[[#This Row],[BMKDTS]]/SUM(tblCalculation[BMKDTS]))</f>
        <v>8.9104111332642053E-3</v>
      </c>
      <c r="AF80" s="16">
        <f>tblBOneExport[[#This Row],[BMK_CONTRIBUTION]]</f>
        <v>0</v>
      </c>
      <c r="AG80" s="16">
        <f>tblCalculation[[#This Row],[BMKContributionBase]]-tblBOneExport[BMK_SPOT_CCY_RETURN]-tblBOneExport[[#This Row],[BMK_CROSS_EFFECT]]</f>
        <v>0</v>
      </c>
      <c r="AH80" s="16">
        <f>tblCalculation[[#This Row],[FIAttributable]]*(tblBOneExport[[#This Row],[BMK_RETURN_GOV_CARRY]])</f>
        <v>0</v>
      </c>
      <c r="AI80" s="16">
        <f>tblCalculation[[#This Row],[FIAttributable]]*tblBOneExport[[#This Row],[BMK_CREDIT_CARRY]]</f>
        <v>0</v>
      </c>
      <c r="AJ80" s="16">
        <f>tblCalculation[[#This Row],[FIAttributable]]*tblBOneExport[[#This Row],[BMK_TOTAL_CURVE]]</f>
        <v>0</v>
      </c>
      <c r="AK80" s="16">
        <f>tblCalculation[[#This Row],[FIAttributable]]*(tblBOneExport[[#This Row],[BMK_TOTAL_SPREAD]]+BMK_Credit_Adj*tblCalculation[[#This Row],[BmkDTSWeight]])</f>
        <v>0</v>
      </c>
      <c r="AL80" s="16">
        <f>tblCalculation[[#This Row],[FIAttributable]]*tblBOneExport[[#This Row],[BMK_MODEL_RESIDUAL]]-BMK_Credit_Adj*tblCalculation[[#This Row],[BmkDTSWeight]]</f>
        <v>0</v>
      </c>
      <c r="AM80" s="16">
        <f>IF(tblCalculation[[#This Row],[Level3]]="Forward Contracts",tblCalculation[[#This Row],[BMKContributionLocal]],0)</f>
        <v>0</v>
      </c>
      <c r="AN80" s="16">
        <f>tblBOneExport[[#This Row],[BMK_SPOT_CCY_RETURN]]+tblBOneExport[[#This Row],[BMK_CROSS_EFFECT]]</f>
        <v>0</v>
      </c>
    </row>
    <row r="81" spans="5:40" x14ac:dyDescent="0.25">
      <c r="E81" s="7" t="str">
        <f>tblBOneExport[[#This Row],[INSTRUMENT_CODE]]</f>
        <v>S00384211</v>
      </c>
      <c r="F81" s="7" t="str">
        <f>tblBOneExport[[#This Row],[INSTRUMENT]]</f>
        <v>NORTHERN ELE FIN 5.125 04/05/35</v>
      </c>
      <c r="G81" s="7" t="str">
        <f>IF(tblBOneExport[[#This Row],[ISIN]]&lt;&gt;"", tblBOneExport[[#This Row],[ISIN]],"")</f>
        <v>XS0218520582</v>
      </c>
      <c r="H81" s="7" t="str">
        <f>IF(tblCalculation[[#This Row],[B1Level2]]="CDS",tblBOneExport[[#This Row],[B1_TICKER]],IF(tblCalculation[[#This Row],[ISIN]]="","",INDEX(tblGetStaticData[Ticker],MATCH(tblCalculation[[#This Row],[ISIN]],tblGetStaticData[ISIN],0))))</f>
        <v>BRKHEC</v>
      </c>
      <c r="I81" s="7" t="str">
        <f>IF(tblBOneExport[[#This Row],[INSTRUMENT_TYPE]]="Forward Contract","Forward Contract",tblBOneExport[LEVEL2])</f>
        <v>Corporates</v>
      </c>
      <c r="J81" s="7" t="str">
        <f>IF(tblBOneExport[[#This Row],[INSTRUMENT_TYPE]]="Forward Contract","Forward Contract",tblBOneExport[[#This Row],[LEVEL3]])</f>
        <v>Utilities</v>
      </c>
      <c r="K81" s="7" t="str">
        <f>INDEX(tblLvl2Mapping[],MATCH(tblCalculation[[#This Row],[B1Level2]]&amp;"_"&amp;tblCalculation[[#This Row],[B1Level3]],tblLvl2Mapping[B1Level2_B1Level3],0),2)</f>
        <v>Corporate</v>
      </c>
      <c r="L81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81" s="7">
        <f>INDEX(tblAttributable[],MATCH(tblCalculation[[#This Row],[Level3]],tblAttributable[Level3],0),2)</f>
        <v>1</v>
      </c>
      <c r="N81" s="16">
        <f>tblBOneExport[[#This Row],[PTF_WEIGHT]]</f>
        <v>2.4102820000000001E-3</v>
      </c>
      <c r="O81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3.377459418977876E-2</v>
      </c>
      <c r="P81" s="48">
        <f>tblCalculation[[#This Row],[PtfDTS]]/SUM(tblCalculation[PtfDTS])</f>
        <v>4.0959221230124155E-3</v>
      </c>
      <c r="Q81" s="16">
        <f>tblBOneExport[[#This Row],[PTF_CONTRIBUTION]]</f>
        <v>5.8057799999999998E-5</v>
      </c>
      <c r="R81" s="16">
        <f>tblCalculation[[#This Row],[PtfContributionBase]]-tblCalculation[[#This Row],[PtfCurrencyReturn]]</f>
        <v>5.8057799999999998E-5</v>
      </c>
      <c r="S81" s="16">
        <f>IF(tblBOneExport[[#This Row],[LEVEL1]]="Bonds",tblBOneExport[[#This Row],[PTF_GOV_CARRY]],"")</f>
        <v>3.1773999999999999E-6</v>
      </c>
      <c r="T81" s="16">
        <f>tblCalculation[[#This Row],[FIAttributable]]*tblBOneExport[[#This Row],[PTF_CREDIT_CARRY]]</f>
        <v>1.9435000000000001E-6</v>
      </c>
      <c r="U81" s="16">
        <f>tblCalculation[[#This Row],[FIAttributable]]*tblBOneExport[[#This Row],[PTF_TOTAL_CURVE]]</f>
        <v>3.7453200000000003E-5</v>
      </c>
      <c r="V81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1.2823700000000001E-5</v>
      </c>
      <c r="W81" s="16">
        <f>IF(AND(tblCalculation[[#This Row],[Level3]]="Forward Contracts",tblBOneExport[[#This Row],[PTF_COST_OF_CARRY]]=0),tblBOneExport[[#This Row],[PTF_VALUATION]],0)</f>
        <v>0</v>
      </c>
      <c r="X81" s="16">
        <f>SUM(tblCalculation[[#This Row],[PtfTrading]:[PtfModelRes]])</f>
        <v>2.6599999999999999E-6</v>
      </c>
      <c r="Y81" s="16">
        <f>tblCalculation[[#This Row],[FIAttributable]]*tblBOneExport[[#This Row],[PTF_TRADING]]</f>
        <v>0</v>
      </c>
      <c r="Z81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81" s="16">
        <f>tblCalculation[[#This Row],[FIAttributable]]*tblBOneExport[[#This Row],[PTF_MODEL_RESIDUAL]]-PTF_Credit_Adj*tblCalculation[[#This Row],[PtfDTSWeight]]</f>
        <v>2.6599999999999999E-6</v>
      </c>
      <c r="AB81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81" s="16">
        <f>tblBOneExport[[#This Row],[BMK_WEIGHT]]</f>
        <v>0</v>
      </c>
      <c r="AD81" s="78">
        <f>tblCalculation[[#This Row],[FIAttributable]]*SUMIFS(tblDTS[DTSContribution_BM],tblDTS[ISIN],tblCalculation[[#This Row],[ISIN]])</f>
        <v>4.4581935310252764E-2</v>
      </c>
      <c r="AE81" s="16">
        <f>IF(SUM(tblCalculation[BMKDTS])=0,0,tblCalculation[[#This Row],[BMKDTS]]/SUM(tblCalculation[BMKDTS]))</f>
        <v>5.2985755421041938E-3</v>
      </c>
      <c r="AF81" s="16">
        <f>tblBOneExport[[#This Row],[BMK_CONTRIBUTION]]</f>
        <v>0</v>
      </c>
      <c r="AG81" s="16">
        <f>tblCalculation[[#This Row],[BMKContributionBase]]-tblBOneExport[BMK_SPOT_CCY_RETURN]-tblBOneExport[[#This Row],[BMK_CROSS_EFFECT]]</f>
        <v>0</v>
      </c>
      <c r="AH81" s="16">
        <f>tblCalculation[[#This Row],[FIAttributable]]*(tblBOneExport[[#This Row],[BMK_RETURN_GOV_CARRY]])</f>
        <v>0</v>
      </c>
      <c r="AI81" s="16">
        <f>tblCalculation[[#This Row],[FIAttributable]]*tblBOneExport[[#This Row],[BMK_CREDIT_CARRY]]</f>
        <v>0</v>
      </c>
      <c r="AJ81" s="16">
        <f>tblCalculation[[#This Row],[FIAttributable]]*tblBOneExport[[#This Row],[BMK_TOTAL_CURVE]]</f>
        <v>0</v>
      </c>
      <c r="AK81" s="16">
        <f>tblCalculation[[#This Row],[FIAttributable]]*(tblBOneExport[[#This Row],[BMK_TOTAL_SPREAD]]+BMK_Credit_Adj*tblCalculation[[#This Row],[BmkDTSWeight]])</f>
        <v>0</v>
      </c>
      <c r="AL81" s="16">
        <f>tblCalculation[[#This Row],[FIAttributable]]*tblBOneExport[[#This Row],[BMK_MODEL_RESIDUAL]]-BMK_Credit_Adj*tblCalculation[[#This Row],[BmkDTSWeight]]</f>
        <v>0</v>
      </c>
      <c r="AM81" s="16">
        <f>IF(tblCalculation[[#This Row],[Level3]]="Forward Contracts",tblCalculation[[#This Row],[BMKContributionLocal]],0)</f>
        <v>0</v>
      </c>
      <c r="AN81" s="16">
        <f>tblBOneExport[[#This Row],[BMK_SPOT_CCY_RETURN]]+tblBOneExport[[#This Row],[BMK_CROSS_EFFECT]]</f>
        <v>0</v>
      </c>
    </row>
    <row r="82" spans="5:40" x14ac:dyDescent="0.25">
      <c r="E82" s="7" t="str">
        <f>tblBOneExport[[#This Row],[INSTRUMENT_CODE]]</f>
        <v>S00402398</v>
      </c>
      <c r="F82" s="7" t="str">
        <f>tblBOneExport[[#This Row],[INSTRUMENT]]</f>
        <v>NETWRK RAIL INFR 4.625 21/07/20 EMTN</v>
      </c>
      <c r="G82" s="7" t="str">
        <f>IF(tblBOneExport[[#This Row],[ISIN]]&lt;&gt;"", tblBOneExport[[#This Row],[ISIN]],"")</f>
        <v>XS0225051811</v>
      </c>
      <c r="H82" s="7" t="str">
        <f>IF(tblCalculation[[#This Row],[B1Level2]]="CDS",tblBOneExport[[#This Row],[B1_TICKER]],IF(tblCalculation[[#This Row],[ISIN]]="","",INDEX(tblGetStaticData[Ticker],MATCH(tblCalculation[[#This Row],[ISIN]],tblGetStaticData[ISIN],0))))</f>
        <v>UKRAIL</v>
      </c>
      <c r="I82" s="7" t="str">
        <f>IF(tblBOneExport[[#This Row],[INSTRUMENT_TYPE]]="Forward Contract","Forward Contract",tblBOneExport[LEVEL2])</f>
        <v>Non-Corporate</v>
      </c>
      <c r="J82" s="7" t="str">
        <f>IF(tblBOneExport[[#This Row],[INSTRUMENT_TYPE]]="Forward Contract","Forward Contract",tblBOneExport[[#This Row],[LEVEL3]])</f>
        <v>Foreign Agency</v>
      </c>
      <c r="K82" s="7" t="str">
        <f>INDEX(tblLvl2Mapping[],MATCH(tblCalculation[[#This Row],[B1Level2]]&amp;"_"&amp;tblCalculation[[#This Row],[B1Level3]],tblLvl2Mapping[B1Level2_B1Level3],0),2)</f>
        <v>Corporate</v>
      </c>
      <c r="L82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82" s="7">
        <f>INDEX(tblAttributable[],MATCH(tblCalculation[[#This Row],[Level3]],tblAttributable[Level3],0),2)</f>
        <v>1</v>
      </c>
      <c r="N82" s="16">
        <f>tblBOneExport[[#This Row],[PTF_WEIGHT]]</f>
        <v>2.3646330000000001E-3</v>
      </c>
      <c r="O82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1.325508190220042E-3</v>
      </c>
      <c r="P82" s="48">
        <f>tblCalculation[[#This Row],[PtfDTS]]/SUM(tblCalculation[PtfDTS])</f>
        <v>1.6074740350838787E-4</v>
      </c>
      <c r="Q82" s="16">
        <f>tblBOneExport[[#This Row],[PTF_CONTRIBUTION]]</f>
        <v>7.9827000000000007E-6</v>
      </c>
      <c r="R82" s="16">
        <f>tblCalculation[[#This Row],[PtfContributionBase]]-tblCalculation[[#This Row],[PtfCurrencyReturn]]</f>
        <v>7.9827000000000007E-6</v>
      </c>
      <c r="S82" s="16">
        <f>IF(tblBOneExport[[#This Row],[LEVEL1]]="Bonds",tblBOneExport[[#This Row],[PTF_GOV_CARRY]],"")</f>
        <v>4.919E-7</v>
      </c>
      <c r="T82" s="16">
        <f>tblCalculation[[#This Row],[FIAttributable]]*tblBOneExport[[#This Row],[PTF_CREDIT_CARRY]]</f>
        <v>4.643E-7</v>
      </c>
      <c r="U82" s="16">
        <f>tblCalculation[[#This Row],[FIAttributable]]*tblBOneExport[[#This Row],[PTF_TOTAL_CURVE]]</f>
        <v>7.7786000000000004E-6</v>
      </c>
      <c r="V82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-7.9009999999999996E-7</v>
      </c>
      <c r="W82" s="16">
        <f>IF(AND(tblCalculation[[#This Row],[Level3]]="Forward Contracts",tblBOneExport[[#This Row],[PTF_COST_OF_CARRY]]=0),tblBOneExport[[#This Row],[PTF_VALUATION]],0)</f>
        <v>0</v>
      </c>
      <c r="X82" s="16">
        <f>SUM(tblCalculation[[#This Row],[PtfTrading]:[PtfModelRes]])</f>
        <v>3.8000000000000003E-8</v>
      </c>
      <c r="Y82" s="16">
        <f>tblCalculation[[#This Row],[FIAttributable]]*tblBOneExport[[#This Row],[PTF_TRADING]]</f>
        <v>0</v>
      </c>
      <c r="Z82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82" s="16">
        <f>tblCalculation[[#This Row],[FIAttributable]]*tblBOneExport[[#This Row],[PTF_MODEL_RESIDUAL]]-PTF_Credit_Adj*tblCalculation[[#This Row],[PtfDTSWeight]]</f>
        <v>3.8000000000000003E-8</v>
      </c>
      <c r="AB82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82" s="16">
        <f>tblBOneExport[[#This Row],[BMK_WEIGHT]]</f>
        <v>0</v>
      </c>
      <c r="AD82" s="78">
        <f>tblCalculation[[#This Row],[FIAttributable]]*SUMIFS(tblDTS[DTSContribution_BM],tblDTS[ISIN],tblCalculation[[#This Row],[ISIN]])</f>
        <v>9.6118265578818318E-4</v>
      </c>
      <c r="AE82" s="16">
        <f>IF(SUM(tblCalculation[BMKDTS])=0,0,tblCalculation[[#This Row],[BMKDTS]]/SUM(tblCalculation[BMKDTS]))</f>
        <v>1.1423682879650085E-4</v>
      </c>
      <c r="AF82" s="16">
        <f>tblBOneExport[[#This Row],[BMK_CONTRIBUTION]]</f>
        <v>0</v>
      </c>
      <c r="AG82" s="16">
        <f>tblCalculation[[#This Row],[BMKContributionBase]]-tblBOneExport[BMK_SPOT_CCY_RETURN]-tblBOneExport[[#This Row],[BMK_CROSS_EFFECT]]</f>
        <v>0</v>
      </c>
      <c r="AH82" s="16">
        <f>tblCalculation[[#This Row],[FIAttributable]]*(tblBOneExport[[#This Row],[BMK_RETURN_GOV_CARRY]])</f>
        <v>0</v>
      </c>
      <c r="AI82" s="16">
        <f>tblCalculation[[#This Row],[FIAttributable]]*tblBOneExport[[#This Row],[BMK_CREDIT_CARRY]]</f>
        <v>0</v>
      </c>
      <c r="AJ82" s="16">
        <f>tblCalculation[[#This Row],[FIAttributable]]*tblBOneExport[[#This Row],[BMK_TOTAL_CURVE]]</f>
        <v>0</v>
      </c>
      <c r="AK82" s="16">
        <f>tblCalculation[[#This Row],[FIAttributable]]*(tblBOneExport[[#This Row],[BMK_TOTAL_SPREAD]]+BMK_Credit_Adj*tblCalculation[[#This Row],[BmkDTSWeight]])</f>
        <v>0</v>
      </c>
      <c r="AL82" s="16">
        <f>tblCalculation[[#This Row],[FIAttributable]]*tblBOneExport[[#This Row],[BMK_MODEL_RESIDUAL]]-BMK_Credit_Adj*tblCalculation[[#This Row],[BmkDTSWeight]]</f>
        <v>0</v>
      </c>
      <c r="AM82" s="16">
        <f>IF(tblCalculation[[#This Row],[Level3]]="Forward Contracts",tblCalculation[[#This Row],[BMKContributionLocal]],0)</f>
        <v>0</v>
      </c>
      <c r="AN82" s="16">
        <f>tblBOneExport[[#This Row],[BMK_SPOT_CCY_RETURN]]+tblBOneExport[[#This Row],[BMK_CROSS_EFFECT]]</f>
        <v>0</v>
      </c>
    </row>
    <row r="83" spans="5:40" x14ac:dyDescent="0.25">
      <c r="E83" s="7" t="str">
        <f>tblBOneExport[[#This Row],[INSTRUMENT_CODE]]</f>
        <v>S00416669</v>
      </c>
      <c r="F83" s="7" t="str">
        <f>tblBOneExport[[#This Row],[INSTRUMENT]]</f>
        <v>SOUTHERN GAS NET 4.875 21/03/29 A7</v>
      </c>
      <c r="G83" s="7" t="str">
        <f>IF(tblBOneExport[[#This Row],[ISIN]]&lt;&gt;"", tblBOneExport[[#This Row],[ISIN]],"")</f>
        <v>XS0232335769</v>
      </c>
      <c r="H83" s="7" t="str">
        <f>IF(tblCalculation[[#This Row],[B1Level2]]="CDS",tblBOneExport[[#This Row],[B1_TICKER]],IF(tblCalculation[[#This Row],[ISIN]]="","",INDEX(tblGetStaticData[Ticker],MATCH(tblCalculation[[#This Row],[ISIN]],tblGetStaticData[ISIN],0))))</f>
        <v>SGN</v>
      </c>
      <c r="I83" s="7" t="str">
        <f>IF(tblBOneExport[[#This Row],[INSTRUMENT_TYPE]]="Forward Contract","Forward Contract",tblBOneExport[LEVEL2])</f>
        <v>Corporates</v>
      </c>
      <c r="J83" s="7" t="str">
        <f>IF(tblBOneExport[[#This Row],[INSTRUMENT_TYPE]]="Forward Contract","Forward Contract",tblBOneExport[[#This Row],[LEVEL3]])</f>
        <v>Utilities</v>
      </c>
      <c r="K83" s="7" t="str">
        <f>INDEX(tblLvl2Mapping[],MATCH(tblCalculation[[#This Row],[B1Level2]]&amp;"_"&amp;tblCalculation[[#This Row],[B1Level3]],tblLvl2Mapping[B1Level2_B1Level3],0),2)</f>
        <v>Corporate</v>
      </c>
      <c r="L83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83" s="7">
        <f>INDEX(tblAttributable[],MATCH(tblCalculation[[#This Row],[Level3]],tblAttributable[Level3],0),2)</f>
        <v>1</v>
      </c>
      <c r="N83" s="16">
        <f>tblBOneExport[[#This Row],[PTF_WEIGHT]]</f>
        <v>5.7388732999999999E-3</v>
      </c>
      <c r="O83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4.6786102168628677E-2</v>
      </c>
      <c r="P83" s="48">
        <f>tblCalculation[[#This Row],[PtfDTS]]/SUM(tblCalculation[PtfDTS])</f>
        <v>5.6738573924893882E-3</v>
      </c>
      <c r="Q83" s="16">
        <f>tblBOneExport[[#This Row],[PTF_CONTRIBUTION]]</f>
        <v>1.0924E-4</v>
      </c>
      <c r="R83" s="16">
        <f>tblCalculation[[#This Row],[PtfContributionBase]]-tblCalculation[[#This Row],[PtfCurrencyReturn]]</f>
        <v>1.0924E-4</v>
      </c>
      <c r="S83" s="16">
        <f>IF(tblBOneExport[[#This Row],[LEVEL1]]="Bonds",tblBOneExport[[#This Row],[PTF_GOV_CARRY]],"")</f>
        <v>6.3180000000000003E-6</v>
      </c>
      <c r="T83" s="16">
        <f>tblCalculation[[#This Row],[FIAttributable]]*tblBOneExport[[#This Row],[PTF_CREDIT_CARRY]]</f>
        <v>3.9854E-6</v>
      </c>
      <c r="U83" s="16">
        <f>tblCalculation[[#This Row],[FIAttributable]]*tblBOneExport[[#This Row],[PTF_TOTAL_CURVE]]</f>
        <v>1.0561979999999999E-4</v>
      </c>
      <c r="V83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-4.3188000000000001E-6</v>
      </c>
      <c r="W83" s="16">
        <f>IF(AND(tblCalculation[[#This Row],[Level3]]="Forward Contracts",tblBOneExport[[#This Row],[PTF_COST_OF_CARRY]]=0),tblBOneExport[[#This Row],[PTF_VALUATION]],0)</f>
        <v>0</v>
      </c>
      <c r="X83" s="16">
        <f>SUM(tblCalculation[[#This Row],[PtfTrading]:[PtfModelRes]])</f>
        <v>-2.3644000000000002E-6</v>
      </c>
      <c r="Y83" s="16">
        <f>tblCalculation[[#This Row],[FIAttributable]]*tblBOneExport[[#This Row],[PTF_TRADING]]</f>
        <v>0</v>
      </c>
      <c r="Z83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83" s="16">
        <f>tblCalculation[[#This Row],[FIAttributable]]*tblBOneExport[[#This Row],[PTF_MODEL_RESIDUAL]]-PTF_Credit_Adj*tblCalculation[[#This Row],[PtfDTSWeight]]</f>
        <v>-2.3644000000000002E-6</v>
      </c>
      <c r="AB83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83" s="16">
        <f>tblBOneExport[[#This Row],[BMK_WEIGHT]]</f>
        <v>0</v>
      </c>
      <c r="AD83" s="78">
        <f>tblCalculation[[#This Row],[FIAttributable]]*SUMIFS(tblDTS[DTSContribution_BM],tblDTS[ISIN],tblCalculation[[#This Row],[ISIN]])</f>
        <v>4.7124583108278835E-2</v>
      </c>
      <c r="AE83" s="16">
        <f>IF(SUM(tblCalculation[BMKDTS])=0,0,tblCalculation[[#This Row],[BMKDTS]]/SUM(tblCalculation[BMKDTS]))</f>
        <v>5.6007699475522608E-3</v>
      </c>
      <c r="AF83" s="16">
        <f>tblBOneExport[[#This Row],[BMK_CONTRIBUTION]]</f>
        <v>0</v>
      </c>
      <c r="AG83" s="16">
        <f>tblCalculation[[#This Row],[BMKContributionBase]]-tblBOneExport[BMK_SPOT_CCY_RETURN]-tblBOneExport[[#This Row],[BMK_CROSS_EFFECT]]</f>
        <v>0</v>
      </c>
      <c r="AH83" s="16">
        <f>tblCalculation[[#This Row],[FIAttributable]]*(tblBOneExport[[#This Row],[BMK_RETURN_GOV_CARRY]])</f>
        <v>0</v>
      </c>
      <c r="AI83" s="16">
        <f>tblCalculation[[#This Row],[FIAttributable]]*tblBOneExport[[#This Row],[BMK_CREDIT_CARRY]]</f>
        <v>0</v>
      </c>
      <c r="AJ83" s="16">
        <f>tblCalculation[[#This Row],[FIAttributable]]*tblBOneExport[[#This Row],[BMK_TOTAL_CURVE]]</f>
        <v>0</v>
      </c>
      <c r="AK83" s="16">
        <f>tblCalculation[[#This Row],[FIAttributable]]*(tblBOneExport[[#This Row],[BMK_TOTAL_SPREAD]]+BMK_Credit_Adj*tblCalculation[[#This Row],[BmkDTSWeight]])</f>
        <v>0</v>
      </c>
      <c r="AL83" s="16">
        <f>tblCalculation[[#This Row],[FIAttributable]]*tblBOneExport[[#This Row],[BMK_MODEL_RESIDUAL]]-BMK_Credit_Adj*tblCalculation[[#This Row],[BmkDTSWeight]]</f>
        <v>0</v>
      </c>
      <c r="AM83" s="16">
        <f>IF(tblCalculation[[#This Row],[Level3]]="Forward Contracts",tblCalculation[[#This Row],[BMKContributionLocal]],0)</f>
        <v>0</v>
      </c>
      <c r="AN83" s="16">
        <f>tblBOneExport[[#This Row],[BMK_SPOT_CCY_RETURN]]+tblBOneExport[[#This Row],[BMK_CROSS_EFFECT]]</f>
        <v>0</v>
      </c>
    </row>
    <row r="84" spans="5:40" x14ac:dyDescent="0.25">
      <c r="E84" s="7" t="str">
        <f>tblBOneExport[[#This Row],[INSTRUMENT_CODE]]</f>
        <v>S00421377</v>
      </c>
      <c r="F84" s="7" t="str">
        <f>tblBOneExport[[#This Row],[INSTRUMENT]]</f>
        <v>NORTHERN GAS 4.875 30/06/27</v>
      </c>
      <c r="G84" s="7" t="str">
        <f>IF(tblBOneExport[[#This Row],[ISIN]]&lt;&gt;"", tblBOneExport[[#This Row],[ISIN]],"")</f>
        <v>XS0234964459</v>
      </c>
      <c r="H84" s="7" t="str">
        <f>IF(tblCalculation[[#This Row],[B1Level2]]="CDS",tblBOneExport[[#This Row],[B1_TICKER]],IF(tblCalculation[[#This Row],[ISIN]]="","",INDEX(tblGetStaticData[Ticker],MATCH(tblCalculation[[#This Row],[ISIN]],tblGetStaticData[ISIN],0))))</f>
        <v>NGN</v>
      </c>
      <c r="I84" s="7" t="str">
        <f>IF(tblBOneExport[[#This Row],[INSTRUMENT_TYPE]]="Forward Contract","Forward Contract",tblBOneExport[LEVEL2])</f>
        <v>Corporates</v>
      </c>
      <c r="J84" s="7" t="str">
        <f>IF(tblBOneExport[[#This Row],[INSTRUMENT_TYPE]]="Forward Contract","Forward Contract",tblBOneExport[[#This Row],[LEVEL3]])</f>
        <v>Utilities</v>
      </c>
      <c r="K84" s="7" t="str">
        <f>INDEX(tblLvl2Mapping[],MATCH(tblCalculation[[#This Row],[B1Level2]]&amp;"_"&amp;tblCalculation[[#This Row],[B1Level3]],tblLvl2Mapping[B1Level2_B1Level3],0),2)</f>
        <v>Corporate</v>
      </c>
      <c r="L84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84" s="7">
        <f>INDEX(tblAttributable[],MATCH(tblCalculation[[#This Row],[Level3]],tblAttributable[Level3],0),2)</f>
        <v>1</v>
      </c>
      <c r="N84" s="16">
        <f>tblBOneExport[[#This Row],[PTF_WEIGHT]]</f>
        <v>3.8012125000000002E-3</v>
      </c>
      <c r="O84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2.6395627243625631E-2</v>
      </c>
      <c r="P84" s="48">
        <f>tblCalculation[[#This Row],[PtfDTS]]/SUM(tblCalculation[PtfDTS])</f>
        <v>3.2010579600294424E-3</v>
      </c>
      <c r="Q84" s="16">
        <f>tblBOneExport[[#This Row],[PTF_CONTRIBUTION]]</f>
        <v>6.3839500000000004E-5</v>
      </c>
      <c r="R84" s="16">
        <f>tblCalculation[[#This Row],[PtfContributionBase]]-tblCalculation[[#This Row],[PtfCurrencyReturn]]</f>
        <v>6.3839500000000004E-5</v>
      </c>
      <c r="S84" s="16">
        <f>IF(tblBOneExport[[#This Row],[LEVEL1]]="Bonds",tblBOneExport[[#This Row],[PTF_GOV_CARRY]],"")</f>
        <v>3.4879000000000001E-6</v>
      </c>
      <c r="T84" s="16">
        <f>tblCalculation[[#This Row],[FIAttributable]]*tblBOneExport[[#This Row],[PTF_CREDIT_CARRY]]</f>
        <v>3.0096E-6</v>
      </c>
      <c r="U84" s="16">
        <f>tblCalculation[[#This Row],[FIAttributable]]*tblBOneExport[[#This Row],[PTF_TOTAL_CURVE]]</f>
        <v>6.2900799999999999E-5</v>
      </c>
      <c r="V84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2.219E-7</v>
      </c>
      <c r="W84" s="16">
        <f>IF(AND(tblCalculation[[#This Row],[Level3]]="Forward Contracts",tblBOneExport[[#This Row],[PTF_COST_OF_CARRY]]=0),tblBOneExport[[#This Row],[PTF_VALUATION]],0)</f>
        <v>0</v>
      </c>
      <c r="X84" s="16">
        <f>SUM(tblCalculation[[#This Row],[PtfTrading]:[PtfModelRes]])</f>
        <v>-5.7807000000000004E-6</v>
      </c>
      <c r="Y84" s="16">
        <f>tblCalculation[[#This Row],[FIAttributable]]*tblBOneExport[[#This Row],[PTF_TRADING]]</f>
        <v>0</v>
      </c>
      <c r="Z84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84" s="16">
        <f>tblCalculation[[#This Row],[FIAttributable]]*tblBOneExport[[#This Row],[PTF_MODEL_RESIDUAL]]-PTF_Credit_Adj*tblCalculation[[#This Row],[PtfDTSWeight]]</f>
        <v>-5.7807000000000004E-6</v>
      </c>
      <c r="AB84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84" s="16">
        <f>tblBOneExport[[#This Row],[BMK_WEIGHT]]</f>
        <v>0</v>
      </c>
      <c r="AD84" s="78">
        <f>tblCalculation[[#This Row],[FIAttributable]]*SUMIFS(tblDTS[DTSContribution_BM],tblDTS[ISIN],tblCalculation[[#This Row],[ISIN]])</f>
        <v>3.4838010456818502E-2</v>
      </c>
      <c r="AE84" s="16">
        <f>IF(SUM(tblCalculation[BMKDTS])=0,0,tblCalculation[[#This Row],[BMKDTS]]/SUM(tblCalculation[BMKDTS]))</f>
        <v>4.1405073345843965E-3</v>
      </c>
      <c r="AF84" s="16">
        <f>tblBOneExport[[#This Row],[BMK_CONTRIBUTION]]</f>
        <v>0</v>
      </c>
      <c r="AG84" s="16">
        <f>tblCalculation[[#This Row],[BMKContributionBase]]-tblBOneExport[BMK_SPOT_CCY_RETURN]-tblBOneExport[[#This Row],[BMK_CROSS_EFFECT]]</f>
        <v>0</v>
      </c>
      <c r="AH84" s="16">
        <f>tblCalculation[[#This Row],[FIAttributable]]*(tblBOneExport[[#This Row],[BMK_RETURN_GOV_CARRY]])</f>
        <v>0</v>
      </c>
      <c r="AI84" s="16">
        <f>tblCalculation[[#This Row],[FIAttributable]]*tblBOneExport[[#This Row],[BMK_CREDIT_CARRY]]</f>
        <v>0</v>
      </c>
      <c r="AJ84" s="16">
        <f>tblCalculation[[#This Row],[FIAttributable]]*tblBOneExport[[#This Row],[BMK_TOTAL_CURVE]]</f>
        <v>0</v>
      </c>
      <c r="AK84" s="16">
        <f>tblCalculation[[#This Row],[FIAttributable]]*(tblBOneExport[[#This Row],[BMK_TOTAL_SPREAD]]+BMK_Credit_Adj*tblCalculation[[#This Row],[BmkDTSWeight]])</f>
        <v>0</v>
      </c>
      <c r="AL84" s="16">
        <f>tblCalculation[[#This Row],[FIAttributable]]*tblBOneExport[[#This Row],[BMK_MODEL_RESIDUAL]]-BMK_Credit_Adj*tblCalculation[[#This Row],[BmkDTSWeight]]</f>
        <v>0</v>
      </c>
      <c r="AM84" s="16">
        <f>IF(tblCalculation[[#This Row],[Level3]]="Forward Contracts",tblCalculation[[#This Row],[BMKContributionLocal]],0)</f>
        <v>0</v>
      </c>
      <c r="AN84" s="16">
        <f>tblBOneExport[[#This Row],[BMK_SPOT_CCY_RETURN]]+tblBOneExport[[#This Row],[BMK_CROSS_EFFECT]]</f>
        <v>0</v>
      </c>
    </row>
    <row r="85" spans="5:40" x14ac:dyDescent="0.25">
      <c r="E85" s="7" t="str">
        <f>tblBOneExport[[#This Row],[INSTRUMENT_CODE]]</f>
        <v>S00421242</v>
      </c>
      <c r="F85" s="7" t="str">
        <f>tblBOneExport[[#This Row],[INSTRUMENT]]</f>
        <v>NORTHERN GAS 4.875 15/11/35</v>
      </c>
      <c r="G85" s="7" t="str">
        <f>IF(tblBOneExport[[#This Row],[ISIN]]&lt;&gt;"", tblBOneExport[[#This Row],[ISIN]],"")</f>
        <v>XS0234964533</v>
      </c>
      <c r="H85" s="7" t="str">
        <f>IF(tblCalculation[[#This Row],[B1Level2]]="CDS",tblBOneExport[[#This Row],[B1_TICKER]],IF(tblCalculation[[#This Row],[ISIN]]="","",INDEX(tblGetStaticData[Ticker],MATCH(tblCalculation[[#This Row],[ISIN]],tblGetStaticData[ISIN],0))))</f>
        <v>NGN</v>
      </c>
      <c r="I85" s="7" t="str">
        <f>IF(tblBOneExport[[#This Row],[INSTRUMENT_TYPE]]="Forward Contract","Forward Contract",tblBOneExport[LEVEL2])</f>
        <v>Corporates</v>
      </c>
      <c r="J85" s="7" t="str">
        <f>IF(tblBOneExport[[#This Row],[INSTRUMENT_TYPE]]="Forward Contract","Forward Contract",tblBOneExport[[#This Row],[LEVEL3]])</f>
        <v>Utilities</v>
      </c>
      <c r="K85" s="7" t="str">
        <f>INDEX(tblLvl2Mapping[],MATCH(tblCalculation[[#This Row],[B1Level2]]&amp;"_"&amp;tblCalculation[[#This Row],[B1Level3]],tblLvl2Mapping[B1Level2_B1Level3],0),2)</f>
        <v>Corporate</v>
      </c>
      <c r="L85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85" s="7">
        <f>INDEX(tblAttributable[],MATCH(tblCalculation[[#This Row],[Level3]],tblAttributable[Level3],0),2)</f>
        <v>1</v>
      </c>
      <c r="N85" s="16">
        <f>tblBOneExport[[#This Row],[PTF_WEIGHT]]</f>
        <v>4.6815648000000003E-3</v>
      </c>
      <c r="O85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6.5779069893052433E-2</v>
      </c>
      <c r="P85" s="48">
        <f>tblCalculation[[#This Row],[PtfDTS]]/SUM(tblCalculation[PtfDTS])</f>
        <v>7.9771779371273707E-3</v>
      </c>
      <c r="Q85" s="16">
        <f>tblBOneExport[[#This Row],[PTF_CONTRIBUTION]]</f>
        <v>1.0296430000000001E-4</v>
      </c>
      <c r="R85" s="16">
        <f>tblCalculation[[#This Row],[PtfContributionBase]]-tblCalculation[[#This Row],[PtfCurrencyReturn]]</f>
        <v>1.0296430000000001E-4</v>
      </c>
      <c r="S85" s="16">
        <f>IF(tblBOneExport[[#This Row],[LEVEL1]]="Bonds",tblBOneExport[[#This Row],[PTF_GOV_CARRY]],"")</f>
        <v>6.2473000000000003E-6</v>
      </c>
      <c r="T85" s="16">
        <f>tblCalculation[[#This Row],[FIAttributable]]*tblBOneExport[[#This Row],[PTF_CREDIT_CARRY]]</f>
        <v>3.6862E-6</v>
      </c>
      <c r="U85" s="16">
        <f>tblCalculation[[#This Row],[FIAttributable]]*tblBOneExport[[#This Row],[PTF_TOTAL_CURVE]]</f>
        <v>6.7459400000000007E-5</v>
      </c>
      <c r="V85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3.0130299999999998E-5</v>
      </c>
      <c r="W85" s="16">
        <f>IF(AND(tblCalculation[[#This Row],[Level3]]="Forward Contracts",tblBOneExport[[#This Row],[PTF_COST_OF_CARRY]]=0),tblBOneExport[[#This Row],[PTF_VALUATION]],0)</f>
        <v>0</v>
      </c>
      <c r="X85" s="16">
        <f>SUM(tblCalculation[[#This Row],[PtfTrading]:[PtfModelRes]])</f>
        <v>-4.5589999999999999E-6</v>
      </c>
      <c r="Y85" s="16">
        <f>tblCalculation[[#This Row],[FIAttributable]]*tblBOneExport[[#This Row],[PTF_TRADING]]</f>
        <v>0</v>
      </c>
      <c r="Z85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85" s="16">
        <f>tblCalculation[[#This Row],[FIAttributable]]*tblBOneExport[[#This Row],[PTF_MODEL_RESIDUAL]]-PTF_Credit_Adj*tblCalculation[[#This Row],[PtfDTSWeight]]</f>
        <v>-4.5589999999999999E-6</v>
      </c>
      <c r="AB85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85" s="16">
        <f>tblBOneExport[[#This Row],[BMK_WEIGHT]]</f>
        <v>0</v>
      </c>
      <c r="AD85" s="78">
        <f>tblCalculation[[#This Row],[FIAttributable]]*SUMIFS(tblDTS[DTSContribution_BM],tblDTS[ISIN],tblCalculation[[#This Row],[ISIN]])</f>
        <v>8.6820454792884666E-2</v>
      </c>
      <c r="AE85" s="16">
        <f>IF(SUM(tblCalculation[BMKDTS])=0,0,tblCalculation[[#This Row],[BMKDTS]]/SUM(tblCalculation[BMKDTS]))</f>
        <v>1.0318635454440376E-2</v>
      </c>
      <c r="AF85" s="16">
        <f>tblBOneExport[[#This Row],[BMK_CONTRIBUTION]]</f>
        <v>0</v>
      </c>
      <c r="AG85" s="16">
        <f>tblCalculation[[#This Row],[BMKContributionBase]]-tblBOneExport[BMK_SPOT_CCY_RETURN]-tblBOneExport[[#This Row],[BMK_CROSS_EFFECT]]</f>
        <v>0</v>
      </c>
      <c r="AH85" s="16">
        <f>tblCalculation[[#This Row],[FIAttributable]]*(tblBOneExport[[#This Row],[BMK_RETURN_GOV_CARRY]])</f>
        <v>0</v>
      </c>
      <c r="AI85" s="16">
        <f>tblCalculation[[#This Row],[FIAttributable]]*tblBOneExport[[#This Row],[BMK_CREDIT_CARRY]]</f>
        <v>0</v>
      </c>
      <c r="AJ85" s="16">
        <f>tblCalculation[[#This Row],[FIAttributable]]*tblBOneExport[[#This Row],[BMK_TOTAL_CURVE]]</f>
        <v>0</v>
      </c>
      <c r="AK85" s="16">
        <f>tblCalculation[[#This Row],[FIAttributable]]*(tblBOneExport[[#This Row],[BMK_TOTAL_SPREAD]]+BMK_Credit_Adj*tblCalculation[[#This Row],[BmkDTSWeight]])</f>
        <v>0</v>
      </c>
      <c r="AL85" s="16">
        <f>tblCalculation[[#This Row],[FIAttributable]]*tblBOneExport[[#This Row],[BMK_MODEL_RESIDUAL]]-BMK_Credit_Adj*tblCalculation[[#This Row],[BmkDTSWeight]]</f>
        <v>0</v>
      </c>
      <c r="AM85" s="16">
        <f>IF(tblCalculation[[#This Row],[Level3]]="Forward Contracts",tblCalculation[[#This Row],[BMKContributionLocal]],0)</f>
        <v>0</v>
      </c>
      <c r="AN85" s="16">
        <f>tblBOneExport[[#This Row],[BMK_SPOT_CCY_RETURN]]+tblBOneExport[[#This Row],[BMK_CROSS_EFFECT]]</f>
        <v>0</v>
      </c>
    </row>
    <row r="86" spans="5:40" x14ac:dyDescent="0.25">
      <c r="E86" s="7" t="str">
        <f>tblBOneExport[[#This Row],[INSTRUMENT_CODE]]</f>
        <v>S00425828</v>
      </c>
      <c r="F86" s="7" t="str">
        <f>tblBOneExport[[#This Row],[INSTRUMENT]]</f>
        <v>FRANCE TELECOM 5.25 05/12/25 EMTN</v>
      </c>
      <c r="G86" s="7" t="str">
        <f>IF(tblBOneExport[[#This Row],[ISIN]]&lt;&gt;"", tblBOneExport[[#This Row],[ISIN]],"")</f>
        <v>XS0236800412</v>
      </c>
      <c r="H86" s="7" t="str">
        <f>IF(tblCalculation[[#This Row],[B1Level2]]="CDS",tblBOneExport[[#This Row],[B1_TICKER]],IF(tblCalculation[[#This Row],[ISIN]]="","",INDEX(tblGetStaticData[Ticker],MATCH(tblCalculation[[#This Row],[ISIN]],tblGetStaticData[ISIN],0))))</f>
        <v>ORAFP</v>
      </c>
      <c r="I86" s="7" t="str">
        <f>IF(tblBOneExport[[#This Row],[INSTRUMENT_TYPE]]="Forward Contract","Forward Contract",tblBOneExport[LEVEL2])</f>
        <v>Corporates</v>
      </c>
      <c r="J86" s="7" t="str">
        <f>IF(tblBOneExport[[#This Row],[INSTRUMENT_TYPE]]="Forward Contract","Forward Contract",tblBOneExport[[#This Row],[LEVEL3]])</f>
        <v>Industrials</v>
      </c>
      <c r="K86" s="7" t="str">
        <f>INDEX(tblLvl2Mapping[],MATCH(tblCalculation[[#This Row],[B1Level2]]&amp;"_"&amp;tblCalculation[[#This Row],[B1Level3]],tblLvl2Mapping[B1Level2_B1Level3],0),2)</f>
        <v>Corporate</v>
      </c>
      <c r="L86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86" s="7">
        <f>INDEX(tblAttributable[],MATCH(tblCalculation[[#This Row],[Level3]],tblAttributable[Level3],0),2)</f>
        <v>1</v>
      </c>
      <c r="N86" s="16">
        <f>tblBOneExport[[#This Row],[PTF_WEIGHT]]</f>
        <v>2.9870515999999999E-3</v>
      </c>
      <c r="O86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1.8201077287047455E-2</v>
      </c>
      <c r="P86" s="48">
        <f>tblCalculation[[#This Row],[PtfDTS]]/SUM(tblCalculation[PtfDTS])</f>
        <v>2.2072861839221645E-3</v>
      </c>
      <c r="Q86" s="16">
        <f>tblBOneExport[[#This Row],[PTF_CONTRIBUTION]]</f>
        <v>4.0710400000000002E-5</v>
      </c>
      <c r="R86" s="16">
        <f>tblCalculation[[#This Row],[PtfContributionBase]]-tblCalculation[[#This Row],[PtfCurrencyReturn]]</f>
        <v>4.0710400000000002E-5</v>
      </c>
      <c r="S86" s="16">
        <f>IF(tblBOneExport[[#This Row],[LEVEL1]]="Bonds",tblBOneExport[[#This Row],[PTF_GOV_CARRY]],"")</f>
        <v>2.2776E-6</v>
      </c>
      <c r="T86" s="16">
        <f>tblCalculation[[#This Row],[FIAttributable]]*tblBOneExport[[#This Row],[PTF_CREDIT_CARRY]]</f>
        <v>2.6224999999999999E-6</v>
      </c>
      <c r="U86" s="16">
        <f>tblCalculation[[#This Row],[FIAttributable]]*tblBOneExport[[#This Row],[PTF_TOTAL_CURVE]]</f>
        <v>4.0516599999999998E-5</v>
      </c>
      <c r="V86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-4.1265999999999996E-6</v>
      </c>
      <c r="W86" s="16">
        <f>IF(AND(tblCalculation[[#This Row],[Level3]]="Forward Contracts",tblBOneExport[[#This Row],[PTF_COST_OF_CARRY]]=0),tblBOneExport[[#This Row],[PTF_VALUATION]],0)</f>
        <v>0</v>
      </c>
      <c r="X86" s="16">
        <f>SUM(tblCalculation[[#This Row],[PtfTrading]:[PtfModelRes]])</f>
        <v>-5.7970000000000004E-7</v>
      </c>
      <c r="Y86" s="16">
        <f>tblCalculation[[#This Row],[FIAttributable]]*tblBOneExport[[#This Row],[PTF_TRADING]]</f>
        <v>0</v>
      </c>
      <c r="Z86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86" s="16">
        <f>tblCalculation[[#This Row],[FIAttributable]]*tblBOneExport[[#This Row],[PTF_MODEL_RESIDUAL]]-PTF_Credit_Adj*tblCalculation[[#This Row],[PtfDTSWeight]]</f>
        <v>-5.7970000000000004E-7</v>
      </c>
      <c r="AB86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86" s="16">
        <f>tblBOneExport[[#This Row],[BMK_WEIGHT]]</f>
        <v>0</v>
      </c>
      <c r="AD86" s="78">
        <f>tblCalculation[[#This Row],[FIAttributable]]*SUMIFS(tblDTS[DTSContribution_BM],tblDTS[ISIN],tblCalculation[[#This Row],[ISIN]])</f>
        <v>2.402399063120984E-2</v>
      </c>
      <c r="AE86" s="16">
        <f>IF(SUM(tblCalculation[BMKDTS])=0,0,tblCalculation[[#This Row],[BMKDTS]]/SUM(tblCalculation[BMKDTS]))</f>
        <v>2.8552580388540123E-3</v>
      </c>
      <c r="AF86" s="16">
        <f>tblBOneExport[[#This Row],[BMK_CONTRIBUTION]]</f>
        <v>0</v>
      </c>
      <c r="AG86" s="16">
        <f>tblCalculation[[#This Row],[BMKContributionBase]]-tblBOneExport[BMK_SPOT_CCY_RETURN]-tblBOneExport[[#This Row],[BMK_CROSS_EFFECT]]</f>
        <v>0</v>
      </c>
      <c r="AH86" s="16">
        <f>tblCalculation[[#This Row],[FIAttributable]]*(tblBOneExport[[#This Row],[BMK_RETURN_GOV_CARRY]])</f>
        <v>0</v>
      </c>
      <c r="AI86" s="16">
        <f>tblCalculation[[#This Row],[FIAttributable]]*tblBOneExport[[#This Row],[BMK_CREDIT_CARRY]]</f>
        <v>0</v>
      </c>
      <c r="AJ86" s="16">
        <f>tblCalculation[[#This Row],[FIAttributable]]*tblBOneExport[[#This Row],[BMK_TOTAL_CURVE]]</f>
        <v>0</v>
      </c>
      <c r="AK86" s="16">
        <f>tblCalculation[[#This Row],[FIAttributable]]*(tblBOneExport[[#This Row],[BMK_TOTAL_SPREAD]]+BMK_Credit_Adj*tblCalculation[[#This Row],[BmkDTSWeight]])</f>
        <v>0</v>
      </c>
      <c r="AL86" s="16">
        <f>tblCalculation[[#This Row],[FIAttributable]]*tblBOneExport[[#This Row],[BMK_MODEL_RESIDUAL]]-BMK_Credit_Adj*tblCalculation[[#This Row],[BmkDTSWeight]]</f>
        <v>0</v>
      </c>
      <c r="AM86" s="16">
        <f>IF(tblCalculation[[#This Row],[Level3]]="Forward Contracts",tblCalculation[[#This Row],[BMKContributionLocal]],0)</f>
        <v>0</v>
      </c>
      <c r="AN86" s="16">
        <f>tblBOneExport[[#This Row],[BMK_SPOT_CCY_RETURN]]+tblBOneExport[[#This Row],[BMK_CROSS_EFFECT]]</f>
        <v>0</v>
      </c>
    </row>
    <row r="87" spans="5:40" x14ac:dyDescent="0.25">
      <c r="E87" s="7" t="str">
        <f>tblBOneExport[[#This Row],[INSTRUMENT_CODE]]</f>
        <v>S00454510</v>
      </c>
      <c r="F87" s="7" t="str">
        <f>tblBOneExport[[#This Row],[INSTRUMENT]]</f>
        <v>AMER INTL GROUP 5 26/04/23 EMTN</v>
      </c>
      <c r="G87" s="7" t="str">
        <f>IF(tblBOneExport[[#This Row],[ISIN]]&lt;&gt;"", tblBOneExport[[#This Row],[ISIN]],"")</f>
        <v>XS0252367775</v>
      </c>
      <c r="H87" s="7" t="str">
        <f>IF(tblCalculation[[#This Row],[B1Level2]]="CDS",tblBOneExport[[#This Row],[B1_TICKER]],IF(tblCalculation[[#This Row],[ISIN]]="","",INDEX(tblGetStaticData[Ticker],MATCH(tblCalculation[[#This Row],[ISIN]],tblGetStaticData[ISIN],0))))</f>
        <v>AIG</v>
      </c>
      <c r="I87" s="7" t="str">
        <f>IF(tblBOneExport[[#This Row],[INSTRUMENT_TYPE]]="Forward Contract","Forward Contract",tblBOneExport[LEVEL2])</f>
        <v>Corporates</v>
      </c>
      <c r="J87" s="7" t="str">
        <f>IF(tblBOneExport[[#This Row],[INSTRUMENT_TYPE]]="Forward Contract","Forward Contract",tblBOneExport[[#This Row],[LEVEL3]])</f>
        <v>Financial Institutions</v>
      </c>
      <c r="K87" s="7" t="str">
        <f>INDEX(tblLvl2Mapping[],MATCH(tblCalculation[[#This Row],[B1Level2]]&amp;"_"&amp;tblCalculation[[#This Row],[B1Level3]],tblLvl2Mapping[B1Level2_B1Level3],0),2)</f>
        <v>Corporate</v>
      </c>
      <c r="L87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87" s="7">
        <f>INDEX(tblAttributable[],MATCH(tblCalculation[[#This Row],[Level3]],tblAttributable[Level3],0),2)</f>
        <v>1</v>
      </c>
      <c r="N87" s="16">
        <f>tblBOneExport[[#This Row],[PTF_WEIGHT]]</f>
        <v>4.3951386E-3</v>
      </c>
      <c r="O87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2.1303981748137177E-2</v>
      </c>
      <c r="P87" s="48">
        <f>tblCalculation[[#This Row],[PtfDTS]]/SUM(tblCalculation[PtfDTS])</f>
        <v>2.5835824898483963E-3</v>
      </c>
      <c r="Q87" s="16">
        <f>tblBOneExport[[#This Row],[PTF_CONTRIBUTION]]</f>
        <v>4.5538599999999998E-5</v>
      </c>
      <c r="R87" s="16">
        <f>tblCalculation[[#This Row],[PtfContributionBase]]-tblCalculation[[#This Row],[PtfCurrencyReturn]]</f>
        <v>4.5538599999999998E-5</v>
      </c>
      <c r="S87" s="16">
        <f>IF(tblBOneExport[[#This Row],[LEVEL1]]="Bonds",tblBOneExport[[#This Row],[PTF_GOV_CARRY]],"")</f>
        <v>2.1691000000000001E-6</v>
      </c>
      <c r="T87" s="16">
        <f>tblCalculation[[#This Row],[FIAttributable]]*tblBOneExport[[#This Row],[PTF_CREDIT_CARRY]]</f>
        <v>4.6226999999999998E-6</v>
      </c>
      <c r="U87" s="16">
        <f>tblCalculation[[#This Row],[FIAttributable]]*tblBOneExport[[#This Row],[PTF_TOTAL_CURVE]]</f>
        <v>3.1702000000000002E-5</v>
      </c>
      <c r="V87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9.2320000000000007E-6</v>
      </c>
      <c r="W87" s="16">
        <f>IF(AND(tblCalculation[[#This Row],[Level3]]="Forward Contracts",tblBOneExport[[#This Row],[PTF_COST_OF_CARRY]]=0),tblBOneExport[[#This Row],[PTF_VALUATION]],0)</f>
        <v>0</v>
      </c>
      <c r="X87" s="16">
        <f>SUM(tblCalculation[[#This Row],[PtfTrading]:[PtfModelRes]])</f>
        <v>-2.1872E-6</v>
      </c>
      <c r="Y87" s="16">
        <f>tblCalculation[[#This Row],[FIAttributable]]*tblBOneExport[[#This Row],[PTF_TRADING]]</f>
        <v>0</v>
      </c>
      <c r="Z87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87" s="16">
        <f>tblCalculation[[#This Row],[FIAttributable]]*tblBOneExport[[#This Row],[PTF_MODEL_RESIDUAL]]-PTF_Credit_Adj*tblCalculation[[#This Row],[PtfDTSWeight]]</f>
        <v>-2.1872E-6</v>
      </c>
      <c r="AB87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87" s="16">
        <f>tblBOneExport[[#This Row],[BMK_WEIGHT]]</f>
        <v>0</v>
      </c>
      <c r="AD87" s="78">
        <f>tblCalculation[[#This Row],[FIAttributable]]*SUMIFS(tblDTS[DTSContribution_BM],tblDTS[ISIN],tblCalculation[[#This Row],[ISIN]])</f>
        <v>2.4605460487688344E-2</v>
      </c>
      <c r="AE87" s="16">
        <f>IF(SUM(tblCalculation[BMKDTS])=0,0,tblCalculation[[#This Row],[BMKDTS]]/SUM(tblCalculation[BMKDTS]))</f>
        <v>2.9243658947280772E-3</v>
      </c>
      <c r="AF87" s="16">
        <f>tblBOneExport[[#This Row],[BMK_CONTRIBUTION]]</f>
        <v>0</v>
      </c>
      <c r="AG87" s="16">
        <f>tblCalculation[[#This Row],[BMKContributionBase]]-tblBOneExport[BMK_SPOT_CCY_RETURN]-tblBOneExport[[#This Row],[BMK_CROSS_EFFECT]]</f>
        <v>0</v>
      </c>
      <c r="AH87" s="16">
        <f>tblCalculation[[#This Row],[FIAttributable]]*(tblBOneExport[[#This Row],[BMK_RETURN_GOV_CARRY]])</f>
        <v>0</v>
      </c>
      <c r="AI87" s="16">
        <f>tblCalculation[[#This Row],[FIAttributable]]*tblBOneExport[[#This Row],[BMK_CREDIT_CARRY]]</f>
        <v>0</v>
      </c>
      <c r="AJ87" s="16">
        <f>tblCalculation[[#This Row],[FIAttributable]]*tblBOneExport[[#This Row],[BMK_TOTAL_CURVE]]</f>
        <v>0</v>
      </c>
      <c r="AK87" s="16">
        <f>tblCalculation[[#This Row],[FIAttributable]]*(tblBOneExport[[#This Row],[BMK_TOTAL_SPREAD]]+BMK_Credit_Adj*tblCalculation[[#This Row],[BmkDTSWeight]])</f>
        <v>0</v>
      </c>
      <c r="AL87" s="16">
        <f>tblCalculation[[#This Row],[FIAttributable]]*tblBOneExport[[#This Row],[BMK_MODEL_RESIDUAL]]-BMK_Credit_Adj*tblCalculation[[#This Row],[BmkDTSWeight]]</f>
        <v>0</v>
      </c>
      <c r="AM87" s="16">
        <f>IF(tblCalculation[[#This Row],[Level3]]="Forward Contracts",tblCalculation[[#This Row],[BMKContributionLocal]],0)</f>
        <v>0</v>
      </c>
      <c r="AN87" s="16">
        <f>tblBOneExport[[#This Row],[BMK_SPOT_CCY_RETURN]]+tblBOneExport[[#This Row],[BMK_CROSS_EFFECT]]</f>
        <v>0</v>
      </c>
    </row>
    <row r="88" spans="5:40" x14ac:dyDescent="0.25">
      <c r="E88" s="7" t="str">
        <f>tblBOneExport[[#This Row],[INSTRUMENT_CODE]]</f>
        <v>S00460558</v>
      </c>
      <c r="F88" s="7" t="str">
        <f>tblBOneExport[[#This Row],[INSTRUMENT]]</f>
        <v>BAYER AG 5.625 23/05/18 EMTN</v>
      </c>
      <c r="G88" s="7" t="str">
        <f>IF(tblBOneExport[[#This Row],[ISIN]]&lt;&gt;"", tblBOneExport[[#This Row],[ISIN]],"")</f>
        <v>XS0255605239</v>
      </c>
      <c r="H88" s="7" t="str">
        <f>IF(tblCalculation[[#This Row],[B1Level2]]="CDS",tblBOneExport[[#This Row],[B1_TICKER]],IF(tblCalculation[[#This Row],[ISIN]]="","",INDEX(tblGetStaticData[Ticker],MATCH(tblCalculation[[#This Row],[ISIN]],tblGetStaticData[ISIN],0))))</f>
        <v>BAYNGR</v>
      </c>
      <c r="I88" s="7" t="str">
        <f>IF(tblBOneExport[[#This Row],[INSTRUMENT_TYPE]]="Forward Contract","Forward Contract",tblBOneExport[LEVEL2])</f>
        <v>Corporates</v>
      </c>
      <c r="J88" s="7" t="str">
        <f>IF(tblBOneExport[[#This Row],[INSTRUMENT_TYPE]]="Forward Contract","Forward Contract",tblBOneExport[[#This Row],[LEVEL3]])</f>
        <v>Industrials</v>
      </c>
      <c r="K88" s="7" t="str">
        <f>INDEX(tblLvl2Mapping[],MATCH(tblCalculation[[#This Row],[B1Level2]]&amp;"_"&amp;tblCalculation[[#This Row],[B1Level3]],tblLvl2Mapping[B1Level2_B1Level3],0),2)</f>
        <v>Corporate</v>
      </c>
      <c r="L88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88" s="7">
        <f>INDEX(tblAttributable[],MATCH(tblCalculation[[#This Row],[Level3]],tblAttributable[Level3],0),2)</f>
        <v>1</v>
      </c>
      <c r="N88" s="16">
        <f>tblBOneExport[[#This Row],[PTF_WEIGHT]]</f>
        <v>1.03164728E-2</v>
      </c>
      <c r="O88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3.8711703197318028E-3</v>
      </c>
      <c r="P88" s="48">
        <f>tblCalculation[[#This Row],[PtfDTS]]/SUM(tblCalculation[PtfDTS])</f>
        <v>4.6946566005927202E-4</v>
      </c>
      <c r="Q88" s="16">
        <f>tblBOneExport[[#This Row],[PTF_CONTRIBUTION]]</f>
        <v>1.21744E-5</v>
      </c>
      <c r="R88" s="16">
        <f>tblCalculation[[#This Row],[PtfContributionBase]]-tblCalculation[[#This Row],[PtfCurrencyReturn]]</f>
        <v>1.21744E-5</v>
      </c>
      <c r="S88" s="16">
        <f>IF(tblBOneExport[[#This Row],[LEVEL1]]="Bonds",tblBOneExport[[#This Row],[PTF_GOV_CARRY]],"")</f>
        <v>1.7994000000000001E-6</v>
      </c>
      <c r="T88" s="16">
        <f>tblCalculation[[#This Row],[FIAttributable]]*tblBOneExport[[#This Row],[PTF_CREDIT_CARRY]]</f>
        <v>5.3271999999999996E-6</v>
      </c>
      <c r="U88" s="16">
        <f>tblCalculation[[#This Row],[FIAttributable]]*tblBOneExport[[#This Row],[PTF_TOTAL_CURVE]]</f>
        <v>7.2358999999999996E-6</v>
      </c>
      <c r="V88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-3.6551E-6</v>
      </c>
      <c r="W88" s="16">
        <f>IF(AND(tblCalculation[[#This Row],[Level3]]="Forward Contracts",tblBOneExport[[#This Row],[PTF_COST_OF_CARRY]]=0),tblBOneExport[[#This Row],[PTF_VALUATION]],0)</f>
        <v>0</v>
      </c>
      <c r="X88" s="16">
        <f>SUM(tblCalculation[[#This Row],[PtfTrading]:[PtfModelRes]])</f>
        <v>1.4670999999999999E-6</v>
      </c>
      <c r="Y88" s="16">
        <f>tblCalculation[[#This Row],[FIAttributable]]*tblBOneExport[[#This Row],[PTF_TRADING]]</f>
        <v>0</v>
      </c>
      <c r="Z88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88" s="16">
        <f>tblCalculation[[#This Row],[FIAttributable]]*tblBOneExport[[#This Row],[PTF_MODEL_RESIDUAL]]-PTF_Credit_Adj*tblCalculation[[#This Row],[PtfDTSWeight]]</f>
        <v>1.4670999999999999E-6</v>
      </c>
      <c r="AB88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88" s="16">
        <f>tblBOneExport[[#This Row],[BMK_WEIGHT]]</f>
        <v>0</v>
      </c>
      <c r="AD88" s="78">
        <f>tblCalculation[[#This Row],[FIAttributable]]*SUMIFS(tblDTS[DTSContribution_BM],tblDTS[ISIN],tblCalculation[[#This Row],[ISIN]])</f>
        <v>5.1083230365465294E-3</v>
      </c>
      <c r="AE88" s="16">
        <f>IF(SUM(tblCalculation[BMKDTS])=0,0,tblCalculation[[#This Row],[BMKDTS]]/SUM(tblCalculation[BMKDTS]))</f>
        <v>6.0712562867113015E-4</v>
      </c>
      <c r="AF88" s="16">
        <f>tblBOneExport[[#This Row],[BMK_CONTRIBUTION]]</f>
        <v>0</v>
      </c>
      <c r="AG88" s="16">
        <f>tblCalculation[[#This Row],[BMKContributionBase]]-tblBOneExport[BMK_SPOT_CCY_RETURN]-tblBOneExport[[#This Row],[BMK_CROSS_EFFECT]]</f>
        <v>0</v>
      </c>
      <c r="AH88" s="16">
        <f>tblCalculation[[#This Row],[FIAttributable]]*(tblBOneExport[[#This Row],[BMK_RETURN_GOV_CARRY]])</f>
        <v>0</v>
      </c>
      <c r="AI88" s="16">
        <f>tblCalculation[[#This Row],[FIAttributable]]*tblBOneExport[[#This Row],[BMK_CREDIT_CARRY]]</f>
        <v>0</v>
      </c>
      <c r="AJ88" s="16">
        <f>tblCalculation[[#This Row],[FIAttributable]]*tblBOneExport[[#This Row],[BMK_TOTAL_CURVE]]</f>
        <v>0</v>
      </c>
      <c r="AK88" s="16">
        <f>tblCalculation[[#This Row],[FIAttributable]]*(tblBOneExport[[#This Row],[BMK_TOTAL_SPREAD]]+BMK_Credit_Adj*tblCalculation[[#This Row],[BmkDTSWeight]])</f>
        <v>0</v>
      </c>
      <c r="AL88" s="16">
        <f>tblCalculation[[#This Row],[FIAttributable]]*tblBOneExport[[#This Row],[BMK_MODEL_RESIDUAL]]-BMK_Credit_Adj*tblCalculation[[#This Row],[BmkDTSWeight]]</f>
        <v>0</v>
      </c>
      <c r="AM88" s="16">
        <f>IF(tblCalculation[[#This Row],[Level3]]="Forward Contracts",tblCalculation[[#This Row],[BMKContributionLocal]],0)</f>
        <v>0</v>
      </c>
      <c r="AN88" s="16">
        <f>tblBOneExport[[#This Row],[BMK_SPOT_CCY_RETURN]]+tblBOneExport[[#This Row],[BMK_CROSS_EFFECT]]</f>
        <v>0</v>
      </c>
    </row>
    <row r="89" spans="5:40" x14ac:dyDescent="0.25">
      <c r="E89" s="7" t="str">
        <f>tblBOneExport[[#This Row],[INSTRUMENT_CODE]]</f>
        <v>S00482383</v>
      </c>
      <c r="F89" s="7" t="str">
        <f>tblBOneExport[[#This Row],[INSTRUMENT]]</f>
        <v>SOUTHERN WATER 4.5 31/03/52 A</v>
      </c>
      <c r="G89" s="7" t="str">
        <f>IF(tblBOneExport[[#This Row],[ISIN]]&lt;&gt;"", tblBOneExport[[#This Row],[ISIN]],"")</f>
        <v>XS0271386244</v>
      </c>
      <c r="H89" s="7" t="str">
        <f>IF(tblCalculation[[#This Row],[B1Level2]]="CDS",tblBOneExport[[#This Row],[B1_TICKER]],IF(tblCalculation[[#This Row],[ISIN]]="","",INDEX(tblGetStaticData[Ticker],MATCH(tblCalculation[[#This Row],[ISIN]],tblGetStaticData[ISIN],0))))</f>
        <v>SWSFIN</v>
      </c>
      <c r="I89" s="7" t="str">
        <f>IF(tblBOneExport[[#This Row],[INSTRUMENT_TYPE]]="Forward Contract","Forward Contract",tblBOneExport[LEVEL2])</f>
        <v>Corporates</v>
      </c>
      <c r="J89" s="7" t="str">
        <f>IF(tblBOneExport[[#This Row],[INSTRUMENT_TYPE]]="Forward Contract","Forward Contract",tblBOneExport[[#This Row],[LEVEL3]])</f>
        <v>Utilities</v>
      </c>
      <c r="K89" s="7" t="str">
        <f>INDEX(tblLvl2Mapping[],MATCH(tblCalculation[[#This Row],[B1Level2]]&amp;"_"&amp;tblCalculation[[#This Row],[B1Level3]],tblLvl2Mapping[B1Level2_B1Level3],0),2)</f>
        <v>Corporate</v>
      </c>
      <c r="L89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89" s="7">
        <f>INDEX(tblAttributable[],MATCH(tblCalculation[[#This Row],[Level3]],tblAttributable[Level3],0),2)</f>
        <v>1</v>
      </c>
      <c r="N89" s="16">
        <f>tblBOneExport[[#This Row],[PTF_WEIGHT]]</f>
        <v>2.0578577E-3</v>
      </c>
      <c r="O89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4.7123030427590515E-2</v>
      </c>
      <c r="P89" s="48">
        <f>tblCalculation[[#This Row],[PtfDTS]]/SUM(tblCalculation[PtfDTS])</f>
        <v>5.7147174514436275E-3</v>
      </c>
      <c r="Q89" s="16">
        <f>tblBOneExport[[#This Row],[PTF_CONTRIBUTION]]</f>
        <v>5.9965700000000001E-5</v>
      </c>
      <c r="R89" s="16">
        <f>tblCalculation[[#This Row],[PtfContributionBase]]-tblCalculation[[#This Row],[PtfCurrencyReturn]]</f>
        <v>5.9965700000000001E-5</v>
      </c>
      <c r="S89" s="16">
        <f>IF(tblBOneExport[[#This Row],[LEVEL1]]="Bonds",tblBOneExport[[#This Row],[PTF_GOV_CARRY]],"")</f>
        <v>2.9253000000000002E-6</v>
      </c>
      <c r="T89" s="16">
        <f>tblCalculation[[#This Row],[FIAttributable]]*tblBOneExport[[#This Row],[PTF_CREDIT_CARRY]]</f>
        <v>1.5722E-6</v>
      </c>
      <c r="U89" s="16">
        <f>tblCalculation[[#This Row],[FIAttributable]]*tblBOneExport[[#This Row],[PTF_TOTAL_CURVE]]</f>
        <v>6.25736E-5</v>
      </c>
      <c r="V89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1.5677E-6</v>
      </c>
      <c r="W89" s="16">
        <f>IF(AND(tblCalculation[[#This Row],[Level3]]="Forward Contracts",tblBOneExport[[#This Row],[PTF_COST_OF_CARRY]]=0),tblBOneExport[[#This Row],[PTF_VALUATION]],0)</f>
        <v>0</v>
      </c>
      <c r="X89" s="16">
        <f>SUM(tblCalculation[[#This Row],[PtfTrading]:[PtfModelRes]])</f>
        <v>-8.6731E-6</v>
      </c>
      <c r="Y89" s="16">
        <f>tblCalculation[[#This Row],[FIAttributable]]*tblBOneExport[[#This Row],[PTF_TRADING]]</f>
        <v>0</v>
      </c>
      <c r="Z89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89" s="16">
        <f>tblCalculation[[#This Row],[FIAttributable]]*tblBOneExport[[#This Row],[PTF_MODEL_RESIDUAL]]-PTF_Credit_Adj*tblCalculation[[#This Row],[PtfDTSWeight]]</f>
        <v>-8.6731E-6</v>
      </c>
      <c r="AB89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89" s="16">
        <f>tblBOneExport[[#This Row],[BMK_WEIGHT]]</f>
        <v>0</v>
      </c>
      <c r="AD89" s="78">
        <f>tblCalculation[[#This Row],[FIAttributable]]*SUMIFS(tblDTS[DTSContribution_BM],tblDTS[ISIN],tblCalculation[[#This Row],[ISIN]])</f>
        <v>0</v>
      </c>
      <c r="AE89" s="16">
        <f>IF(SUM(tblCalculation[BMKDTS])=0,0,tblCalculation[[#This Row],[BMKDTS]]/SUM(tblCalculation[BMKDTS]))</f>
        <v>0</v>
      </c>
      <c r="AF89" s="16">
        <f>tblBOneExport[[#This Row],[BMK_CONTRIBUTION]]</f>
        <v>0</v>
      </c>
      <c r="AG89" s="16">
        <f>tblCalculation[[#This Row],[BMKContributionBase]]-tblBOneExport[BMK_SPOT_CCY_RETURN]-tblBOneExport[[#This Row],[BMK_CROSS_EFFECT]]</f>
        <v>0</v>
      </c>
      <c r="AH89" s="16">
        <f>tblCalculation[[#This Row],[FIAttributable]]*(tblBOneExport[[#This Row],[BMK_RETURN_GOV_CARRY]])</f>
        <v>0</v>
      </c>
      <c r="AI89" s="16">
        <f>tblCalculation[[#This Row],[FIAttributable]]*tblBOneExport[[#This Row],[BMK_CREDIT_CARRY]]</f>
        <v>0</v>
      </c>
      <c r="AJ89" s="16">
        <f>tblCalculation[[#This Row],[FIAttributable]]*tblBOneExport[[#This Row],[BMK_TOTAL_CURVE]]</f>
        <v>0</v>
      </c>
      <c r="AK89" s="16">
        <f>tblCalculation[[#This Row],[FIAttributable]]*(tblBOneExport[[#This Row],[BMK_TOTAL_SPREAD]]+BMK_Credit_Adj*tblCalculation[[#This Row],[BmkDTSWeight]])</f>
        <v>0</v>
      </c>
      <c r="AL89" s="16">
        <f>tblCalculation[[#This Row],[FIAttributable]]*tblBOneExport[[#This Row],[BMK_MODEL_RESIDUAL]]-BMK_Credit_Adj*tblCalculation[[#This Row],[BmkDTSWeight]]</f>
        <v>0</v>
      </c>
      <c r="AM89" s="16">
        <f>IF(tblCalculation[[#This Row],[Level3]]="Forward Contracts",tblCalculation[[#This Row],[BMKContributionLocal]],0)</f>
        <v>0</v>
      </c>
      <c r="AN89" s="16">
        <f>tblBOneExport[[#This Row],[BMK_SPOT_CCY_RETURN]]+tblBOneExport[[#This Row],[BMK_CROSS_EFFECT]]</f>
        <v>0</v>
      </c>
    </row>
    <row r="90" spans="5:40" x14ac:dyDescent="0.25">
      <c r="E90" s="7" t="str">
        <f>tblBOneExport[[#This Row],[INSTRUMENT_CODE]]</f>
        <v>S00363243</v>
      </c>
      <c r="F90" s="7" t="str">
        <f>tblBOneExport[[#This Row],[INSTRUMENT]]</f>
        <v>DWR CYMRU FIN 4.473 31/03/57 EMTN</v>
      </c>
      <c r="G90" s="7" t="str">
        <f>IF(tblBOneExport[[#This Row],[ISIN]]&lt;&gt;"", tblBOneExport[[#This Row],[ISIN]],"")</f>
        <v>XS0275787728</v>
      </c>
      <c r="H90" s="7" t="str">
        <f>IF(tblCalculation[[#This Row],[B1Level2]]="CDS",tblBOneExport[[#This Row],[B1_TICKER]],IF(tblCalculation[[#This Row],[ISIN]]="","",INDEX(tblGetStaticData[Ticker],MATCH(tblCalculation[[#This Row],[ISIN]],tblGetStaticData[ISIN],0))))</f>
        <v>GLAS</v>
      </c>
      <c r="I90" s="7" t="str">
        <f>IF(tblBOneExport[[#This Row],[INSTRUMENT_TYPE]]="Forward Contract","Forward Contract",tblBOneExport[LEVEL2])</f>
        <v>Corporates</v>
      </c>
      <c r="J90" s="7" t="str">
        <f>IF(tblBOneExport[[#This Row],[INSTRUMENT_TYPE]]="Forward Contract","Forward Contract",tblBOneExport[[#This Row],[LEVEL3]])</f>
        <v>Utilities</v>
      </c>
      <c r="K90" s="7" t="str">
        <f>INDEX(tblLvl2Mapping[],MATCH(tblCalculation[[#This Row],[B1Level2]]&amp;"_"&amp;tblCalculation[[#This Row],[B1Level3]],tblLvl2Mapping[B1Level2_B1Level3],0),2)</f>
        <v>Corporate</v>
      </c>
      <c r="L90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90" s="7">
        <f>INDEX(tblAttributable[],MATCH(tblCalculation[[#This Row],[Level3]],tblAttributable[Level3],0),2)</f>
        <v>1</v>
      </c>
      <c r="N90" s="16">
        <f>tblBOneExport[[#This Row],[PTF_WEIGHT]]</f>
        <v>5.7691019000000003E-3</v>
      </c>
      <c r="O90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0.13959870618272427</v>
      </c>
      <c r="P90" s="48">
        <f>tblCalculation[[#This Row],[PtfDTS]]/SUM(tblCalculation[PtfDTS])</f>
        <v>1.6929453712600653E-2</v>
      </c>
      <c r="Q90" s="16">
        <f>tblBOneExport[[#This Row],[PTF_CONTRIBUTION]]</f>
        <v>1.6205540000000001E-4</v>
      </c>
      <c r="R90" s="16">
        <f>tblCalculation[[#This Row],[PtfContributionBase]]-tblCalculation[[#This Row],[PtfCurrencyReturn]]</f>
        <v>1.6205540000000001E-4</v>
      </c>
      <c r="S90" s="16">
        <f>IF(tblBOneExport[[#This Row],[LEVEL1]]="Bonds",tblBOneExport[[#This Row],[PTF_GOV_CARRY]],"")</f>
        <v>7.8831999999999993E-6</v>
      </c>
      <c r="T90" s="16">
        <f>tblCalculation[[#This Row],[FIAttributable]]*tblBOneExport[[#This Row],[PTF_CREDIT_CARRY]]</f>
        <v>4.5413E-6</v>
      </c>
      <c r="U90" s="16">
        <f>tblCalculation[[#This Row],[FIAttributable]]*tblBOneExport[[#This Row],[PTF_TOTAL_CURVE]]</f>
        <v>1.758025E-4</v>
      </c>
      <c r="V90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-3.3380300000000003E-5</v>
      </c>
      <c r="W90" s="16">
        <f>IF(AND(tblCalculation[[#This Row],[Level3]]="Forward Contracts",tblBOneExport[[#This Row],[PTF_COST_OF_CARRY]]=0),tblBOneExport[[#This Row],[PTF_VALUATION]],0)</f>
        <v>0</v>
      </c>
      <c r="X90" s="16">
        <f>SUM(tblCalculation[[#This Row],[PtfTrading]:[PtfModelRes]])</f>
        <v>7.2087000000000001E-6</v>
      </c>
      <c r="Y90" s="16">
        <f>tblCalculation[[#This Row],[FIAttributable]]*tblBOneExport[[#This Row],[PTF_TRADING]]</f>
        <v>0</v>
      </c>
      <c r="Z90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90" s="16">
        <f>tblCalculation[[#This Row],[FIAttributable]]*tblBOneExport[[#This Row],[PTF_MODEL_RESIDUAL]]-PTF_Credit_Adj*tblCalculation[[#This Row],[PtfDTSWeight]]</f>
        <v>7.2087000000000001E-6</v>
      </c>
      <c r="AB90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90" s="16">
        <f>tblBOneExport[[#This Row],[BMK_WEIGHT]]</f>
        <v>0</v>
      </c>
      <c r="AD90" s="78">
        <f>tblCalculation[[#This Row],[FIAttributable]]*SUMIFS(tblDTS[DTSContribution_BM],tblDTS[ISIN],tblCalculation[[#This Row],[ISIN]])</f>
        <v>0.17867129093410461</v>
      </c>
      <c r="AE90" s="16">
        <f>IF(SUM(tblCalculation[BMKDTS])=0,0,tblCalculation[[#This Row],[BMKDTS]]/SUM(tblCalculation[BMKDTS]))</f>
        <v>2.1235133146001194E-2</v>
      </c>
      <c r="AF90" s="16">
        <f>tblBOneExport[[#This Row],[BMK_CONTRIBUTION]]</f>
        <v>0</v>
      </c>
      <c r="AG90" s="16">
        <f>tblCalculation[[#This Row],[BMKContributionBase]]-tblBOneExport[BMK_SPOT_CCY_RETURN]-tblBOneExport[[#This Row],[BMK_CROSS_EFFECT]]</f>
        <v>0</v>
      </c>
      <c r="AH90" s="16">
        <f>tblCalculation[[#This Row],[FIAttributable]]*(tblBOneExport[[#This Row],[BMK_RETURN_GOV_CARRY]])</f>
        <v>0</v>
      </c>
      <c r="AI90" s="16">
        <f>tblCalculation[[#This Row],[FIAttributable]]*tblBOneExport[[#This Row],[BMK_CREDIT_CARRY]]</f>
        <v>0</v>
      </c>
      <c r="AJ90" s="16">
        <f>tblCalculation[[#This Row],[FIAttributable]]*tblBOneExport[[#This Row],[BMK_TOTAL_CURVE]]</f>
        <v>0</v>
      </c>
      <c r="AK90" s="16">
        <f>tblCalculation[[#This Row],[FIAttributable]]*(tblBOneExport[[#This Row],[BMK_TOTAL_SPREAD]]+BMK_Credit_Adj*tblCalculation[[#This Row],[BmkDTSWeight]])</f>
        <v>0</v>
      </c>
      <c r="AL90" s="16">
        <f>tblCalculation[[#This Row],[FIAttributable]]*tblBOneExport[[#This Row],[BMK_MODEL_RESIDUAL]]-BMK_Credit_Adj*tblCalculation[[#This Row],[BmkDTSWeight]]</f>
        <v>0</v>
      </c>
      <c r="AM90" s="16">
        <f>IF(tblCalculation[[#This Row],[Level3]]="Forward Contracts",tblCalculation[[#This Row],[BMKContributionLocal]],0)</f>
        <v>0</v>
      </c>
      <c r="AN90" s="16">
        <f>tblBOneExport[[#This Row],[BMK_SPOT_CCY_RETURN]]+tblBOneExport[[#This Row],[BMK_CROSS_EFFECT]]</f>
        <v>0</v>
      </c>
    </row>
    <row r="91" spans="5:40" x14ac:dyDescent="0.25">
      <c r="E91" s="7" t="str">
        <f>tblBOneExport[[#This Row],[INSTRUMENT_CODE]]</f>
        <v>S00517194</v>
      </c>
      <c r="F91" s="7" t="str">
        <f>tblBOneExport[[#This Row],[INSTRUMENT]]</f>
        <v>GLENCORE FINANCE 6.5 27/02/19 EMTN</v>
      </c>
      <c r="G91" s="7" t="str">
        <f>IF(tblBOneExport[[#This Row],[ISIN]]&lt;&gt;"", tblBOneExport[[#This Row],[ISIN]],"")</f>
        <v>XS0288783979</v>
      </c>
      <c r="H91" s="7" t="str">
        <f>IF(tblCalculation[[#This Row],[B1Level2]]="CDS",tblBOneExport[[#This Row],[B1_TICKER]],IF(tblCalculation[[#This Row],[ISIN]]="","",INDEX(tblGetStaticData[Ticker],MATCH(tblCalculation[[#This Row],[ISIN]],tblGetStaticData[ISIN],0))))</f>
        <v>GLENLN</v>
      </c>
      <c r="I91" s="7" t="str">
        <f>IF(tblBOneExport[[#This Row],[INSTRUMENT_TYPE]]="Forward Contract","Forward Contract",tblBOneExport[LEVEL2])</f>
        <v>Corporates</v>
      </c>
      <c r="J91" s="7" t="str">
        <f>IF(tblBOneExport[[#This Row],[INSTRUMENT_TYPE]]="Forward Contract","Forward Contract",tblBOneExport[[#This Row],[LEVEL3]])</f>
        <v>Industrials</v>
      </c>
      <c r="K91" s="7" t="str">
        <f>INDEX(tblLvl2Mapping[],MATCH(tblCalculation[[#This Row],[B1Level2]]&amp;"_"&amp;tblCalculation[[#This Row],[B1Level3]],tblLvl2Mapping[B1Level2_B1Level3],0),2)</f>
        <v>Corporate</v>
      </c>
      <c r="L91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91" s="7">
        <f>INDEX(tblAttributable[],MATCH(tblCalculation[[#This Row],[Level3]],tblAttributable[Level3],0),2)</f>
        <v>1</v>
      </c>
      <c r="N91" s="16">
        <f>tblBOneExport[[#This Row],[PTF_WEIGHT]]</f>
        <v>1.2838539E-3</v>
      </c>
      <c r="O91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1.552809407607167E-3</v>
      </c>
      <c r="P91" s="48">
        <f>tblCalculation[[#This Row],[PtfDTS]]/SUM(tblCalculation[PtfDTS])</f>
        <v>1.8831274092302163E-4</v>
      </c>
      <c r="Q91" s="16">
        <f>tblBOneExport[[#This Row],[PTF_CONTRIBUTION]]</f>
        <v>4.5765000000000001E-6</v>
      </c>
      <c r="R91" s="16">
        <f>tblCalculation[[#This Row],[PtfContributionBase]]-tblCalculation[[#This Row],[PtfCurrencyReturn]]</f>
        <v>4.5765000000000001E-6</v>
      </c>
      <c r="S91" s="16">
        <f>IF(tblBOneExport[[#This Row],[LEVEL1]]="Bonds",tblBOneExport[[#This Row],[PTF_GOV_CARRY]],"")</f>
        <v>2.318E-7</v>
      </c>
      <c r="T91" s="16">
        <f>tblCalculation[[#This Row],[FIAttributable]]*tblBOneExport[[#This Row],[PTF_CREDIT_CARRY]]</f>
        <v>1.1233999999999999E-6</v>
      </c>
      <c r="U91" s="16">
        <f>tblCalculation[[#This Row],[FIAttributable]]*tblBOneExport[[#This Row],[PTF_TOTAL_CURVE]]</f>
        <v>2.2688000000000002E-6</v>
      </c>
      <c r="V91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8.7110000000000001E-7</v>
      </c>
      <c r="W91" s="16">
        <f>IF(AND(tblCalculation[[#This Row],[Level3]]="Forward Contracts",tblBOneExport[[#This Row],[PTF_COST_OF_CARRY]]=0),tblBOneExport[[#This Row],[PTF_VALUATION]],0)</f>
        <v>0</v>
      </c>
      <c r="X91" s="16">
        <f>SUM(tblCalculation[[#This Row],[PtfTrading]:[PtfModelRes]])</f>
        <v>8.1400000000000001E-8</v>
      </c>
      <c r="Y91" s="16">
        <f>tblCalculation[[#This Row],[FIAttributable]]*tblBOneExport[[#This Row],[PTF_TRADING]]</f>
        <v>0</v>
      </c>
      <c r="Z91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91" s="16">
        <f>tblCalculation[[#This Row],[FIAttributable]]*tblBOneExport[[#This Row],[PTF_MODEL_RESIDUAL]]-PTF_Credit_Adj*tblCalculation[[#This Row],[PtfDTSWeight]]</f>
        <v>8.1400000000000001E-8</v>
      </c>
      <c r="AB91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91" s="16">
        <f>tblBOneExport[[#This Row],[BMK_WEIGHT]]</f>
        <v>0</v>
      </c>
      <c r="AD91" s="78">
        <f>tblCalculation[[#This Row],[FIAttributable]]*SUMIFS(tblDTS[DTSContribution_BM],tblDTS[ISIN],tblCalculation[[#This Row],[ISIN]])</f>
        <v>2.0494373398947025E-3</v>
      </c>
      <c r="AE91" s="16">
        <f>IF(SUM(tblCalculation[BMKDTS])=0,0,tblCalculation[[#This Row],[BMKDTS]]/SUM(tblCalculation[BMKDTS]))</f>
        <v>2.4357620387430376E-4</v>
      </c>
      <c r="AF91" s="16">
        <f>tblBOneExport[[#This Row],[BMK_CONTRIBUTION]]</f>
        <v>0</v>
      </c>
      <c r="AG91" s="16">
        <f>tblCalculation[[#This Row],[BMKContributionBase]]-tblBOneExport[BMK_SPOT_CCY_RETURN]-tblBOneExport[[#This Row],[BMK_CROSS_EFFECT]]</f>
        <v>0</v>
      </c>
      <c r="AH91" s="16">
        <f>tblCalculation[[#This Row],[FIAttributable]]*(tblBOneExport[[#This Row],[BMK_RETURN_GOV_CARRY]])</f>
        <v>0</v>
      </c>
      <c r="AI91" s="16">
        <f>tblCalculation[[#This Row],[FIAttributable]]*tblBOneExport[[#This Row],[BMK_CREDIT_CARRY]]</f>
        <v>0</v>
      </c>
      <c r="AJ91" s="16">
        <f>tblCalculation[[#This Row],[FIAttributable]]*tblBOneExport[[#This Row],[BMK_TOTAL_CURVE]]</f>
        <v>0</v>
      </c>
      <c r="AK91" s="16">
        <f>tblCalculation[[#This Row],[FIAttributable]]*(tblBOneExport[[#This Row],[BMK_TOTAL_SPREAD]]+BMK_Credit_Adj*tblCalculation[[#This Row],[BmkDTSWeight]])</f>
        <v>0</v>
      </c>
      <c r="AL91" s="16">
        <f>tblCalculation[[#This Row],[FIAttributable]]*tblBOneExport[[#This Row],[BMK_MODEL_RESIDUAL]]-BMK_Credit_Adj*tblCalculation[[#This Row],[BmkDTSWeight]]</f>
        <v>0</v>
      </c>
      <c r="AM91" s="16">
        <f>IF(tblCalculation[[#This Row],[Level3]]="Forward Contracts",tblCalculation[[#This Row],[BMKContributionLocal]],0)</f>
        <v>0</v>
      </c>
      <c r="AN91" s="16">
        <f>tblBOneExport[[#This Row],[BMK_SPOT_CCY_RETURN]]+tblBOneExport[[#This Row],[BMK_CROSS_EFFECT]]</f>
        <v>0</v>
      </c>
    </row>
    <row r="92" spans="5:40" x14ac:dyDescent="0.25">
      <c r="E92" s="7" t="str">
        <f>tblBOneExport[[#This Row],[INSTRUMENT_CODE]]</f>
        <v>S00519469</v>
      </c>
      <c r="F92" s="7" t="str">
        <f>tblBOneExport[[#This Row],[INSTRUMENT]]</f>
        <v>AT&amp;T INC 5.5 15/03/27</v>
      </c>
      <c r="G92" s="7" t="str">
        <f>IF(tblBOneExport[[#This Row],[ISIN]]&lt;&gt;"", tblBOneExport[[#This Row],[ISIN]],"")</f>
        <v>XS0291949120</v>
      </c>
      <c r="H92" s="7" t="str">
        <f>IF(tblCalculation[[#This Row],[B1Level2]]="CDS",tblBOneExport[[#This Row],[B1_TICKER]],IF(tblCalculation[[#This Row],[ISIN]]="","",INDEX(tblGetStaticData[Ticker],MATCH(tblCalculation[[#This Row],[ISIN]],tblGetStaticData[ISIN],0))))</f>
        <v>T</v>
      </c>
      <c r="I92" s="7" t="str">
        <f>IF(tblBOneExport[[#This Row],[INSTRUMENT_TYPE]]="Forward Contract","Forward Contract",tblBOneExport[LEVEL2])</f>
        <v>Corporates</v>
      </c>
      <c r="J92" s="7" t="str">
        <f>IF(tblBOneExport[[#This Row],[INSTRUMENT_TYPE]]="Forward Contract","Forward Contract",tblBOneExport[[#This Row],[LEVEL3]])</f>
        <v>Industrials</v>
      </c>
      <c r="K92" s="7" t="str">
        <f>INDEX(tblLvl2Mapping[],MATCH(tblCalculation[[#This Row],[B1Level2]]&amp;"_"&amp;tblCalculation[[#This Row],[B1Level3]],tblLvl2Mapping[B1Level2_B1Level3],0),2)</f>
        <v>Corporate</v>
      </c>
      <c r="L92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92" s="7">
        <f>INDEX(tblAttributable[],MATCH(tblCalculation[[#This Row],[Level3]],tblAttributable[Level3],0),2)</f>
        <v>1</v>
      </c>
      <c r="N92" s="16">
        <f>tblBOneExport[[#This Row],[PTF_WEIGHT]]</f>
        <v>1.4583553E-3</v>
      </c>
      <c r="O92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1.7370472904408012E-2</v>
      </c>
      <c r="P92" s="48">
        <f>tblCalculation[[#This Row],[PtfDTS]]/SUM(tblCalculation[PtfDTS])</f>
        <v>2.1065568947053145E-3</v>
      </c>
      <c r="Q92" s="16">
        <f>tblBOneExport[[#This Row],[PTF_CONTRIBUTION]]</f>
        <v>2.3916700000000001E-5</v>
      </c>
      <c r="R92" s="16">
        <f>tblCalculation[[#This Row],[PtfContributionBase]]-tblCalculation[[#This Row],[PtfCurrencyReturn]]</f>
        <v>2.3916700000000001E-5</v>
      </c>
      <c r="S92" s="16">
        <f>IF(tblBOneExport[[#This Row],[LEVEL1]]="Bonds",tblBOneExport[[#This Row],[PTF_GOV_CARRY]],"")</f>
        <v>1.2923000000000001E-6</v>
      </c>
      <c r="T92" s="16">
        <f>tblCalculation[[#This Row],[FIAttributable]]*tblBOneExport[[#This Row],[PTF_CREDIT_CARRY]]</f>
        <v>1.9979E-6</v>
      </c>
      <c r="U92" s="16">
        <f>tblCalculation[[#This Row],[FIAttributable]]*tblBOneExport[[#This Row],[PTF_TOTAL_CURVE]]</f>
        <v>2.22707E-5</v>
      </c>
      <c r="V92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-1.9985E-6</v>
      </c>
      <c r="W92" s="16">
        <f>IF(AND(tblCalculation[[#This Row],[Level3]]="Forward Contracts",tblBOneExport[[#This Row],[PTF_COST_OF_CARRY]]=0),tblBOneExport[[#This Row],[PTF_VALUATION]],0)</f>
        <v>0</v>
      </c>
      <c r="X92" s="16">
        <f>SUM(tblCalculation[[#This Row],[PtfTrading]:[PtfModelRes]])</f>
        <v>3.5429999999999999E-7</v>
      </c>
      <c r="Y92" s="16">
        <f>tblCalculation[[#This Row],[FIAttributable]]*tblBOneExport[[#This Row],[PTF_TRADING]]</f>
        <v>0</v>
      </c>
      <c r="Z92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92" s="16">
        <f>tblCalculation[[#This Row],[FIAttributable]]*tblBOneExport[[#This Row],[PTF_MODEL_RESIDUAL]]-PTF_Credit_Adj*tblCalculation[[#This Row],[PtfDTSWeight]]</f>
        <v>3.5429999999999999E-7</v>
      </c>
      <c r="AB92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92" s="16">
        <f>tblBOneExport[[#This Row],[BMK_WEIGHT]]</f>
        <v>0</v>
      </c>
      <c r="AD92" s="78">
        <f>tblCalculation[[#This Row],[FIAttributable]]*SUMIFS(tblDTS[DTSContribution_BM],tblDTS[ISIN],tblCalculation[[#This Row],[ISIN]])</f>
        <v>2.292422350470058E-2</v>
      </c>
      <c r="AE92" s="16">
        <f>IF(SUM(tblCalculation[BMKDTS])=0,0,tblCalculation[[#This Row],[BMKDTS]]/SUM(tblCalculation[BMKDTS]))</f>
        <v>2.7245504067608837E-3</v>
      </c>
      <c r="AF92" s="16">
        <f>tblBOneExport[[#This Row],[BMK_CONTRIBUTION]]</f>
        <v>0</v>
      </c>
      <c r="AG92" s="16">
        <f>tblCalculation[[#This Row],[BMKContributionBase]]-tblBOneExport[BMK_SPOT_CCY_RETURN]-tblBOneExport[[#This Row],[BMK_CROSS_EFFECT]]</f>
        <v>0</v>
      </c>
      <c r="AH92" s="16">
        <f>tblCalculation[[#This Row],[FIAttributable]]*(tblBOneExport[[#This Row],[BMK_RETURN_GOV_CARRY]])</f>
        <v>0</v>
      </c>
      <c r="AI92" s="16">
        <f>tblCalculation[[#This Row],[FIAttributable]]*tblBOneExport[[#This Row],[BMK_CREDIT_CARRY]]</f>
        <v>0</v>
      </c>
      <c r="AJ92" s="16">
        <f>tblCalculation[[#This Row],[FIAttributable]]*tblBOneExport[[#This Row],[BMK_TOTAL_CURVE]]</f>
        <v>0</v>
      </c>
      <c r="AK92" s="16">
        <f>tblCalculation[[#This Row],[FIAttributable]]*(tblBOneExport[[#This Row],[BMK_TOTAL_SPREAD]]+BMK_Credit_Adj*tblCalculation[[#This Row],[BmkDTSWeight]])</f>
        <v>0</v>
      </c>
      <c r="AL92" s="16">
        <f>tblCalculation[[#This Row],[FIAttributable]]*tblBOneExport[[#This Row],[BMK_MODEL_RESIDUAL]]-BMK_Credit_Adj*tblCalculation[[#This Row],[BmkDTSWeight]]</f>
        <v>0</v>
      </c>
      <c r="AM92" s="16">
        <f>IF(tblCalculation[[#This Row],[Level3]]="Forward Contracts",tblCalculation[[#This Row],[BMKContributionLocal]],0)</f>
        <v>0</v>
      </c>
      <c r="AN92" s="16">
        <f>tblBOneExport[[#This Row],[BMK_SPOT_CCY_RETURN]]+tblBOneExport[[#This Row],[BMK_CROSS_EFFECT]]</f>
        <v>0</v>
      </c>
    </row>
    <row r="93" spans="5:40" x14ac:dyDescent="0.25">
      <c r="E93" s="7" t="str">
        <f>tblBOneExport[[#This Row],[INSTRUMENT_CODE]]</f>
        <v>S00521938</v>
      </c>
      <c r="F93" s="7" t="str">
        <f>tblBOneExport[[#This Row],[INSTRUMENT]]</f>
        <v>GLAXOSMITHKLINE 5.25 10/04/42 EMTN</v>
      </c>
      <c r="G93" s="7" t="str">
        <f>IF(tblBOneExport[[#This Row],[ISIN]]&lt;&gt;"", tblBOneExport[[#This Row],[ISIN]],"")</f>
        <v>XS0294624373</v>
      </c>
      <c r="H93" s="7" t="str">
        <f>IF(tblCalculation[[#This Row],[B1Level2]]="CDS",tblBOneExport[[#This Row],[B1_TICKER]],IF(tblCalculation[[#This Row],[ISIN]]="","",INDEX(tblGetStaticData[Ticker],MATCH(tblCalculation[[#This Row],[ISIN]],tblGetStaticData[ISIN],0))))</f>
        <v>GSK</v>
      </c>
      <c r="I93" s="7" t="str">
        <f>IF(tblBOneExport[[#This Row],[INSTRUMENT_TYPE]]="Forward Contract","Forward Contract",tblBOneExport[LEVEL2])</f>
        <v>Corporates</v>
      </c>
      <c r="J93" s="7" t="str">
        <f>IF(tblBOneExport[[#This Row],[INSTRUMENT_TYPE]]="Forward Contract","Forward Contract",tblBOneExport[[#This Row],[LEVEL3]])</f>
        <v>Industrials</v>
      </c>
      <c r="K93" s="7" t="str">
        <f>INDEX(tblLvl2Mapping[],MATCH(tblCalculation[[#This Row],[B1Level2]]&amp;"_"&amp;tblCalculation[[#This Row],[B1Level3]],tblLvl2Mapping[B1Level2_B1Level3],0),2)</f>
        <v>Corporate</v>
      </c>
      <c r="L93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93" s="7">
        <f>INDEX(tblAttributable[],MATCH(tblCalculation[[#This Row],[Level3]],tblAttributable[Level3],0),2)</f>
        <v>1</v>
      </c>
      <c r="N93" s="16">
        <f>tblBOneExport[[#This Row],[PTF_WEIGHT]]</f>
        <v>2.5563595E-3</v>
      </c>
      <c r="O93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4.7616354589963765E-2</v>
      </c>
      <c r="P93" s="48">
        <f>tblCalculation[[#This Row],[PtfDTS]]/SUM(tblCalculation[PtfDTS])</f>
        <v>5.7745439985555586E-3</v>
      </c>
      <c r="Q93" s="16">
        <f>tblBOneExport[[#This Row],[PTF_CONTRIBUTION]]</f>
        <v>6.7469400000000002E-5</v>
      </c>
      <c r="R93" s="16">
        <f>tblCalculation[[#This Row],[PtfContributionBase]]-tblCalculation[[#This Row],[PtfCurrencyReturn]]</f>
        <v>6.7469400000000002E-5</v>
      </c>
      <c r="S93" s="16">
        <f>IF(tblBOneExport[[#This Row],[LEVEL1]]="Bonds",tblBOneExport[[#This Row],[PTF_GOV_CARRY]],"")</f>
        <v>3.765E-6</v>
      </c>
      <c r="T93" s="16">
        <f>tblCalculation[[#This Row],[FIAttributable]]*tblBOneExport[[#This Row],[PTF_CREDIT_CARRY]]</f>
        <v>1.9205000000000001E-6</v>
      </c>
      <c r="U93" s="16">
        <f>tblCalculation[[#This Row],[FIAttributable]]*tblBOneExport[[#This Row],[PTF_TOTAL_CURVE]]</f>
        <v>6.38776E-5</v>
      </c>
      <c r="V93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-6.9739000000000003E-6</v>
      </c>
      <c r="W93" s="16">
        <f>IF(AND(tblCalculation[[#This Row],[Level3]]="Forward Contracts",tblBOneExport[[#This Row],[PTF_COST_OF_CARRY]]=0),tblBOneExport[[#This Row],[PTF_VALUATION]],0)</f>
        <v>0</v>
      </c>
      <c r="X93" s="16">
        <f>SUM(tblCalculation[[#This Row],[PtfTrading]:[PtfModelRes]])</f>
        <v>4.8802000000000003E-6</v>
      </c>
      <c r="Y93" s="16">
        <f>tblCalculation[[#This Row],[FIAttributable]]*tblBOneExport[[#This Row],[PTF_TRADING]]</f>
        <v>0</v>
      </c>
      <c r="Z93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93" s="16">
        <f>tblCalculation[[#This Row],[FIAttributable]]*tblBOneExport[[#This Row],[PTF_MODEL_RESIDUAL]]-PTF_Credit_Adj*tblCalculation[[#This Row],[PtfDTSWeight]]</f>
        <v>4.8802000000000003E-6</v>
      </c>
      <c r="AB93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93" s="16">
        <f>tblBOneExport[[#This Row],[BMK_WEIGHT]]</f>
        <v>0</v>
      </c>
      <c r="AD93" s="78">
        <f>tblCalculation[[#This Row],[FIAttributable]]*SUMIFS(tblDTS[DTSContribution_BM],tblDTS[ISIN],tblCalculation[[#This Row],[ISIN]])</f>
        <v>0</v>
      </c>
      <c r="AE93" s="16">
        <f>IF(SUM(tblCalculation[BMKDTS])=0,0,tblCalculation[[#This Row],[BMKDTS]]/SUM(tblCalculation[BMKDTS]))</f>
        <v>0</v>
      </c>
      <c r="AF93" s="16">
        <f>tblBOneExport[[#This Row],[BMK_CONTRIBUTION]]</f>
        <v>0</v>
      </c>
      <c r="AG93" s="16">
        <f>tblCalculation[[#This Row],[BMKContributionBase]]-tblBOneExport[BMK_SPOT_CCY_RETURN]-tblBOneExport[[#This Row],[BMK_CROSS_EFFECT]]</f>
        <v>0</v>
      </c>
      <c r="AH93" s="16">
        <f>tblCalculation[[#This Row],[FIAttributable]]*(tblBOneExport[[#This Row],[BMK_RETURN_GOV_CARRY]])</f>
        <v>0</v>
      </c>
      <c r="AI93" s="16">
        <f>tblCalculation[[#This Row],[FIAttributable]]*tblBOneExport[[#This Row],[BMK_CREDIT_CARRY]]</f>
        <v>0</v>
      </c>
      <c r="AJ93" s="16">
        <f>tblCalculation[[#This Row],[FIAttributable]]*tblBOneExport[[#This Row],[BMK_TOTAL_CURVE]]</f>
        <v>0</v>
      </c>
      <c r="AK93" s="16">
        <f>tblCalculation[[#This Row],[FIAttributable]]*(tblBOneExport[[#This Row],[BMK_TOTAL_SPREAD]]+BMK_Credit_Adj*tblCalculation[[#This Row],[BmkDTSWeight]])</f>
        <v>0</v>
      </c>
      <c r="AL93" s="16">
        <f>tblCalculation[[#This Row],[FIAttributable]]*tblBOneExport[[#This Row],[BMK_MODEL_RESIDUAL]]-BMK_Credit_Adj*tblCalculation[[#This Row],[BmkDTSWeight]]</f>
        <v>0</v>
      </c>
      <c r="AM93" s="16">
        <f>IF(tblCalculation[[#This Row],[Level3]]="Forward Contracts",tblCalculation[[#This Row],[BMKContributionLocal]],0)</f>
        <v>0</v>
      </c>
      <c r="AN93" s="16">
        <f>tblBOneExport[[#This Row],[BMK_SPOT_CCY_RETURN]]+tblBOneExport[[#This Row],[BMK_CROSS_EFFECT]]</f>
        <v>0</v>
      </c>
    </row>
    <row r="94" spans="5:40" x14ac:dyDescent="0.25">
      <c r="E94" s="7" t="str">
        <f>tblBOneExport[[#This Row],[INSTRUMENT_CODE]]</f>
        <v>S00524159</v>
      </c>
      <c r="F94" s="7" t="str">
        <f>tblBOneExport[[#This Row],[INSTRUMENT]]</f>
        <v>LINDE FINANCE BV 5.875 24/04/23 EMTN</v>
      </c>
      <c r="G94" s="7" t="str">
        <f>IF(tblBOneExport[[#This Row],[ISIN]]&lt;&gt;"", tblBOneExport[[#This Row],[ISIN]],"")</f>
        <v>XS0297700006</v>
      </c>
      <c r="H94" s="7" t="str">
        <f>IF(tblCalculation[[#This Row],[B1Level2]]="CDS",tblBOneExport[[#This Row],[B1_TICKER]],IF(tblCalculation[[#This Row],[ISIN]]="","",INDEX(tblGetStaticData[Ticker],MATCH(tblCalculation[[#This Row],[ISIN]],tblGetStaticData[ISIN],0))))</f>
        <v>LINGR</v>
      </c>
      <c r="I94" s="7" t="str">
        <f>IF(tblBOneExport[[#This Row],[INSTRUMENT_TYPE]]="Forward Contract","Forward Contract",tblBOneExport[LEVEL2])</f>
        <v>Corporates</v>
      </c>
      <c r="J94" s="7" t="str">
        <f>IF(tblBOneExport[[#This Row],[INSTRUMENT_TYPE]]="Forward Contract","Forward Contract",tblBOneExport[[#This Row],[LEVEL3]])</f>
        <v>Industrials</v>
      </c>
      <c r="K94" s="7" t="str">
        <f>INDEX(tblLvl2Mapping[],MATCH(tblCalculation[[#This Row],[B1Level2]]&amp;"_"&amp;tblCalculation[[#This Row],[B1Level3]],tblLvl2Mapping[B1Level2_B1Level3],0),2)</f>
        <v>Corporate</v>
      </c>
      <c r="L94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94" s="7">
        <f>INDEX(tblAttributable[],MATCH(tblCalculation[[#This Row],[Level3]],tblAttributable[Level3],0),2)</f>
        <v>1</v>
      </c>
      <c r="N94" s="16">
        <f>tblBOneExport[[#This Row],[PTF_WEIGHT]]</f>
        <v>4.9355264000000001E-3</v>
      </c>
      <c r="O94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8.0065613829608372E-3</v>
      </c>
      <c r="P94" s="48">
        <f>tblCalculation[[#This Row],[PtfDTS]]/SUM(tblCalculation[PtfDTS])</f>
        <v>9.7097397272801974E-4</v>
      </c>
      <c r="Q94" s="16">
        <f>tblBOneExport[[#This Row],[PTF_CONTRIBUTION]]</f>
        <v>3.9572400000000001E-5</v>
      </c>
      <c r="R94" s="16">
        <f>tblCalculation[[#This Row],[PtfContributionBase]]-tblCalculation[[#This Row],[PtfCurrencyReturn]]</f>
        <v>3.9572400000000001E-5</v>
      </c>
      <c r="S94" s="16">
        <f>IF(tblBOneExport[[#This Row],[LEVEL1]]="Bonds",tblBOneExport[[#This Row],[PTF_GOV_CARRY]],"")</f>
        <v>2.4484999999999999E-6</v>
      </c>
      <c r="T94" s="16">
        <f>tblCalculation[[#This Row],[FIAttributable]]*tblBOneExport[[#This Row],[PTF_CREDIT_CARRY]]</f>
        <v>2.4835E-6</v>
      </c>
      <c r="U94" s="16">
        <f>tblCalculation[[#This Row],[FIAttributable]]*tblBOneExport[[#This Row],[PTF_TOTAL_CURVE]]</f>
        <v>3.53164E-5</v>
      </c>
      <c r="V94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-2.6278999999999999E-6</v>
      </c>
      <c r="W94" s="16">
        <f>IF(AND(tblCalculation[[#This Row],[Level3]]="Forward Contracts",tblBOneExport[[#This Row],[PTF_COST_OF_CARRY]]=0),tblBOneExport[[#This Row],[PTF_VALUATION]],0)</f>
        <v>0</v>
      </c>
      <c r="X94" s="16">
        <f>SUM(tblCalculation[[#This Row],[PtfTrading]:[PtfModelRes]])</f>
        <v>1.9518999999999999E-6</v>
      </c>
      <c r="Y94" s="16">
        <f>tblCalculation[[#This Row],[FIAttributable]]*tblBOneExport[[#This Row],[PTF_TRADING]]</f>
        <v>0</v>
      </c>
      <c r="Z94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94" s="16">
        <f>tblCalculation[[#This Row],[FIAttributable]]*tblBOneExport[[#This Row],[PTF_MODEL_RESIDUAL]]-PTF_Credit_Adj*tblCalculation[[#This Row],[PtfDTSWeight]]</f>
        <v>1.9518999999999999E-6</v>
      </c>
      <c r="AB94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94" s="16">
        <f>tblBOneExport[[#This Row],[BMK_WEIGHT]]</f>
        <v>0</v>
      </c>
      <c r="AD94" s="78">
        <f>tblCalculation[[#This Row],[FIAttributable]]*SUMIFS(tblDTS[DTSContribution_BM],tblDTS[ISIN],tblCalculation[[#This Row],[ISIN]])</f>
        <v>1.0567651234638101E-2</v>
      </c>
      <c r="AE94" s="16">
        <f>IF(SUM(tblCalculation[BMKDTS])=0,0,tblCalculation[[#This Row],[BMKDTS]]/SUM(tblCalculation[BMKDTS]))</f>
        <v>1.2559683194476191E-3</v>
      </c>
      <c r="AF94" s="16">
        <f>tblBOneExport[[#This Row],[BMK_CONTRIBUTION]]</f>
        <v>0</v>
      </c>
      <c r="AG94" s="16">
        <f>tblCalculation[[#This Row],[BMKContributionBase]]-tblBOneExport[BMK_SPOT_CCY_RETURN]-tblBOneExport[[#This Row],[BMK_CROSS_EFFECT]]</f>
        <v>0</v>
      </c>
      <c r="AH94" s="16">
        <f>tblCalculation[[#This Row],[FIAttributable]]*(tblBOneExport[[#This Row],[BMK_RETURN_GOV_CARRY]])</f>
        <v>0</v>
      </c>
      <c r="AI94" s="16">
        <f>tblCalculation[[#This Row],[FIAttributable]]*tblBOneExport[[#This Row],[BMK_CREDIT_CARRY]]</f>
        <v>0</v>
      </c>
      <c r="AJ94" s="16">
        <f>tblCalculation[[#This Row],[FIAttributable]]*tblBOneExport[[#This Row],[BMK_TOTAL_CURVE]]</f>
        <v>0</v>
      </c>
      <c r="AK94" s="16">
        <f>tblCalculation[[#This Row],[FIAttributable]]*(tblBOneExport[[#This Row],[BMK_TOTAL_SPREAD]]+BMK_Credit_Adj*tblCalculation[[#This Row],[BmkDTSWeight]])</f>
        <v>0</v>
      </c>
      <c r="AL94" s="16">
        <f>tblCalculation[[#This Row],[FIAttributable]]*tblBOneExport[[#This Row],[BMK_MODEL_RESIDUAL]]-BMK_Credit_Adj*tblCalculation[[#This Row],[BmkDTSWeight]]</f>
        <v>0</v>
      </c>
      <c r="AM94" s="16">
        <f>IF(tblCalculation[[#This Row],[Level3]]="Forward Contracts",tblCalculation[[#This Row],[BMKContributionLocal]],0)</f>
        <v>0</v>
      </c>
      <c r="AN94" s="16">
        <f>tblBOneExport[[#This Row],[BMK_SPOT_CCY_RETURN]]+tblBOneExport[[#This Row],[BMK_CROSS_EFFECT]]</f>
        <v>0</v>
      </c>
    </row>
    <row r="95" spans="5:40" x14ac:dyDescent="0.25">
      <c r="E95" s="7" t="str">
        <f>tblBOneExport[[#This Row],[INSTRUMENT_CODE]]</f>
        <v>S00504788</v>
      </c>
      <c r="F95" s="7" t="str">
        <f>tblBOneExport[[#This Row],[INSTRUMENT]]</f>
        <v>ENEL (ENTNZENEL) 6.25 20/06/19 EMTN</v>
      </c>
      <c r="G95" s="7" t="str">
        <f>IF(tblBOneExport[[#This Row],[ISIN]]&lt;&gt;"", tblBOneExport[[#This Row],[ISIN]],"")</f>
        <v>XS0306647016</v>
      </c>
      <c r="H95" s="7" t="str">
        <f>IF(tblCalculation[[#This Row],[B1Level2]]="CDS",tblBOneExport[[#This Row],[B1_TICKER]],IF(tblCalculation[[#This Row],[ISIN]]="","",INDEX(tblGetStaticData[Ticker],MATCH(tblCalculation[[#This Row],[ISIN]],tblGetStaticData[ISIN],0))))</f>
        <v>ENELIM</v>
      </c>
      <c r="I95" s="7" t="str">
        <f>IF(tblBOneExport[[#This Row],[INSTRUMENT_TYPE]]="Forward Contract","Forward Contract",tblBOneExport[LEVEL2])</f>
        <v>Corporates</v>
      </c>
      <c r="J95" s="7" t="str">
        <f>IF(tblBOneExport[[#This Row],[INSTRUMENT_TYPE]]="Forward Contract","Forward Contract",tblBOneExport[[#This Row],[LEVEL3]])</f>
        <v>Utilities</v>
      </c>
      <c r="K95" s="7" t="str">
        <f>INDEX(tblLvl2Mapping[],MATCH(tblCalculation[[#This Row],[B1Level2]]&amp;"_"&amp;tblCalculation[[#This Row],[B1Level3]],tblLvl2Mapping[B1Level2_B1Level3],0),2)</f>
        <v>Corporate</v>
      </c>
      <c r="L95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95" s="7">
        <f>INDEX(tblAttributable[],MATCH(tblCalculation[[#This Row],[Level3]],tblAttributable[Level3],0),2)</f>
        <v>1</v>
      </c>
      <c r="N95" s="16">
        <f>tblBOneExport[[#This Row],[PTF_WEIGHT]]</f>
        <v>1.1489530999999999E-3</v>
      </c>
      <c r="O95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1.2923348175911671E-3</v>
      </c>
      <c r="P95" s="48">
        <f>tblCalculation[[#This Row],[PtfDTS]]/SUM(tblCalculation[PtfDTS])</f>
        <v>1.567243928962674E-4</v>
      </c>
      <c r="Q95" s="16">
        <f>tblBOneExport[[#This Row],[PTF_CONTRIBUTION]]</f>
        <v>2.7839999999999999E-6</v>
      </c>
      <c r="R95" s="16">
        <f>tblCalculation[[#This Row],[PtfContributionBase]]-tblCalculation[[#This Row],[PtfCurrencyReturn]]</f>
        <v>2.7839999999999999E-6</v>
      </c>
      <c r="S95" s="16">
        <f>IF(tblBOneExport[[#This Row],[LEVEL1]]="Bonds",tblBOneExport[[#This Row],[PTF_GOV_CARRY]],"")</f>
        <v>2.0699999999999999E-7</v>
      </c>
      <c r="T95" s="16">
        <f>tblCalculation[[#This Row],[FIAttributable]]*tblBOneExport[[#This Row],[PTF_CREDIT_CARRY]]</f>
        <v>8.4430000000000001E-7</v>
      </c>
      <c r="U95" s="16">
        <f>tblCalculation[[#This Row],[FIAttributable]]*tblBOneExport[[#This Row],[PTF_TOTAL_CURVE]]</f>
        <v>2.1009999999999999E-6</v>
      </c>
      <c r="V95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-2.2390000000000001E-7</v>
      </c>
      <c r="W95" s="16">
        <f>IF(AND(tblCalculation[[#This Row],[Level3]]="Forward Contracts",tblBOneExport[[#This Row],[PTF_COST_OF_CARRY]]=0),tblBOneExport[[#This Row],[PTF_VALUATION]],0)</f>
        <v>0</v>
      </c>
      <c r="X95" s="16">
        <f>SUM(tblCalculation[[#This Row],[PtfTrading]:[PtfModelRes]])</f>
        <v>-1.444E-7</v>
      </c>
      <c r="Y95" s="16">
        <f>tblCalculation[[#This Row],[FIAttributable]]*tblBOneExport[[#This Row],[PTF_TRADING]]</f>
        <v>0</v>
      </c>
      <c r="Z95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95" s="16">
        <f>tblCalculation[[#This Row],[FIAttributable]]*tblBOneExport[[#This Row],[PTF_MODEL_RESIDUAL]]-PTF_Credit_Adj*tblCalculation[[#This Row],[PtfDTSWeight]]</f>
        <v>-1.444E-7</v>
      </c>
      <c r="AB95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95" s="16">
        <f>tblBOneExport[[#This Row],[BMK_WEIGHT]]</f>
        <v>0</v>
      </c>
      <c r="AD95" s="78">
        <f>tblCalculation[[#This Row],[FIAttributable]]*SUMIFS(tblDTS[DTSContribution_BM],tblDTS[ISIN],tblCalculation[[#This Row],[ISIN]])</f>
        <v>1.7053266524705373E-3</v>
      </c>
      <c r="AE95" s="16">
        <f>IF(SUM(tblCalculation[BMKDTS])=0,0,tblCalculation[[#This Row],[BMKDTS]]/SUM(tblCalculation[BMKDTS]))</f>
        <v>2.0267855195601594E-4</v>
      </c>
      <c r="AF95" s="16">
        <f>tblBOneExport[[#This Row],[BMK_CONTRIBUTION]]</f>
        <v>0</v>
      </c>
      <c r="AG95" s="16">
        <f>tblCalculation[[#This Row],[BMKContributionBase]]-tblBOneExport[BMK_SPOT_CCY_RETURN]-tblBOneExport[[#This Row],[BMK_CROSS_EFFECT]]</f>
        <v>0</v>
      </c>
      <c r="AH95" s="16">
        <f>tblCalculation[[#This Row],[FIAttributable]]*(tblBOneExport[[#This Row],[BMK_RETURN_GOV_CARRY]])</f>
        <v>0</v>
      </c>
      <c r="AI95" s="16">
        <f>tblCalculation[[#This Row],[FIAttributable]]*tblBOneExport[[#This Row],[BMK_CREDIT_CARRY]]</f>
        <v>0</v>
      </c>
      <c r="AJ95" s="16">
        <f>tblCalculation[[#This Row],[FIAttributable]]*tblBOneExport[[#This Row],[BMK_TOTAL_CURVE]]</f>
        <v>0</v>
      </c>
      <c r="AK95" s="16">
        <f>tblCalculation[[#This Row],[FIAttributable]]*(tblBOneExport[[#This Row],[BMK_TOTAL_SPREAD]]+BMK_Credit_Adj*tblCalculation[[#This Row],[BmkDTSWeight]])</f>
        <v>0</v>
      </c>
      <c r="AL95" s="16">
        <f>tblCalculation[[#This Row],[FIAttributable]]*tblBOneExport[[#This Row],[BMK_MODEL_RESIDUAL]]-BMK_Credit_Adj*tblCalculation[[#This Row],[BmkDTSWeight]]</f>
        <v>0</v>
      </c>
      <c r="AM95" s="16">
        <f>IF(tblCalculation[[#This Row],[Level3]]="Forward Contracts",tblCalculation[[#This Row],[BMKContributionLocal]],0)</f>
        <v>0</v>
      </c>
      <c r="AN95" s="16">
        <f>tblBOneExport[[#This Row],[BMK_SPOT_CCY_RETURN]]+tblBOneExport[[#This Row],[BMK_CROSS_EFFECT]]</f>
        <v>0</v>
      </c>
    </row>
    <row r="96" spans="5:40" x14ac:dyDescent="0.25">
      <c r="E96" s="7" t="str">
        <f>tblBOneExport[[#This Row],[INSTRUMENT_CODE]]</f>
        <v>S00518648</v>
      </c>
      <c r="F96" s="7" t="str">
        <f>tblBOneExport[[#This Row],[INSTRUMENT]]</f>
        <v>E.ON INTL FIN BV 6 30/10/19 EMTN</v>
      </c>
      <c r="G96" s="7" t="str">
        <f>IF(tblBOneExport[[#This Row],[ISIN]]&lt;&gt;"", tblBOneExport[[#This Row],[ISIN]],"")</f>
        <v>XS0327443460</v>
      </c>
      <c r="H96" s="7" t="str">
        <f>IF(tblCalculation[[#This Row],[B1Level2]]="CDS",tblBOneExport[[#This Row],[B1_TICKER]],IF(tblCalculation[[#This Row],[ISIN]]="","",INDEX(tblGetStaticData[Ticker],MATCH(tblCalculation[[#This Row],[ISIN]],tblGetStaticData[ISIN],0))))</f>
        <v>EOANGR</v>
      </c>
      <c r="I96" s="7" t="str">
        <f>IF(tblBOneExport[[#This Row],[INSTRUMENT_TYPE]]="Forward Contract","Forward Contract",tblBOneExport[LEVEL2])</f>
        <v>Corporates</v>
      </c>
      <c r="J96" s="7" t="str">
        <f>IF(tblBOneExport[[#This Row],[INSTRUMENT_TYPE]]="Forward Contract","Forward Contract",tblBOneExport[[#This Row],[LEVEL3]])</f>
        <v>Utilities</v>
      </c>
      <c r="K96" s="7" t="str">
        <f>INDEX(tblLvl2Mapping[],MATCH(tblCalculation[[#This Row],[B1Level2]]&amp;"_"&amp;tblCalculation[[#This Row],[B1Level3]],tblLvl2Mapping[B1Level2_B1Level3],0),2)</f>
        <v>Corporate</v>
      </c>
      <c r="L96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96" s="7">
        <f>INDEX(tblAttributable[],MATCH(tblCalculation[[#This Row],[Level3]],tblAttributable[Level3],0),2)</f>
        <v>1</v>
      </c>
      <c r="N96" s="16">
        <f>tblBOneExport[[#This Row],[PTF_WEIGHT]]</f>
        <v>1.3385151E-3</v>
      </c>
      <c r="O96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1.3957555294292052E-3</v>
      </c>
      <c r="P96" s="48">
        <f>tblCalculation[[#This Row],[PtfDTS]]/SUM(tblCalculation[PtfDTS])</f>
        <v>1.6926645866365735E-4</v>
      </c>
      <c r="Q96" s="16">
        <f>tblBOneExport[[#This Row],[PTF_CONTRIBUTION]]</f>
        <v>3.6534999999999998E-6</v>
      </c>
      <c r="R96" s="16">
        <f>tblCalculation[[#This Row],[PtfContributionBase]]-tblCalculation[[#This Row],[PtfCurrencyReturn]]</f>
        <v>3.6534999999999998E-6</v>
      </c>
      <c r="S96" s="16">
        <f>IF(tblBOneExport[[#This Row],[LEVEL1]]="Bonds",tblBOneExport[[#This Row],[PTF_GOV_CARRY]],"")</f>
        <v>2.495E-7</v>
      </c>
      <c r="T96" s="16">
        <f>tblCalculation[[#This Row],[FIAttributable]]*tblBOneExport[[#This Row],[PTF_CREDIT_CARRY]]</f>
        <v>8.3969999999999998E-7</v>
      </c>
      <c r="U96" s="16">
        <f>tblCalculation[[#This Row],[FIAttributable]]*tblBOneExport[[#This Row],[PTF_TOTAL_CURVE]]</f>
        <v>2.7825999999999998E-6</v>
      </c>
      <c r="V96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1.948E-7</v>
      </c>
      <c r="W96" s="16">
        <f>IF(AND(tblCalculation[[#This Row],[Level3]]="Forward Contracts",tblBOneExport[[#This Row],[PTF_COST_OF_CARRY]]=0),tblBOneExport[[#This Row],[PTF_VALUATION]],0)</f>
        <v>0</v>
      </c>
      <c r="X96" s="16">
        <f>SUM(tblCalculation[[#This Row],[PtfTrading]:[PtfModelRes]])</f>
        <v>-4.1310000000000001E-7</v>
      </c>
      <c r="Y96" s="16">
        <f>tblCalculation[[#This Row],[FIAttributable]]*tblBOneExport[[#This Row],[PTF_TRADING]]</f>
        <v>0</v>
      </c>
      <c r="Z96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96" s="16">
        <f>tblCalculation[[#This Row],[FIAttributable]]*tblBOneExport[[#This Row],[PTF_MODEL_RESIDUAL]]-PTF_Credit_Adj*tblCalculation[[#This Row],[PtfDTSWeight]]</f>
        <v>-4.1310000000000001E-7</v>
      </c>
      <c r="AB96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96" s="16">
        <f>tblBOneExport[[#This Row],[BMK_WEIGHT]]</f>
        <v>0</v>
      </c>
      <c r="AD96" s="78">
        <f>tblCalculation[[#This Row],[FIAttributable]]*SUMIFS(tblDTS[DTSContribution_BM],tblDTS[ISIN],tblCalculation[[#This Row],[ISIN]])</f>
        <v>1.8421071603199213E-3</v>
      </c>
      <c r="AE96" s="16">
        <f>IF(SUM(tblCalculation[BMKDTS])=0,0,tblCalculation[[#This Row],[BMKDTS]]/SUM(tblCalculation[BMKDTS]))</f>
        <v>2.1893495375830972E-4</v>
      </c>
      <c r="AF96" s="16">
        <f>tblBOneExport[[#This Row],[BMK_CONTRIBUTION]]</f>
        <v>0</v>
      </c>
      <c r="AG96" s="16">
        <f>tblCalculation[[#This Row],[BMKContributionBase]]-tblBOneExport[BMK_SPOT_CCY_RETURN]-tblBOneExport[[#This Row],[BMK_CROSS_EFFECT]]</f>
        <v>0</v>
      </c>
      <c r="AH96" s="16">
        <f>tblCalculation[[#This Row],[FIAttributable]]*(tblBOneExport[[#This Row],[BMK_RETURN_GOV_CARRY]])</f>
        <v>0</v>
      </c>
      <c r="AI96" s="16">
        <f>tblCalculation[[#This Row],[FIAttributable]]*tblBOneExport[[#This Row],[BMK_CREDIT_CARRY]]</f>
        <v>0</v>
      </c>
      <c r="AJ96" s="16">
        <f>tblCalculation[[#This Row],[FIAttributable]]*tblBOneExport[[#This Row],[BMK_TOTAL_CURVE]]</f>
        <v>0</v>
      </c>
      <c r="AK96" s="16">
        <f>tblCalculation[[#This Row],[FIAttributable]]*(tblBOneExport[[#This Row],[BMK_TOTAL_SPREAD]]+BMK_Credit_Adj*tblCalculation[[#This Row],[BmkDTSWeight]])</f>
        <v>0</v>
      </c>
      <c r="AL96" s="16">
        <f>tblCalculation[[#This Row],[FIAttributable]]*tblBOneExport[[#This Row],[BMK_MODEL_RESIDUAL]]-BMK_Credit_Adj*tblCalculation[[#This Row],[BmkDTSWeight]]</f>
        <v>0</v>
      </c>
      <c r="AM96" s="16">
        <f>IF(tblCalculation[[#This Row],[Level3]]="Forward Contracts",tblCalculation[[#This Row],[BMKContributionLocal]],0)</f>
        <v>0</v>
      </c>
      <c r="AN96" s="16">
        <f>tblBOneExport[[#This Row],[BMK_SPOT_CCY_RETURN]]+tblBOneExport[[#This Row],[BMK_CROSS_EFFECT]]</f>
        <v>0</v>
      </c>
    </row>
    <row r="97" spans="5:40" x14ac:dyDescent="0.25">
      <c r="E97" s="7" t="str">
        <f>tblBOneExport[[#This Row],[INSTRUMENT_CODE]]</f>
        <v>S00557061</v>
      </c>
      <c r="F97" s="7" t="str">
        <f>tblBOneExport[[#This Row],[INSTRUMENT]]</f>
        <v>JOHNSON&amp;JOHNSON 5.5 06/11/24</v>
      </c>
      <c r="G97" s="7" t="str">
        <f>IF(tblBOneExport[[#This Row],[ISIN]]&lt;&gt;"", tblBOneExport[[#This Row],[ISIN]],"")</f>
        <v>XS0329524457</v>
      </c>
      <c r="H97" s="7" t="str">
        <f>IF(tblCalculation[[#This Row],[B1Level2]]="CDS",tblBOneExport[[#This Row],[B1_TICKER]],IF(tblCalculation[[#This Row],[ISIN]]="","",INDEX(tblGetStaticData[Ticker],MATCH(tblCalculation[[#This Row],[ISIN]],tblGetStaticData[ISIN],0))))</f>
        <v>JNJ</v>
      </c>
      <c r="I97" s="7" t="str">
        <f>IF(tblBOneExport[[#This Row],[INSTRUMENT_TYPE]]="Forward Contract","Forward Contract",tblBOneExport[LEVEL2])</f>
        <v>Corporates</v>
      </c>
      <c r="J97" s="7" t="str">
        <f>IF(tblBOneExport[[#This Row],[INSTRUMENT_TYPE]]="Forward Contract","Forward Contract",tblBOneExport[[#This Row],[LEVEL3]])</f>
        <v>Industrials</v>
      </c>
      <c r="K97" s="7" t="str">
        <f>INDEX(tblLvl2Mapping[],MATCH(tblCalculation[[#This Row],[B1Level2]]&amp;"_"&amp;tblCalculation[[#This Row],[B1Level3]],tblLvl2Mapping[B1Level2_B1Level3],0),2)</f>
        <v>Corporate</v>
      </c>
      <c r="L97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97" s="7">
        <f>INDEX(tblAttributable[],MATCH(tblCalculation[[#This Row],[Level3]],tblAttributable[Level3],0),2)</f>
        <v>1</v>
      </c>
      <c r="N97" s="16">
        <f>tblBOneExport[[#This Row],[PTF_WEIGHT]]</f>
        <v>1.4500970300000001E-2</v>
      </c>
      <c r="O97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2.7005642514345386E-2</v>
      </c>
      <c r="P97" s="48">
        <f>tblCalculation[[#This Row],[PtfDTS]]/SUM(tblCalculation[PtfDTS])</f>
        <v>3.2750359041811027E-3</v>
      </c>
      <c r="Q97" s="16">
        <f>tblBOneExport[[#This Row],[PTF_CONTRIBUTION]]</f>
        <v>1.5466739999999999E-4</v>
      </c>
      <c r="R97" s="16">
        <f>tblCalculation[[#This Row],[PtfContributionBase]]-tblCalculation[[#This Row],[PtfCurrencyReturn]]</f>
        <v>1.5466739999999999E-4</v>
      </c>
      <c r="S97" s="16">
        <f>IF(tblBOneExport[[#This Row],[LEVEL1]]="Bonds",tblBOneExport[[#This Row],[PTF_GOV_CARRY]],"")</f>
        <v>9.4846000000000006E-6</v>
      </c>
      <c r="T97" s="16">
        <f>tblCalculation[[#This Row],[FIAttributable]]*tblBOneExport[[#This Row],[PTF_CREDIT_CARRY]]</f>
        <v>6.207E-6</v>
      </c>
      <c r="U97" s="16">
        <f>tblCalculation[[#This Row],[FIAttributable]]*tblBOneExport[[#This Row],[PTF_TOTAL_CURVE]]</f>
        <v>1.6120030000000001E-4</v>
      </c>
      <c r="V97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-2.0462000000000002E-5</v>
      </c>
      <c r="W97" s="16">
        <f>IF(AND(tblCalculation[[#This Row],[Level3]]="Forward Contracts",tblBOneExport[[#This Row],[PTF_COST_OF_CARRY]]=0),tblBOneExport[[#This Row],[PTF_VALUATION]],0)</f>
        <v>0</v>
      </c>
      <c r="X97" s="16">
        <f>SUM(tblCalculation[[#This Row],[PtfTrading]:[PtfModelRes]])</f>
        <v>-1.7624000000000001E-6</v>
      </c>
      <c r="Y97" s="16">
        <f>tblCalculation[[#This Row],[FIAttributable]]*tblBOneExport[[#This Row],[PTF_TRADING]]</f>
        <v>0</v>
      </c>
      <c r="Z97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97" s="16">
        <f>tblCalculation[[#This Row],[FIAttributable]]*tblBOneExport[[#This Row],[PTF_MODEL_RESIDUAL]]-PTF_Credit_Adj*tblCalculation[[#This Row],[PtfDTSWeight]]</f>
        <v>-1.7624000000000001E-6</v>
      </c>
      <c r="AB97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97" s="16">
        <f>tblBOneExport[[#This Row],[BMK_WEIGHT]]</f>
        <v>0</v>
      </c>
      <c r="AD97" s="78">
        <f>tblCalculation[[#This Row],[FIAttributable]]*SUMIFS(tblDTS[DTSContribution_BM],tblDTS[ISIN],tblCalculation[[#This Row],[ISIN]])</f>
        <v>2.3508810523883091E-2</v>
      </c>
      <c r="AE97" s="16">
        <f>IF(SUM(tblCalculation[BMKDTS])=0,0,tblCalculation[[#This Row],[BMKDTS]]/SUM(tblCalculation[BMKDTS]))</f>
        <v>2.7940287382984493E-3</v>
      </c>
      <c r="AF97" s="16">
        <f>tblBOneExport[[#This Row],[BMK_CONTRIBUTION]]</f>
        <v>0</v>
      </c>
      <c r="AG97" s="16">
        <f>tblCalculation[[#This Row],[BMKContributionBase]]-tblBOneExport[BMK_SPOT_CCY_RETURN]-tblBOneExport[[#This Row],[BMK_CROSS_EFFECT]]</f>
        <v>0</v>
      </c>
      <c r="AH97" s="16">
        <f>tblCalculation[[#This Row],[FIAttributable]]*(tblBOneExport[[#This Row],[BMK_RETURN_GOV_CARRY]])</f>
        <v>0</v>
      </c>
      <c r="AI97" s="16">
        <f>tblCalculation[[#This Row],[FIAttributable]]*tblBOneExport[[#This Row],[BMK_CREDIT_CARRY]]</f>
        <v>0</v>
      </c>
      <c r="AJ97" s="16">
        <f>tblCalculation[[#This Row],[FIAttributable]]*tblBOneExport[[#This Row],[BMK_TOTAL_CURVE]]</f>
        <v>0</v>
      </c>
      <c r="AK97" s="16">
        <f>tblCalculation[[#This Row],[FIAttributable]]*(tblBOneExport[[#This Row],[BMK_TOTAL_SPREAD]]+BMK_Credit_Adj*tblCalculation[[#This Row],[BmkDTSWeight]])</f>
        <v>0</v>
      </c>
      <c r="AL97" s="16">
        <f>tblCalculation[[#This Row],[FIAttributable]]*tblBOneExport[[#This Row],[BMK_MODEL_RESIDUAL]]-BMK_Credit_Adj*tblCalculation[[#This Row],[BmkDTSWeight]]</f>
        <v>0</v>
      </c>
      <c r="AM97" s="16">
        <f>IF(tblCalculation[[#This Row],[Level3]]="Forward Contracts",tblCalculation[[#This Row],[BMKContributionLocal]],0)</f>
        <v>0</v>
      </c>
      <c r="AN97" s="16">
        <f>tblBOneExport[[#This Row],[BMK_SPOT_CCY_RETURN]]+tblBOneExport[[#This Row],[BMK_CROSS_EFFECT]]</f>
        <v>0</v>
      </c>
    </row>
    <row r="98" spans="5:40" x14ac:dyDescent="0.25">
      <c r="E98" s="7" t="str">
        <f>tblBOneExport[[#This Row],[INSTRUMENT_CODE]]</f>
        <v>S00586717</v>
      </c>
      <c r="F98" s="7" t="str">
        <f>tblBOneExport[[#This Row],[INSTRUMENT]]</f>
        <v>GLAXOSMITHKLINE 6.375 09/03/39 EMTN</v>
      </c>
      <c r="G98" s="7" t="str">
        <f>IF(tblBOneExport[[#This Row],[ISIN]]&lt;&gt;"", tblBOneExport[[#This Row],[ISIN]],"")</f>
        <v>XS0350820931</v>
      </c>
      <c r="H98" s="7" t="str">
        <f>IF(tblCalculation[[#This Row],[B1Level2]]="CDS",tblBOneExport[[#This Row],[B1_TICKER]],IF(tblCalculation[[#This Row],[ISIN]]="","",INDEX(tblGetStaticData[Ticker],MATCH(tblCalculation[[#This Row],[ISIN]],tblGetStaticData[ISIN],0))))</f>
        <v>GSK</v>
      </c>
      <c r="I98" s="7" t="str">
        <f>IF(tblBOneExport[[#This Row],[INSTRUMENT_TYPE]]="Forward Contract","Forward Contract",tblBOneExport[LEVEL2])</f>
        <v>Corporates</v>
      </c>
      <c r="J98" s="7" t="str">
        <f>IF(tblBOneExport[[#This Row],[INSTRUMENT_TYPE]]="Forward Contract","Forward Contract",tblBOneExport[[#This Row],[LEVEL3]])</f>
        <v>Industrials</v>
      </c>
      <c r="K98" s="7" t="str">
        <f>INDEX(tblLvl2Mapping[],MATCH(tblCalculation[[#This Row],[B1Level2]]&amp;"_"&amp;tblCalculation[[#This Row],[B1Level3]],tblLvl2Mapping[B1Level2_B1Level3],0),2)</f>
        <v>Corporate</v>
      </c>
      <c r="L98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98" s="7">
        <f>INDEX(tblAttributable[],MATCH(tblCalculation[[#This Row],[Level3]],tblAttributable[Level3],0),2)</f>
        <v>1</v>
      </c>
      <c r="N98" s="16">
        <f>tblBOneExport[[#This Row],[PTF_WEIGHT]]</f>
        <v>1.9047593999999999E-3</v>
      </c>
      <c r="O98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3.1024881732503264E-2</v>
      </c>
      <c r="P98" s="48">
        <f>tblCalculation[[#This Row],[PtfDTS]]/SUM(tblCalculation[PtfDTS])</f>
        <v>3.7624582174983134E-3</v>
      </c>
      <c r="Q98" s="16">
        <f>tblBOneExport[[#This Row],[PTF_CONTRIBUTION]]</f>
        <v>4.8347999999999999E-5</v>
      </c>
      <c r="R98" s="16">
        <f>tblCalculation[[#This Row],[PtfContributionBase]]-tblCalculation[[#This Row],[PtfCurrencyReturn]]</f>
        <v>4.8347999999999999E-5</v>
      </c>
      <c r="S98" s="16">
        <f>IF(tblBOneExport[[#This Row],[LEVEL1]]="Bonds",tblBOneExport[[#This Row],[PTF_GOV_CARRY]],"")</f>
        <v>2.6954999999999999E-6</v>
      </c>
      <c r="T98" s="16">
        <f>tblCalculation[[#This Row],[FIAttributable]]*tblBOneExport[[#This Row],[PTF_CREDIT_CARRY]]</f>
        <v>1.4983999999999999E-6</v>
      </c>
      <c r="U98" s="16">
        <f>tblCalculation[[#This Row],[FIAttributable]]*tblBOneExport[[#This Row],[PTF_TOTAL_CURVE]]</f>
        <v>2.71241E-5</v>
      </c>
      <c r="V98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1.6097099999999999E-5</v>
      </c>
      <c r="W98" s="16">
        <f>IF(AND(tblCalculation[[#This Row],[Level3]]="Forward Contracts",tblBOneExport[[#This Row],[PTF_COST_OF_CARRY]]=0),tblBOneExport[[#This Row],[PTF_VALUATION]],0)</f>
        <v>0</v>
      </c>
      <c r="X98" s="16">
        <f>SUM(tblCalculation[[#This Row],[PtfTrading]:[PtfModelRes]])</f>
        <v>9.329E-7</v>
      </c>
      <c r="Y98" s="16">
        <f>tblCalculation[[#This Row],[FIAttributable]]*tblBOneExport[[#This Row],[PTF_TRADING]]</f>
        <v>0</v>
      </c>
      <c r="Z98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98" s="16">
        <f>tblCalculation[[#This Row],[FIAttributable]]*tblBOneExport[[#This Row],[PTF_MODEL_RESIDUAL]]-PTF_Credit_Adj*tblCalculation[[#This Row],[PtfDTSWeight]]</f>
        <v>9.329E-7</v>
      </c>
      <c r="AB98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98" s="16">
        <f>tblBOneExport[[#This Row],[BMK_WEIGHT]]</f>
        <v>0</v>
      </c>
      <c r="AD98" s="78">
        <f>tblCalculation[[#This Row],[FIAttributable]]*SUMIFS(tblDTS[DTSContribution_BM],tblDTS[ISIN],tblCalculation[[#This Row],[ISIN]])</f>
        <v>4.0946233853149543E-2</v>
      </c>
      <c r="AE98" s="16">
        <f>IF(SUM(tblCalculation[BMKDTS])=0,0,tblCalculation[[#This Row],[BMKDTS]]/SUM(tblCalculation[BMKDTS]))</f>
        <v>4.8664714020542335E-3</v>
      </c>
      <c r="AF98" s="16">
        <f>tblBOneExport[[#This Row],[BMK_CONTRIBUTION]]</f>
        <v>0</v>
      </c>
      <c r="AG98" s="16">
        <f>tblCalculation[[#This Row],[BMKContributionBase]]-tblBOneExport[BMK_SPOT_CCY_RETURN]-tblBOneExport[[#This Row],[BMK_CROSS_EFFECT]]</f>
        <v>0</v>
      </c>
      <c r="AH98" s="16">
        <f>tblCalculation[[#This Row],[FIAttributable]]*(tblBOneExport[[#This Row],[BMK_RETURN_GOV_CARRY]])</f>
        <v>0</v>
      </c>
      <c r="AI98" s="16">
        <f>tblCalculation[[#This Row],[FIAttributable]]*tblBOneExport[[#This Row],[BMK_CREDIT_CARRY]]</f>
        <v>0</v>
      </c>
      <c r="AJ98" s="16">
        <f>tblCalculation[[#This Row],[FIAttributable]]*tblBOneExport[[#This Row],[BMK_TOTAL_CURVE]]</f>
        <v>0</v>
      </c>
      <c r="AK98" s="16">
        <f>tblCalculation[[#This Row],[FIAttributable]]*(tblBOneExport[[#This Row],[BMK_TOTAL_SPREAD]]+BMK_Credit_Adj*tblCalculation[[#This Row],[BmkDTSWeight]])</f>
        <v>0</v>
      </c>
      <c r="AL98" s="16">
        <f>tblCalculation[[#This Row],[FIAttributable]]*tblBOneExport[[#This Row],[BMK_MODEL_RESIDUAL]]-BMK_Credit_Adj*tblCalculation[[#This Row],[BmkDTSWeight]]</f>
        <v>0</v>
      </c>
      <c r="AM98" s="16">
        <f>IF(tblCalculation[[#This Row],[Level3]]="Forward Contracts",tblCalculation[[#This Row],[BMKContributionLocal]],0)</f>
        <v>0</v>
      </c>
      <c r="AN98" s="16">
        <f>tblBOneExport[[#This Row],[BMK_SPOT_CCY_RETURN]]+tblBOneExport[[#This Row],[BMK_CROSS_EFFECT]]</f>
        <v>0</v>
      </c>
    </row>
    <row r="99" spans="5:40" x14ac:dyDescent="0.25">
      <c r="E99" s="7" t="str">
        <f>tblBOneExport[[#This Row],[INSTRUMENT_CODE]]</f>
        <v>S00611395</v>
      </c>
      <c r="F99" s="7" t="str">
        <f>tblBOneExport[[#This Row],[INSTRUMENT]]</f>
        <v>SOUTHERN GAS NET 6.375 15/05/40 EMTN</v>
      </c>
      <c r="G99" s="7" t="str">
        <f>IF(tblBOneExport[[#This Row],[ISIN]]&lt;&gt;"", tblBOneExport[[#This Row],[ISIN]],"")</f>
        <v>XS0362679176</v>
      </c>
      <c r="H99" s="7" t="str">
        <f>IF(tblCalculation[[#This Row],[B1Level2]]="CDS",tblBOneExport[[#This Row],[B1_TICKER]],IF(tblCalculation[[#This Row],[ISIN]]="","",INDEX(tblGetStaticData[Ticker],MATCH(tblCalculation[[#This Row],[ISIN]],tblGetStaticData[ISIN],0))))</f>
        <v>SGN</v>
      </c>
      <c r="I99" s="7" t="str">
        <f>IF(tblBOneExport[[#This Row],[INSTRUMENT_TYPE]]="Forward Contract","Forward Contract",tblBOneExport[LEVEL2])</f>
        <v>Corporates</v>
      </c>
      <c r="J99" s="7" t="str">
        <f>IF(tblBOneExport[[#This Row],[INSTRUMENT_TYPE]]="Forward Contract","Forward Contract",tblBOneExport[[#This Row],[LEVEL3]])</f>
        <v>Utilities</v>
      </c>
      <c r="K99" s="7" t="str">
        <f>INDEX(tblLvl2Mapping[],MATCH(tblCalculation[[#This Row],[B1Level2]]&amp;"_"&amp;tblCalculation[[#This Row],[B1Level3]],tblLvl2Mapping[B1Level2_B1Level3],0),2)</f>
        <v>Corporate</v>
      </c>
      <c r="L99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99" s="7">
        <f>INDEX(tblAttributable[],MATCH(tblCalculation[[#This Row],[Level3]],tblAttributable[Level3],0),2)</f>
        <v>1</v>
      </c>
      <c r="N99" s="16">
        <f>tblBOneExport[[#This Row],[PTF_WEIGHT]]</f>
        <v>5.1120905999999999E-3</v>
      </c>
      <c r="O99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9.4605030206992305E-2</v>
      </c>
      <c r="P99" s="48">
        <f>tblCalculation[[#This Row],[PtfDTS]]/SUM(tblCalculation[PtfDTS])</f>
        <v>1.1472967935476945E-2</v>
      </c>
      <c r="Q99" s="16">
        <f>tblBOneExport[[#This Row],[PTF_CONTRIBUTION]]</f>
        <v>1.316175E-4</v>
      </c>
      <c r="R99" s="16">
        <f>tblCalculation[[#This Row],[PtfContributionBase]]-tblCalculation[[#This Row],[PtfCurrencyReturn]]</f>
        <v>1.316175E-4</v>
      </c>
      <c r="S99" s="16">
        <f>IF(tblBOneExport[[#This Row],[LEVEL1]]="Bonds",tblBOneExport[[#This Row],[PTF_GOV_CARRY]],"")</f>
        <v>7.3393000000000002E-6</v>
      </c>
      <c r="T99" s="16">
        <f>tblCalculation[[#This Row],[FIAttributable]]*tblBOneExport[[#This Row],[PTF_CREDIT_CARRY]]</f>
        <v>4.4263999999999997E-6</v>
      </c>
      <c r="U99" s="16">
        <f>tblCalculation[[#This Row],[FIAttributable]]*tblBOneExport[[#This Row],[PTF_TOTAL_CURVE]]</f>
        <v>9.1074699999999997E-5</v>
      </c>
      <c r="V99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2.7584900000000001E-5</v>
      </c>
      <c r="W99" s="16">
        <f>IF(AND(tblCalculation[[#This Row],[Level3]]="Forward Contracts",tblBOneExport[[#This Row],[PTF_COST_OF_CARRY]]=0),tblBOneExport[[#This Row],[PTF_VALUATION]],0)</f>
        <v>0</v>
      </c>
      <c r="X99" s="16">
        <f>SUM(tblCalculation[[#This Row],[PtfTrading]:[PtfModelRes]])</f>
        <v>1.1921E-6</v>
      </c>
      <c r="Y99" s="16">
        <f>tblCalculation[[#This Row],[FIAttributable]]*tblBOneExport[[#This Row],[PTF_TRADING]]</f>
        <v>0</v>
      </c>
      <c r="Z99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99" s="16">
        <f>tblCalculation[[#This Row],[FIAttributable]]*tblBOneExport[[#This Row],[PTF_MODEL_RESIDUAL]]-PTF_Credit_Adj*tblCalculation[[#This Row],[PtfDTSWeight]]</f>
        <v>1.1921E-6</v>
      </c>
      <c r="AB99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99" s="16">
        <f>tblBOneExport[[#This Row],[BMK_WEIGHT]]</f>
        <v>0</v>
      </c>
      <c r="AD99" s="78">
        <f>tblCalculation[[#This Row],[FIAttributable]]*SUMIFS(tblDTS[DTSContribution_BM],tblDTS[ISIN],tblCalculation[[#This Row],[ISIN]])</f>
        <v>0.12486723859605788</v>
      </c>
      <c r="AE99" s="16">
        <f>IF(SUM(tblCalculation[BMKDTS])=0,0,tblCalculation[[#This Row],[BMKDTS]]/SUM(tblCalculation[BMKDTS]))</f>
        <v>1.4840506403117158E-2</v>
      </c>
      <c r="AF99" s="16">
        <f>tblBOneExport[[#This Row],[BMK_CONTRIBUTION]]</f>
        <v>0</v>
      </c>
      <c r="AG99" s="16">
        <f>tblCalculation[[#This Row],[BMKContributionBase]]-tblBOneExport[BMK_SPOT_CCY_RETURN]-tblBOneExport[[#This Row],[BMK_CROSS_EFFECT]]</f>
        <v>0</v>
      </c>
      <c r="AH99" s="16">
        <f>tblCalculation[[#This Row],[FIAttributable]]*(tblBOneExport[[#This Row],[BMK_RETURN_GOV_CARRY]])</f>
        <v>0</v>
      </c>
      <c r="AI99" s="16">
        <f>tblCalculation[[#This Row],[FIAttributable]]*tblBOneExport[[#This Row],[BMK_CREDIT_CARRY]]</f>
        <v>0</v>
      </c>
      <c r="AJ99" s="16">
        <f>tblCalculation[[#This Row],[FIAttributable]]*tblBOneExport[[#This Row],[BMK_TOTAL_CURVE]]</f>
        <v>0</v>
      </c>
      <c r="AK99" s="16">
        <f>tblCalculation[[#This Row],[FIAttributable]]*(tblBOneExport[[#This Row],[BMK_TOTAL_SPREAD]]+BMK_Credit_Adj*tblCalculation[[#This Row],[BmkDTSWeight]])</f>
        <v>0</v>
      </c>
      <c r="AL99" s="16">
        <f>tblCalculation[[#This Row],[FIAttributable]]*tblBOneExport[[#This Row],[BMK_MODEL_RESIDUAL]]-BMK_Credit_Adj*tblCalculation[[#This Row],[BmkDTSWeight]]</f>
        <v>0</v>
      </c>
      <c r="AM99" s="16">
        <f>IF(tblCalculation[[#This Row],[Level3]]="Forward Contracts",tblCalculation[[#This Row],[BMKContributionLocal]],0)</f>
        <v>0</v>
      </c>
      <c r="AN99" s="16">
        <f>tblBOneExport[[#This Row],[BMK_SPOT_CCY_RETURN]]+tblBOneExport[[#This Row],[BMK_CROSS_EFFECT]]</f>
        <v>0</v>
      </c>
    </row>
    <row r="100" spans="5:40" x14ac:dyDescent="0.25">
      <c r="E100" s="7" t="str">
        <f>tblBOneExport[[#This Row],[INSTRUMENT_CODE]]</f>
        <v>S00649953</v>
      </c>
      <c r="F100" s="7" t="str">
        <f>tblBOneExport[[#This Row],[INSTRUMENT]]</f>
        <v>BAA FUNDING LTD 6.45 10/12/31 REGS</v>
      </c>
      <c r="G100" s="7" t="str">
        <f>IF(tblBOneExport[[#This Row],[ISIN]]&lt;&gt;"", tblBOneExport[[#This Row],[ISIN]],"")</f>
        <v>XS0383001053</v>
      </c>
      <c r="H100" s="7" t="str">
        <f>IF(tblCalculation[[#This Row],[B1Level2]]="CDS",tblBOneExport[[#This Row],[B1_TICKER]],IF(tblCalculation[[#This Row],[ISIN]]="","",INDEX(tblGetStaticData[Ticker],MATCH(tblCalculation[[#This Row],[ISIN]],tblGetStaticData[ISIN],0))))</f>
        <v>HTHROW</v>
      </c>
      <c r="I100" s="7" t="str">
        <f>IF(tblBOneExport[[#This Row],[INSTRUMENT_TYPE]]="Forward Contract","Forward Contract",tblBOneExport[LEVEL2])</f>
        <v>Corporates</v>
      </c>
      <c r="J100" s="7" t="str">
        <f>IF(tblBOneExport[[#This Row],[INSTRUMENT_TYPE]]="Forward Contract","Forward Contract",tblBOneExport[[#This Row],[LEVEL3]])</f>
        <v>Industrials</v>
      </c>
      <c r="K100" s="7" t="str">
        <f>INDEX(tblLvl2Mapping[],MATCH(tblCalculation[[#This Row],[B1Level2]]&amp;"_"&amp;tblCalculation[[#This Row],[B1Level3]],tblLvl2Mapping[B1Level2_B1Level3],0),2)</f>
        <v>Corporate</v>
      </c>
      <c r="L100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00" s="7">
        <f>INDEX(tblAttributable[],MATCH(tblCalculation[[#This Row],[Level3]],tblAttributable[Level3],0),2)</f>
        <v>1</v>
      </c>
      <c r="N100" s="16">
        <f>tblBOneExport[[#This Row],[PTF_WEIGHT]]</f>
        <v>2.5642272000000002E-3</v>
      </c>
      <c r="O100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3.3471517729795675E-2</v>
      </c>
      <c r="P100" s="48">
        <f>tblCalculation[[#This Row],[PtfDTS]]/SUM(tblCalculation[PtfDTS])</f>
        <v>4.0591673489821572E-3</v>
      </c>
      <c r="Q100" s="16">
        <f>tblBOneExport[[#This Row],[PTF_CONTRIBUTION]]</f>
        <v>4.8754200000000002E-5</v>
      </c>
      <c r="R100" s="16">
        <f>tblCalculation[[#This Row],[PtfContributionBase]]-tblCalculation[[#This Row],[PtfCurrencyReturn]]</f>
        <v>4.8754200000000002E-5</v>
      </c>
      <c r="S100" s="16">
        <f>IF(tblBOneExport[[#This Row],[LEVEL1]]="Bonds",tblBOneExport[[#This Row],[PTF_GOV_CARRY]],"")</f>
        <v>3.1124000000000001E-6</v>
      </c>
      <c r="T100" s="16">
        <f>tblCalculation[[#This Row],[FIAttributable]]*tblBOneExport[[#This Row],[PTF_CREDIT_CARRY]]</f>
        <v>2.4455000000000001E-6</v>
      </c>
      <c r="U100" s="16">
        <f>tblCalculation[[#This Row],[FIAttributable]]*tblBOneExport[[#This Row],[PTF_TOTAL_CURVE]]</f>
        <v>4.8045299999999999E-5</v>
      </c>
      <c r="V100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-4.5898999999999999E-6</v>
      </c>
      <c r="W100" s="16">
        <f>IF(AND(tblCalculation[[#This Row],[Level3]]="Forward Contracts",tblBOneExport[[#This Row],[PTF_COST_OF_CARRY]]=0),tblBOneExport[[#This Row],[PTF_VALUATION]],0)</f>
        <v>0</v>
      </c>
      <c r="X100" s="16">
        <f>SUM(tblCalculation[[#This Row],[PtfTrading]:[PtfModelRes]])</f>
        <v>-2.5899999999999998E-7</v>
      </c>
      <c r="Y100" s="16">
        <f>tblCalculation[[#This Row],[FIAttributable]]*tblBOneExport[[#This Row],[PTF_TRADING]]</f>
        <v>0</v>
      </c>
      <c r="Z100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00" s="16">
        <f>tblCalculation[[#This Row],[FIAttributable]]*tblBOneExport[[#This Row],[PTF_MODEL_RESIDUAL]]-PTF_Credit_Adj*tblCalculation[[#This Row],[PtfDTSWeight]]</f>
        <v>-2.5899999999999998E-7</v>
      </c>
      <c r="AB100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00" s="16">
        <f>tblBOneExport[[#This Row],[BMK_WEIGHT]]</f>
        <v>0</v>
      </c>
      <c r="AD100" s="78">
        <f>tblCalculation[[#This Row],[FIAttributable]]*SUMIFS(tblDTS[DTSContribution_BM],tblDTS[ISIN],tblCalculation[[#This Row],[ISIN]])</f>
        <v>4.4173752184207583E-2</v>
      </c>
      <c r="AE100" s="16">
        <f>IF(SUM(tblCalculation[BMKDTS])=0,0,tblCalculation[[#This Row],[BMKDTS]]/SUM(tblCalculation[BMKDTS]))</f>
        <v>5.2500628628471928E-3</v>
      </c>
      <c r="AF100" s="16">
        <f>tblBOneExport[[#This Row],[BMK_CONTRIBUTION]]</f>
        <v>0</v>
      </c>
      <c r="AG100" s="16">
        <f>tblCalculation[[#This Row],[BMKContributionBase]]-tblBOneExport[BMK_SPOT_CCY_RETURN]-tblBOneExport[[#This Row],[BMK_CROSS_EFFECT]]</f>
        <v>0</v>
      </c>
      <c r="AH100" s="16">
        <f>tblCalculation[[#This Row],[FIAttributable]]*(tblBOneExport[[#This Row],[BMK_RETURN_GOV_CARRY]])</f>
        <v>0</v>
      </c>
      <c r="AI100" s="16">
        <f>tblCalculation[[#This Row],[FIAttributable]]*tblBOneExport[[#This Row],[BMK_CREDIT_CARRY]]</f>
        <v>0</v>
      </c>
      <c r="AJ100" s="16">
        <f>tblCalculation[[#This Row],[FIAttributable]]*tblBOneExport[[#This Row],[BMK_TOTAL_CURVE]]</f>
        <v>0</v>
      </c>
      <c r="AK100" s="16">
        <f>tblCalculation[[#This Row],[FIAttributable]]*(tblBOneExport[[#This Row],[BMK_TOTAL_SPREAD]]+BMK_Credit_Adj*tblCalculation[[#This Row],[BmkDTSWeight]])</f>
        <v>0</v>
      </c>
      <c r="AL100" s="16">
        <f>tblCalculation[[#This Row],[FIAttributable]]*tblBOneExport[[#This Row],[BMK_MODEL_RESIDUAL]]-BMK_Credit_Adj*tblCalculation[[#This Row],[BmkDTSWeight]]</f>
        <v>0</v>
      </c>
      <c r="AM100" s="16">
        <f>IF(tblCalculation[[#This Row],[Level3]]="Forward Contracts",tblCalculation[[#This Row],[BMKContributionLocal]],0)</f>
        <v>0</v>
      </c>
      <c r="AN100" s="16">
        <f>tblBOneExport[[#This Row],[BMK_SPOT_CCY_RETURN]]+tblBOneExport[[#This Row],[BMK_CROSS_EFFECT]]</f>
        <v>0</v>
      </c>
    </row>
    <row r="101" spans="5:40" x14ac:dyDescent="0.25">
      <c r="E101" s="7" t="str">
        <f>tblBOneExport[[#This Row],[INSTRUMENT_CODE]]</f>
        <v>S00649926</v>
      </c>
      <c r="F101" s="7" t="str">
        <f>tblBOneExport[[#This Row],[INSTRUMENT]]</f>
        <v>BAA FUNDING LTD 5.225 15/02/23 REGS</v>
      </c>
      <c r="G101" s="7" t="str">
        <f>IF(tblBOneExport[[#This Row],[ISIN]]&lt;&gt;"", tblBOneExport[[#This Row],[ISIN]],"")</f>
        <v>XS0383002291</v>
      </c>
      <c r="H101" s="7" t="str">
        <f>IF(tblCalculation[[#This Row],[B1Level2]]="CDS",tblBOneExport[[#This Row],[B1_TICKER]],IF(tblCalculation[[#This Row],[ISIN]]="","",INDEX(tblGetStaticData[Ticker],MATCH(tblCalculation[[#This Row],[ISIN]],tblGetStaticData[ISIN],0))))</f>
        <v>HTHROW</v>
      </c>
      <c r="I101" s="7" t="str">
        <f>IF(tblBOneExport[[#This Row],[INSTRUMENT_TYPE]]="Forward Contract","Forward Contract",tblBOneExport[LEVEL2])</f>
        <v>Corporates</v>
      </c>
      <c r="J101" s="7" t="str">
        <f>IF(tblBOneExport[[#This Row],[INSTRUMENT_TYPE]]="Forward Contract","Forward Contract",tblBOneExport[[#This Row],[LEVEL3]])</f>
        <v>Industrials</v>
      </c>
      <c r="K101" s="7" t="str">
        <f>INDEX(tblLvl2Mapping[],MATCH(tblCalculation[[#This Row],[B1Level2]]&amp;"_"&amp;tblCalculation[[#This Row],[B1Level3]],tblLvl2Mapping[B1Level2_B1Level3],0),2)</f>
        <v>Corporate</v>
      </c>
      <c r="L101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01" s="7">
        <f>INDEX(tblAttributable[],MATCH(tblCalculation[[#This Row],[Level3]],tblAttributable[Level3],0),2)</f>
        <v>1</v>
      </c>
      <c r="N101" s="16">
        <f>tblBOneExport[[#This Row],[PTF_WEIGHT]]</f>
        <v>1.4025446999999999E-3</v>
      </c>
      <c r="O101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5.6154867540157381E-3</v>
      </c>
      <c r="P101" s="48">
        <f>tblCalculation[[#This Row],[PtfDTS]]/SUM(tblCalculation[PtfDTS])</f>
        <v>6.8100289519442802E-4</v>
      </c>
      <c r="Q101" s="16">
        <f>tblBOneExport[[#This Row],[PTF_CONTRIBUTION]]</f>
        <v>1.4291600000000001E-5</v>
      </c>
      <c r="R101" s="16">
        <f>tblCalculation[[#This Row],[PtfContributionBase]]-tblCalculation[[#This Row],[PtfCurrencyReturn]]</f>
        <v>1.4291600000000001E-5</v>
      </c>
      <c r="S101" s="16">
        <f>IF(tblBOneExport[[#This Row],[LEVEL1]]="Bonds",tblBOneExport[[#This Row],[PTF_GOV_CARRY]],"")</f>
        <v>6.6440000000000005E-7</v>
      </c>
      <c r="T101" s="16">
        <f>tblCalculation[[#This Row],[FIAttributable]]*tblBOneExport[[#This Row],[PTF_CREDIT_CARRY]]</f>
        <v>1.3402999999999999E-6</v>
      </c>
      <c r="U101" s="16">
        <f>tblCalculation[[#This Row],[FIAttributable]]*tblBOneExport[[#This Row],[PTF_TOTAL_CURVE]]</f>
        <v>1.00238E-5</v>
      </c>
      <c r="V101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2.5755000000000002E-6</v>
      </c>
      <c r="W101" s="16">
        <f>IF(AND(tblCalculation[[#This Row],[Level3]]="Forward Contracts",tblBOneExport[[#This Row],[PTF_COST_OF_CARRY]]=0),tblBOneExport[[#This Row],[PTF_VALUATION]],0)</f>
        <v>0</v>
      </c>
      <c r="X101" s="16">
        <f>SUM(tblCalculation[[#This Row],[PtfTrading]:[PtfModelRes]])</f>
        <v>-3.1250000000000003E-7</v>
      </c>
      <c r="Y101" s="16">
        <f>tblCalculation[[#This Row],[FIAttributable]]*tblBOneExport[[#This Row],[PTF_TRADING]]</f>
        <v>0</v>
      </c>
      <c r="Z101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01" s="16">
        <f>tblCalculation[[#This Row],[FIAttributable]]*tblBOneExport[[#This Row],[PTF_MODEL_RESIDUAL]]-PTF_Credit_Adj*tblCalculation[[#This Row],[PtfDTSWeight]]</f>
        <v>-3.1250000000000003E-7</v>
      </c>
      <c r="AB101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01" s="16">
        <f>tblBOneExport[[#This Row],[BMK_WEIGHT]]</f>
        <v>0</v>
      </c>
      <c r="AD101" s="78">
        <f>tblCalculation[[#This Row],[FIAttributable]]*SUMIFS(tblDTS[DTSContribution_BM],tblDTS[ISIN],tblCalculation[[#This Row],[ISIN]])</f>
        <v>7.4113171643907846E-3</v>
      </c>
      <c r="AE101" s="16">
        <f>IF(SUM(tblCalculation[BMKDTS])=0,0,tblCalculation[[#This Row],[BMKDTS]]/SUM(tblCalculation[BMKDTS]))</f>
        <v>8.8083712805951252E-4</v>
      </c>
      <c r="AF101" s="16">
        <f>tblBOneExport[[#This Row],[BMK_CONTRIBUTION]]</f>
        <v>0</v>
      </c>
      <c r="AG101" s="16">
        <f>tblCalculation[[#This Row],[BMKContributionBase]]-tblBOneExport[BMK_SPOT_CCY_RETURN]-tblBOneExport[[#This Row],[BMK_CROSS_EFFECT]]</f>
        <v>0</v>
      </c>
      <c r="AH101" s="16">
        <f>tblCalculation[[#This Row],[FIAttributable]]*(tblBOneExport[[#This Row],[BMK_RETURN_GOV_CARRY]])</f>
        <v>0</v>
      </c>
      <c r="AI101" s="16">
        <f>tblCalculation[[#This Row],[FIAttributable]]*tblBOneExport[[#This Row],[BMK_CREDIT_CARRY]]</f>
        <v>0</v>
      </c>
      <c r="AJ101" s="16">
        <f>tblCalculation[[#This Row],[FIAttributable]]*tblBOneExport[[#This Row],[BMK_TOTAL_CURVE]]</f>
        <v>0</v>
      </c>
      <c r="AK101" s="16">
        <f>tblCalculation[[#This Row],[FIAttributable]]*(tblBOneExport[[#This Row],[BMK_TOTAL_SPREAD]]+BMK_Credit_Adj*tblCalculation[[#This Row],[BmkDTSWeight]])</f>
        <v>0</v>
      </c>
      <c r="AL101" s="16">
        <f>tblCalculation[[#This Row],[FIAttributable]]*tblBOneExport[[#This Row],[BMK_MODEL_RESIDUAL]]-BMK_Credit_Adj*tblCalculation[[#This Row],[BmkDTSWeight]]</f>
        <v>0</v>
      </c>
      <c r="AM101" s="16">
        <f>IF(tblCalculation[[#This Row],[Level3]]="Forward Contracts",tblCalculation[[#This Row],[BMKContributionLocal]],0)</f>
        <v>0</v>
      </c>
      <c r="AN101" s="16">
        <f>tblBOneExport[[#This Row],[BMK_SPOT_CCY_RETURN]]+tblBOneExport[[#This Row],[BMK_CROSS_EFFECT]]</f>
        <v>0</v>
      </c>
    </row>
    <row r="102" spans="5:40" x14ac:dyDescent="0.25">
      <c r="E102" s="7" t="str">
        <f>tblBOneExport[[#This Row],[INSTRUMENT_CODE]]</f>
        <v>S00653671</v>
      </c>
      <c r="F102" s="7" t="str">
        <f>tblBOneExport[[#This Row],[INSTRUMENT]]</f>
        <v>CENTRICA PLC 7 19/09/33 EMTN</v>
      </c>
      <c r="G102" s="7" t="str">
        <f>IF(tblBOneExport[[#This Row],[ISIN]]&lt;&gt;"", tblBOneExport[[#This Row],[ISIN]],"")</f>
        <v>XS0388006123</v>
      </c>
      <c r="H102" s="7" t="str">
        <f>IF(tblCalculation[[#This Row],[B1Level2]]="CDS",tblBOneExport[[#This Row],[B1_TICKER]],IF(tblCalculation[[#This Row],[ISIN]]="","",INDEX(tblGetStaticData[Ticker],MATCH(tblCalculation[[#This Row],[ISIN]],tblGetStaticData[ISIN],0))))</f>
        <v>CNALN</v>
      </c>
      <c r="I102" s="7" t="str">
        <f>IF(tblBOneExport[[#This Row],[INSTRUMENT_TYPE]]="Forward Contract","Forward Contract",tblBOneExport[LEVEL2])</f>
        <v>Corporates</v>
      </c>
      <c r="J102" s="7" t="str">
        <f>IF(tblBOneExport[[#This Row],[INSTRUMENT_TYPE]]="Forward Contract","Forward Contract",tblBOneExport[[#This Row],[LEVEL3]])</f>
        <v>Utilities</v>
      </c>
      <c r="K102" s="7" t="str">
        <f>INDEX(tblLvl2Mapping[],MATCH(tblCalculation[[#This Row],[B1Level2]]&amp;"_"&amp;tblCalculation[[#This Row],[B1Level3]],tblLvl2Mapping[B1Level2_B1Level3],0),2)</f>
        <v>Corporate</v>
      </c>
      <c r="L102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02" s="7">
        <f>INDEX(tblAttributable[],MATCH(tblCalculation[[#This Row],[Level3]],tblAttributable[Level3],0),2)</f>
        <v>1</v>
      </c>
      <c r="N102" s="16">
        <f>tblBOneExport[[#This Row],[PTF_WEIGHT]]</f>
        <v>4.6432512000000002E-3</v>
      </c>
      <c r="O102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7.2102817717297235E-2</v>
      </c>
      <c r="P102" s="48">
        <f>tblCalculation[[#This Row],[PtfDTS]]/SUM(tblCalculation[PtfDTS])</f>
        <v>8.7440732688117574E-3</v>
      </c>
      <c r="Q102" s="16">
        <f>tblBOneExport[[#This Row],[PTF_CONTRIBUTION]]</f>
        <v>9.0982899999999999E-5</v>
      </c>
      <c r="R102" s="16">
        <f>tblCalculation[[#This Row],[PtfContributionBase]]-tblCalculation[[#This Row],[PtfCurrencyReturn]]</f>
        <v>9.0982899999999999E-5</v>
      </c>
      <c r="S102" s="16">
        <f>IF(tblBOneExport[[#This Row],[LEVEL1]]="Bonds",tblBOneExport[[#This Row],[PTF_GOV_CARRY]],"")</f>
        <v>5.8777999999999999E-6</v>
      </c>
      <c r="T102" s="16">
        <f>tblCalculation[[#This Row],[FIAttributable]]*tblBOneExport[[#This Row],[PTF_CREDIT_CARRY]]</f>
        <v>5.0772999999999997E-6</v>
      </c>
      <c r="U102" s="16">
        <f>tblCalculation[[#This Row],[FIAttributable]]*tblBOneExport[[#This Row],[PTF_TOTAL_CURVE]]</f>
        <v>7.7656499999999998E-5</v>
      </c>
      <c r="V102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-1.0792E-6</v>
      </c>
      <c r="W102" s="16">
        <f>IF(AND(tblCalculation[[#This Row],[Level3]]="Forward Contracts",tblBOneExport[[#This Row],[PTF_COST_OF_CARRY]]=0),tblBOneExport[[#This Row],[PTF_VALUATION]],0)</f>
        <v>0</v>
      </c>
      <c r="X102" s="16">
        <f>SUM(tblCalculation[[#This Row],[PtfTrading]:[PtfModelRes]])</f>
        <v>3.4504999999999998E-6</v>
      </c>
      <c r="Y102" s="16">
        <f>tblCalculation[[#This Row],[FIAttributable]]*tblBOneExport[[#This Row],[PTF_TRADING]]</f>
        <v>0</v>
      </c>
      <c r="Z102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02" s="16">
        <f>tblCalculation[[#This Row],[FIAttributable]]*tblBOneExport[[#This Row],[PTF_MODEL_RESIDUAL]]-PTF_Credit_Adj*tblCalculation[[#This Row],[PtfDTSWeight]]</f>
        <v>3.4504999999999998E-6</v>
      </c>
      <c r="AB102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02" s="16">
        <f>tblBOneExport[[#This Row],[BMK_WEIGHT]]</f>
        <v>0</v>
      </c>
      <c r="AD102" s="78">
        <f>tblCalculation[[#This Row],[FIAttributable]]*SUMIFS(tblDTS[DTSContribution_BM],tblDTS[ISIN],tblCalculation[[#This Row],[ISIN]])</f>
        <v>9.516562174666196E-2</v>
      </c>
      <c r="AE102" s="16">
        <f>IF(SUM(tblCalculation[BMKDTS])=0,0,tblCalculation[[#This Row],[BMKDTS]]/SUM(tblCalculation[BMKDTS]))</f>
        <v>1.1310460892442203E-2</v>
      </c>
      <c r="AF102" s="16">
        <f>tblBOneExport[[#This Row],[BMK_CONTRIBUTION]]</f>
        <v>0</v>
      </c>
      <c r="AG102" s="16">
        <f>tblCalculation[[#This Row],[BMKContributionBase]]-tblBOneExport[BMK_SPOT_CCY_RETURN]-tblBOneExport[[#This Row],[BMK_CROSS_EFFECT]]</f>
        <v>0</v>
      </c>
      <c r="AH102" s="16">
        <f>tblCalculation[[#This Row],[FIAttributable]]*(tblBOneExport[[#This Row],[BMK_RETURN_GOV_CARRY]])</f>
        <v>0</v>
      </c>
      <c r="AI102" s="16">
        <f>tblCalculation[[#This Row],[FIAttributable]]*tblBOneExport[[#This Row],[BMK_CREDIT_CARRY]]</f>
        <v>0</v>
      </c>
      <c r="AJ102" s="16">
        <f>tblCalculation[[#This Row],[FIAttributable]]*tblBOneExport[[#This Row],[BMK_TOTAL_CURVE]]</f>
        <v>0</v>
      </c>
      <c r="AK102" s="16">
        <f>tblCalculation[[#This Row],[FIAttributable]]*(tblBOneExport[[#This Row],[BMK_TOTAL_SPREAD]]+BMK_Credit_Adj*tblCalculation[[#This Row],[BmkDTSWeight]])</f>
        <v>0</v>
      </c>
      <c r="AL102" s="16">
        <f>tblCalculation[[#This Row],[FIAttributable]]*tblBOneExport[[#This Row],[BMK_MODEL_RESIDUAL]]-BMK_Credit_Adj*tblCalculation[[#This Row],[BmkDTSWeight]]</f>
        <v>0</v>
      </c>
      <c r="AM102" s="16">
        <f>IF(tblCalculation[[#This Row],[Level3]]="Forward Contracts",tblCalculation[[#This Row],[BMKContributionLocal]],0)</f>
        <v>0</v>
      </c>
      <c r="AN102" s="16">
        <f>tblBOneExport[[#This Row],[BMK_SPOT_CCY_RETURN]]+tblBOneExport[[#This Row],[BMK_CROSS_EFFECT]]</f>
        <v>0</v>
      </c>
    </row>
    <row r="103" spans="5:40" x14ac:dyDescent="0.25">
      <c r="E103" s="7" t="str">
        <f>tblBOneExport[[#This Row],[INSTRUMENT_CODE]]</f>
        <v>S00732504</v>
      </c>
      <c r="F103" s="7" t="str">
        <f>tblBOneExport[[#This Row],[INSTRUMENT]]</f>
        <v>SCOTTISH &amp; SOUTH 8.375 20/11/28 EMTN</v>
      </c>
      <c r="G103" s="7" t="str">
        <f>IF(tblBOneExport[[#This Row],[ISIN]]&lt;&gt;"", tblBOneExport[[#This Row],[ISIN]],"")</f>
        <v>XS0399111912</v>
      </c>
      <c r="H103" s="7" t="str">
        <f>IF(tblCalculation[[#This Row],[B1Level2]]="CDS",tblBOneExport[[#This Row],[B1_TICKER]],IF(tblCalculation[[#This Row],[ISIN]]="","",INDEX(tblGetStaticData[Ticker],MATCH(tblCalculation[[#This Row],[ISIN]],tblGetStaticData[ISIN],0))))</f>
        <v>SSELN</v>
      </c>
      <c r="I103" s="7" t="str">
        <f>IF(tblBOneExport[[#This Row],[INSTRUMENT_TYPE]]="Forward Contract","Forward Contract",tblBOneExport[LEVEL2])</f>
        <v>Corporates</v>
      </c>
      <c r="J103" s="7" t="str">
        <f>IF(tblBOneExport[[#This Row],[INSTRUMENT_TYPE]]="Forward Contract","Forward Contract",tblBOneExport[[#This Row],[LEVEL3]])</f>
        <v>Utilities</v>
      </c>
      <c r="K103" s="7" t="str">
        <f>INDEX(tblLvl2Mapping[],MATCH(tblCalculation[[#This Row],[B1Level2]]&amp;"_"&amp;tblCalculation[[#This Row],[B1Level3]],tblLvl2Mapping[B1Level2_B1Level3],0),2)</f>
        <v>Corporate</v>
      </c>
      <c r="L103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03" s="7">
        <f>INDEX(tblAttributable[],MATCH(tblCalculation[[#This Row],[Level3]],tblAttributable[Level3],0),2)</f>
        <v>1</v>
      </c>
      <c r="N103" s="16">
        <f>tblBOneExport[[#This Row],[PTF_WEIGHT]]</f>
        <v>1.9239069000000001E-3</v>
      </c>
      <c r="O103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1.7137357619832882E-2</v>
      </c>
      <c r="P103" s="48">
        <f>tblCalculation[[#This Row],[PtfDTS]]/SUM(tblCalculation[PtfDTS])</f>
        <v>2.0782864720930256E-3</v>
      </c>
      <c r="Q103" s="16">
        <f>tblBOneExport[[#This Row],[PTF_CONTRIBUTION]]</f>
        <v>3.5181300000000001E-5</v>
      </c>
      <c r="R103" s="16">
        <f>tblCalculation[[#This Row],[PtfContributionBase]]-tblCalculation[[#This Row],[PtfCurrencyReturn]]</f>
        <v>3.5181300000000001E-5</v>
      </c>
      <c r="S103" s="16">
        <f>IF(tblBOneExport[[#This Row],[LEVEL1]]="Bonds",tblBOneExport[[#This Row],[PTF_GOV_CARRY]],"")</f>
        <v>2.0453000000000001E-6</v>
      </c>
      <c r="T103" s="16">
        <f>tblCalculation[[#This Row],[FIAttributable]]*tblBOneExport[[#This Row],[PTF_CREDIT_CARRY]]</f>
        <v>1.6878E-6</v>
      </c>
      <c r="U103" s="16">
        <f>tblCalculation[[#This Row],[FIAttributable]]*tblBOneExport[[#This Row],[PTF_TOTAL_CURVE]]</f>
        <v>3.1269799999999997E-5</v>
      </c>
      <c r="V103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8.5580000000000003E-7</v>
      </c>
      <c r="W103" s="16">
        <f>IF(AND(tblCalculation[[#This Row],[Level3]]="Forward Contracts",tblBOneExport[[#This Row],[PTF_COST_OF_CARRY]]=0),tblBOneExport[[#This Row],[PTF_VALUATION]],0)</f>
        <v>0</v>
      </c>
      <c r="X103" s="16">
        <f>SUM(tblCalculation[[#This Row],[PtfTrading]:[PtfModelRes]])</f>
        <v>-6.7729999999999996E-7</v>
      </c>
      <c r="Y103" s="16">
        <f>tblCalculation[[#This Row],[FIAttributable]]*tblBOneExport[[#This Row],[PTF_TRADING]]</f>
        <v>0</v>
      </c>
      <c r="Z103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03" s="16">
        <f>tblCalculation[[#This Row],[FIAttributable]]*tblBOneExport[[#This Row],[PTF_MODEL_RESIDUAL]]-PTF_Credit_Adj*tblCalculation[[#This Row],[PtfDTSWeight]]</f>
        <v>-6.7729999999999996E-7</v>
      </c>
      <c r="AB103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03" s="16">
        <f>tblBOneExport[[#This Row],[BMK_WEIGHT]]</f>
        <v>0</v>
      </c>
      <c r="AD103" s="78">
        <f>tblCalculation[[#This Row],[FIAttributable]]*SUMIFS(tblDTS[DTSContribution_BM],tblDTS[ISIN],tblCalculation[[#This Row],[ISIN]])</f>
        <v>2.2618460395581561E-2</v>
      </c>
      <c r="AE103" s="16">
        <f>IF(SUM(tblCalculation[BMKDTS])=0,0,tblCalculation[[#This Row],[BMKDTS]]/SUM(tblCalculation[BMKDTS]))</f>
        <v>2.688210375302375E-3</v>
      </c>
      <c r="AF103" s="16">
        <f>tblBOneExport[[#This Row],[BMK_CONTRIBUTION]]</f>
        <v>0</v>
      </c>
      <c r="AG103" s="16">
        <f>tblCalculation[[#This Row],[BMKContributionBase]]-tblBOneExport[BMK_SPOT_CCY_RETURN]-tblBOneExport[[#This Row],[BMK_CROSS_EFFECT]]</f>
        <v>0</v>
      </c>
      <c r="AH103" s="16">
        <f>tblCalculation[[#This Row],[FIAttributable]]*(tblBOneExport[[#This Row],[BMK_RETURN_GOV_CARRY]])</f>
        <v>0</v>
      </c>
      <c r="AI103" s="16">
        <f>tblCalculation[[#This Row],[FIAttributable]]*tblBOneExport[[#This Row],[BMK_CREDIT_CARRY]]</f>
        <v>0</v>
      </c>
      <c r="AJ103" s="16">
        <f>tblCalculation[[#This Row],[FIAttributable]]*tblBOneExport[[#This Row],[BMK_TOTAL_CURVE]]</f>
        <v>0</v>
      </c>
      <c r="AK103" s="16">
        <f>tblCalculation[[#This Row],[FIAttributable]]*(tblBOneExport[[#This Row],[BMK_TOTAL_SPREAD]]+BMK_Credit_Adj*tblCalculation[[#This Row],[BmkDTSWeight]])</f>
        <v>0</v>
      </c>
      <c r="AL103" s="16">
        <f>tblCalculation[[#This Row],[FIAttributable]]*tblBOneExport[[#This Row],[BMK_MODEL_RESIDUAL]]-BMK_Credit_Adj*tblCalculation[[#This Row],[BmkDTSWeight]]</f>
        <v>0</v>
      </c>
      <c r="AM103" s="16">
        <f>IF(tblCalculation[[#This Row],[Level3]]="Forward Contracts",tblCalculation[[#This Row],[BMKContributionLocal]],0)</f>
        <v>0</v>
      </c>
      <c r="AN103" s="16">
        <f>tblBOneExport[[#This Row],[BMK_SPOT_CCY_RETURN]]+tblBOneExport[[#This Row],[BMK_CROSS_EFFECT]]</f>
        <v>0</v>
      </c>
    </row>
    <row r="104" spans="5:40" x14ac:dyDescent="0.25">
      <c r="E104" s="7" t="str">
        <f>tblBOneExport[[#This Row],[INSTRUMENT_CODE]]</f>
        <v>S00696296</v>
      </c>
      <c r="F104" s="7" t="str">
        <f>tblBOneExport[[#This Row],[INSTRUMENT]]</f>
        <v>DEUTSCHE TEL FIN 8.875 27/11/28</v>
      </c>
      <c r="G104" s="7" t="str">
        <f>IF(tblBOneExport[[#This Row],[ISIN]]&lt;&gt;"", tblBOneExport[[#This Row],[ISIN]],"")</f>
        <v>XS0401016919</v>
      </c>
      <c r="H104" s="7" t="str">
        <f>IF(tblCalculation[[#This Row],[B1Level2]]="CDS",tblBOneExport[[#This Row],[B1_TICKER]],IF(tblCalculation[[#This Row],[ISIN]]="","",INDEX(tblGetStaticData[Ticker],MATCH(tblCalculation[[#This Row],[ISIN]],tblGetStaticData[ISIN],0))))</f>
        <v>DT</v>
      </c>
      <c r="I104" s="7" t="str">
        <f>IF(tblBOneExport[[#This Row],[INSTRUMENT_TYPE]]="Forward Contract","Forward Contract",tblBOneExport[LEVEL2])</f>
        <v>Corporates</v>
      </c>
      <c r="J104" s="7" t="str">
        <f>IF(tblBOneExport[[#This Row],[INSTRUMENT_TYPE]]="Forward Contract","Forward Contract",tblBOneExport[[#This Row],[LEVEL3]])</f>
        <v>Industrials</v>
      </c>
      <c r="K104" s="7" t="str">
        <f>INDEX(tblLvl2Mapping[],MATCH(tblCalculation[[#This Row],[B1Level2]]&amp;"_"&amp;tblCalculation[[#This Row],[B1Level3]],tblLvl2Mapping[B1Level2_B1Level3],0),2)</f>
        <v>Corporate</v>
      </c>
      <c r="L104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04" s="7">
        <f>INDEX(tblAttributable[],MATCH(tblCalculation[[#This Row],[Level3]],tblAttributable[Level3],0),2)</f>
        <v>1</v>
      </c>
      <c r="N104" s="16">
        <f>tblBOneExport[[#This Row],[PTF_WEIGHT]]</f>
        <v>7.1379620999999999E-3</v>
      </c>
      <c r="O104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6.4011280271357524E-2</v>
      </c>
      <c r="P104" s="48">
        <f>tblCalculation[[#This Row],[PtfDTS]]/SUM(tblCalculation[PtfDTS])</f>
        <v>7.7627940549807361E-3</v>
      </c>
      <c r="Q104" s="16">
        <f>tblBOneExport[[#This Row],[PTF_CONTRIBUTION]]</f>
        <v>1.208332E-4</v>
      </c>
      <c r="R104" s="16">
        <f>tblCalculation[[#This Row],[PtfContributionBase]]-tblCalculation[[#This Row],[PtfCurrencyReturn]]</f>
        <v>1.208332E-4</v>
      </c>
      <c r="S104" s="16">
        <f>IF(tblBOneExport[[#This Row],[LEVEL1]]="Bonds",tblBOneExport[[#This Row],[PTF_GOV_CARRY]],"")</f>
        <v>7.6029999999999999E-6</v>
      </c>
      <c r="T104" s="16">
        <f>tblCalculation[[#This Row],[FIAttributable]]*tblBOneExport[[#This Row],[PTF_CREDIT_CARRY]]</f>
        <v>6.2809000000000003E-6</v>
      </c>
      <c r="U104" s="16">
        <f>tblCalculation[[#This Row],[FIAttributable]]*tblBOneExport[[#This Row],[PTF_TOTAL_CURVE]]</f>
        <v>1.150241E-4</v>
      </c>
      <c r="V104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-9.0682000000000007E-6</v>
      </c>
      <c r="W104" s="16">
        <f>IF(AND(tblCalculation[[#This Row],[Level3]]="Forward Contracts",tblBOneExport[[#This Row],[PTF_COST_OF_CARRY]]=0),tblBOneExport[[#This Row],[PTF_VALUATION]],0)</f>
        <v>0</v>
      </c>
      <c r="X104" s="16">
        <f>SUM(tblCalculation[[#This Row],[PtfTrading]:[PtfModelRes]])</f>
        <v>9.935000000000001E-7</v>
      </c>
      <c r="Y104" s="16">
        <f>tblCalculation[[#This Row],[FIAttributable]]*tblBOneExport[[#This Row],[PTF_TRADING]]</f>
        <v>0</v>
      </c>
      <c r="Z104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04" s="16">
        <f>tblCalculation[[#This Row],[FIAttributable]]*tblBOneExport[[#This Row],[PTF_MODEL_RESIDUAL]]-PTF_Credit_Adj*tblCalculation[[#This Row],[PtfDTSWeight]]</f>
        <v>9.935000000000001E-7</v>
      </c>
      <c r="AB104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04" s="16">
        <f>tblBOneExport[[#This Row],[BMK_WEIGHT]]</f>
        <v>0</v>
      </c>
      <c r="AD104" s="78">
        <f>tblCalculation[[#This Row],[FIAttributable]]*SUMIFS(tblDTS[DTSContribution_BM],tblDTS[ISIN],tblCalculation[[#This Row],[ISIN]])</f>
        <v>6.5713324046180119E-2</v>
      </c>
      <c r="AE104" s="16">
        <f>IF(SUM(tblCalculation[BMKDTS])=0,0,tblCalculation[[#This Row],[BMKDTS]]/SUM(tblCalculation[BMKDTS]))</f>
        <v>7.8100470326909026E-3</v>
      </c>
      <c r="AF104" s="16">
        <f>tblBOneExport[[#This Row],[BMK_CONTRIBUTION]]</f>
        <v>0</v>
      </c>
      <c r="AG104" s="16">
        <f>tblCalculation[[#This Row],[BMKContributionBase]]-tblBOneExport[BMK_SPOT_CCY_RETURN]-tblBOneExport[[#This Row],[BMK_CROSS_EFFECT]]</f>
        <v>0</v>
      </c>
      <c r="AH104" s="16">
        <f>tblCalculation[[#This Row],[FIAttributable]]*(tblBOneExport[[#This Row],[BMK_RETURN_GOV_CARRY]])</f>
        <v>0</v>
      </c>
      <c r="AI104" s="16">
        <f>tblCalculation[[#This Row],[FIAttributable]]*tblBOneExport[[#This Row],[BMK_CREDIT_CARRY]]</f>
        <v>0</v>
      </c>
      <c r="AJ104" s="16">
        <f>tblCalculation[[#This Row],[FIAttributable]]*tblBOneExport[[#This Row],[BMK_TOTAL_CURVE]]</f>
        <v>0</v>
      </c>
      <c r="AK104" s="16">
        <f>tblCalculation[[#This Row],[FIAttributable]]*(tblBOneExport[[#This Row],[BMK_TOTAL_SPREAD]]+BMK_Credit_Adj*tblCalculation[[#This Row],[BmkDTSWeight]])</f>
        <v>0</v>
      </c>
      <c r="AL104" s="16">
        <f>tblCalculation[[#This Row],[FIAttributable]]*tblBOneExport[[#This Row],[BMK_MODEL_RESIDUAL]]-BMK_Credit_Adj*tblCalculation[[#This Row],[BmkDTSWeight]]</f>
        <v>0</v>
      </c>
      <c r="AM104" s="16">
        <f>IF(tblCalculation[[#This Row],[Level3]]="Forward Contracts",tblCalculation[[#This Row],[BMKContributionLocal]],0)</f>
        <v>0</v>
      </c>
      <c r="AN104" s="16">
        <f>tblBOneExport[[#This Row],[BMK_SPOT_CCY_RETURN]]+tblBOneExport[[#This Row],[BMK_CROSS_EFFECT]]</f>
        <v>0</v>
      </c>
    </row>
    <row r="105" spans="5:40" x14ac:dyDescent="0.25">
      <c r="E105" s="7" t="str">
        <f>tblBOneExport[[#This Row],[INSTRUMENT_CODE]]</f>
        <v>S00706828</v>
      </c>
      <c r="F105" s="7" t="str">
        <f>tblBOneExport[[#This Row],[INSTRUMENT]]</f>
        <v>NATL GRID ELECT 7.375 13/01/31 EMTN</v>
      </c>
      <c r="G105" s="7" t="str">
        <f>IF(tblBOneExport[[#This Row],[ISIN]]&lt;&gt;"", tblBOneExport[[#This Row],[ISIN]],"")</f>
        <v>XS0407912053</v>
      </c>
      <c r="H105" s="7" t="str">
        <f>IF(tblCalculation[[#This Row],[B1Level2]]="CDS",tblBOneExport[[#This Row],[B1_TICKER]],IF(tblCalculation[[#This Row],[ISIN]]="","",INDEX(tblGetStaticData[Ticker],MATCH(tblCalculation[[#This Row],[ISIN]],tblGetStaticData[ISIN],0))))</f>
        <v>NGGLN</v>
      </c>
      <c r="I105" s="7" t="str">
        <f>IF(tblBOneExport[[#This Row],[INSTRUMENT_TYPE]]="Forward Contract","Forward Contract",tblBOneExport[LEVEL2])</f>
        <v>Corporates</v>
      </c>
      <c r="J105" s="7" t="str">
        <f>IF(tblBOneExport[[#This Row],[INSTRUMENT_TYPE]]="Forward Contract","Forward Contract",tblBOneExport[[#This Row],[LEVEL3]])</f>
        <v>Utilities</v>
      </c>
      <c r="K105" s="7" t="str">
        <f>INDEX(tblLvl2Mapping[],MATCH(tblCalculation[[#This Row],[B1Level2]]&amp;"_"&amp;tblCalculation[[#This Row],[B1Level3]],tblLvl2Mapping[B1Level2_B1Level3],0),2)</f>
        <v>Corporate</v>
      </c>
      <c r="L105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05" s="7">
        <f>INDEX(tblAttributable[],MATCH(tblCalculation[[#This Row],[Level3]],tblAttributable[Level3],0),2)</f>
        <v>1</v>
      </c>
      <c r="N105" s="16">
        <f>tblBOneExport[[#This Row],[PTF_WEIGHT]]</f>
        <v>7.8963078999999999E-3</v>
      </c>
      <c r="O105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8.1840845089903705E-2</v>
      </c>
      <c r="P105" s="48">
        <f>tblCalculation[[#This Row],[PtfDTS]]/SUM(tblCalculation[PtfDTS])</f>
        <v>9.9250260739243666E-3</v>
      </c>
      <c r="Q105" s="16">
        <f>tblBOneExport[[#This Row],[PTF_CONTRIBUTION]]</f>
        <v>1.3508929999999999E-4</v>
      </c>
      <c r="R105" s="16">
        <f>tblCalculation[[#This Row],[PtfContributionBase]]-tblCalculation[[#This Row],[PtfCurrencyReturn]]</f>
        <v>1.3508929999999999E-4</v>
      </c>
      <c r="S105" s="16">
        <f>IF(tblBOneExport[[#This Row],[LEVEL1]]="Bonds",tblBOneExport[[#This Row],[PTF_GOV_CARRY]],"")</f>
        <v>9.3695000000000007E-6</v>
      </c>
      <c r="T105" s="16">
        <f>tblCalculation[[#This Row],[FIAttributable]]*tblBOneExport[[#This Row],[PTF_CREDIT_CARRY]]</f>
        <v>6.4296999999999996E-6</v>
      </c>
      <c r="U105" s="16">
        <f>tblCalculation[[#This Row],[FIAttributable]]*tblBOneExport[[#This Row],[PTF_TOTAL_CURVE]]</f>
        <v>1.3886749999999999E-4</v>
      </c>
      <c r="V105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1.8102E-6</v>
      </c>
      <c r="W105" s="16">
        <f>IF(AND(tblCalculation[[#This Row],[Level3]]="Forward Contracts",tblBOneExport[[#This Row],[PTF_COST_OF_CARRY]]=0),tblBOneExport[[#This Row],[PTF_VALUATION]],0)</f>
        <v>0</v>
      </c>
      <c r="X105" s="16">
        <f>SUM(tblCalculation[[#This Row],[PtfTrading]:[PtfModelRes]])</f>
        <v>-2.1387599999999998E-5</v>
      </c>
      <c r="Y105" s="16">
        <f>tblCalculation[[#This Row],[FIAttributable]]*tblBOneExport[[#This Row],[PTF_TRADING]]</f>
        <v>0</v>
      </c>
      <c r="Z105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05" s="16">
        <f>tblCalculation[[#This Row],[FIAttributable]]*tblBOneExport[[#This Row],[PTF_MODEL_RESIDUAL]]-PTF_Credit_Adj*tblCalculation[[#This Row],[PtfDTSWeight]]</f>
        <v>-2.1387599999999998E-5</v>
      </c>
      <c r="AB105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05" s="16">
        <f>tblBOneExport[[#This Row],[BMK_WEIGHT]]</f>
        <v>0</v>
      </c>
      <c r="AD105" s="78">
        <f>tblCalculation[[#This Row],[FIAttributable]]*SUMIFS(tblDTS[DTSContribution_BM],tblDTS[ISIN],tblCalculation[[#This Row],[ISIN]])</f>
        <v>7.678882519577139E-2</v>
      </c>
      <c r="AE105" s="16">
        <f>IF(SUM(tblCalculation[BMKDTS])=0,0,tblCalculation[[#This Row],[BMKDTS]]/SUM(tblCalculation[BMKDTS]))</f>
        <v>9.1263734572702131E-3</v>
      </c>
      <c r="AF105" s="16">
        <f>tblBOneExport[[#This Row],[BMK_CONTRIBUTION]]</f>
        <v>0</v>
      </c>
      <c r="AG105" s="16">
        <f>tblCalculation[[#This Row],[BMKContributionBase]]-tblBOneExport[BMK_SPOT_CCY_RETURN]-tblBOneExport[[#This Row],[BMK_CROSS_EFFECT]]</f>
        <v>0</v>
      </c>
      <c r="AH105" s="16">
        <f>tblCalculation[[#This Row],[FIAttributable]]*(tblBOneExport[[#This Row],[BMK_RETURN_GOV_CARRY]])</f>
        <v>0</v>
      </c>
      <c r="AI105" s="16">
        <f>tblCalculation[[#This Row],[FIAttributable]]*tblBOneExport[[#This Row],[BMK_CREDIT_CARRY]]</f>
        <v>0</v>
      </c>
      <c r="AJ105" s="16">
        <f>tblCalculation[[#This Row],[FIAttributable]]*tblBOneExport[[#This Row],[BMK_TOTAL_CURVE]]</f>
        <v>0</v>
      </c>
      <c r="AK105" s="16">
        <f>tblCalculation[[#This Row],[FIAttributable]]*(tblBOneExport[[#This Row],[BMK_TOTAL_SPREAD]]+BMK_Credit_Adj*tblCalculation[[#This Row],[BmkDTSWeight]])</f>
        <v>0</v>
      </c>
      <c r="AL105" s="16">
        <f>tblCalculation[[#This Row],[FIAttributable]]*tblBOneExport[[#This Row],[BMK_MODEL_RESIDUAL]]-BMK_Credit_Adj*tblCalculation[[#This Row],[BmkDTSWeight]]</f>
        <v>0</v>
      </c>
      <c r="AM105" s="16">
        <f>IF(tblCalculation[[#This Row],[Level3]]="Forward Contracts",tblCalculation[[#This Row],[BMKContributionLocal]],0)</f>
        <v>0</v>
      </c>
      <c r="AN105" s="16">
        <f>tblBOneExport[[#This Row],[BMK_SPOT_CCY_RETURN]]+tblBOneExport[[#This Row],[BMK_CROSS_EFFECT]]</f>
        <v>0</v>
      </c>
    </row>
    <row r="106" spans="5:40" x14ac:dyDescent="0.25">
      <c r="E106" s="7" t="str">
        <f>tblBOneExport[[#This Row],[INSTRUMENT_CODE]]</f>
        <v>S00709076</v>
      </c>
      <c r="F106" s="7" t="str">
        <f>tblBOneExport[[#This Row],[INSTRUMENT]]</f>
        <v>E.ON INTL FIN BV 6.75 27/01/39 EMTN</v>
      </c>
      <c r="G106" s="7" t="str">
        <f>IF(tblBOneExport[[#This Row],[ISIN]]&lt;&gt;"", tblBOneExport[[#This Row],[ISIN]],"")</f>
        <v>XS0408958683</v>
      </c>
      <c r="H106" s="7" t="str">
        <f>IF(tblCalculation[[#This Row],[B1Level2]]="CDS",tblBOneExport[[#This Row],[B1_TICKER]],IF(tblCalculation[[#This Row],[ISIN]]="","",INDEX(tblGetStaticData[Ticker],MATCH(tblCalculation[[#This Row],[ISIN]],tblGetStaticData[ISIN],0))))</f>
        <v>EOANGR</v>
      </c>
      <c r="I106" s="7" t="str">
        <f>IF(tblBOneExport[[#This Row],[INSTRUMENT_TYPE]]="Forward Contract","Forward Contract",tblBOneExport[LEVEL2])</f>
        <v>Corporates</v>
      </c>
      <c r="J106" s="7" t="str">
        <f>IF(tblBOneExport[[#This Row],[INSTRUMENT_TYPE]]="Forward Contract","Forward Contract",tblBOneExport[[#This Row],[LEVEL3]])</f>
        <v>Utilities</v>
      </c>
      <c r="K106" s="7" t="str">
        <f>INDEX(tblLvl2Mapping[],MATCH(tblCalculation[[#This Row],[B1Level2]]&amp;"_"&amp;tblCalculation[[#This Row],[B1Level3]],tblLvl2Mapping[B1Level2_B1Level3],0),2)</f>
        <v>Corporate</v>
      </c>
      <c r="L106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06" s="7">
        <f>INDEX(tblAttributable[],MATCH(tblCalculation[[#This Row],[Level3]],tblAttributable[Level3],0),2)</f>
        <v>1</v>
      </c>
      <c r="N106" s="16">
        <f>tblBOneExport[[#This Row],[PTF_WEIGHT]]</f>
        <v>3.7317987E-3</v>
      </c>
      <c r="O106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8.138549952440044E-2</v>
      </c>
      <c r="P106" s="48">
        <f>tblCalculation[[#This Row],[PtfDTS]]/SUM(tblCalculation[PtfDTS])</f>
        <v>9.8698052779355033E-3</v>
      </c>
      <c r="Q106" s="16">
        <f>tblBOneExport[[#This Row],[PTF_CONTRIBUTION]]</f>
        <v>7.9350899999999999E-5</v>
      </c>
      <c r="R106" s="16">
        <f>tblCalculation[[#This Row],[PtfContributionBase]]-tblCalculation[[#This Row],[PtfCurrencyReturn]]</f>
        <v>7.9350899999999999E-5</v>
      </c>
      <c r="S106" s="16">
        <f>IF(tblBOneExport[[#This Row],[LEVEL1]]="Bonds",tblBOneExport[[#This Row],[PTF_GOV_CARRY]],"")</f>
        <v>5.2495000000000003E-6</v>
      </c>
      <c r="T106" s="16">
        <f>tblCalculation[[#This Row],[FIAttributable]]*tblBOneExport[[#This Row],[PTF_CREDIT_CARRY]]</f>
        <v>4.3999E-6</v>
      </c>
      <c r="U106" s="16">
        <f>tblCalculation[[#This Row],[FIAttributable]]*tblBOneExport[[#This Row],[PTF_TOTAL_CURVE]]</f>
        <v>5.0211599999999999E-5</v>
      </c>
      <c r="V106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1.32945E-5</v>
      </c>
      <c r="W106" s="16">
        <f>IF(AND(tblCalculation[[#This Row],[Level3]]="Forward Contracts",tblBOneExport[[#This Row],[PTF_COST_OF_CARRY]]=0),tblBOneExport[[#This Row],[PTF_VALUATION]],0)</f>
        <v>0</v>
      </c>
      <c r="X106" s="16">
        <f>SUM(tblCalculation[[#This Row],[PtfTrading]:[PtfModelRes]])</f>
        <v>6.1954E-6</v>
      </c>
      <c r="Y106" s="16">
        <f>tblCalculation[[#This Row],[FIAttributable]]*tblBOneExport[[#This Row],[PTF_TRADING]]</f>
        <v>0</v>
      </c>
      <c r="Z106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06" s="16">
        <f>tblCalculation[[#This Row],[FIAttributable]]*tblBOneExport[[#This Row],[PTF_MODEL_RESIDUAL]]-PTF_Credit_Adj*tblCalculation[[#This Row],[PtfDTSWeight]]</f>
        <v>6.1954E-6</v>
      </c>
      <c r="AB106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06" s="16">
        <f>tblBOneExport[[#This Row],[BMK_WEIGHT]]</f>
        <v>0</v>
      </c>
      <c r="AD106" s="78">
        <f>tblCalculation[[#This Row],[FIAttributable]]*SUMIFS(tblDTS[DTSContribution_BM],tblDTS[ISIN],tblCalculation[[#This Row],[ISIN]])</f>
        <v>0.10741787203891669</v>
      </c>
      <c r="AE106" s="16">
        <f>IF(SUM(tblCalculation[BMKDTS])=0,0,tblCalculation[[#This Row],[BMKDTS]]/SUM(tblCalculation[BMKDTS]))</f>
        <v>1.2766644283371622E-2</v>
      </c>
      <c r="AF106" s="16">
        <f>tblBOneExport[[#This Row],[BMK_CONTRIBUTION]]</f>
        <v>0</v>
      </c>
      <c r="AG106" s="16">
        <f>tblCalculation[[#This Row],[BMKContributionBase]]-tblBOneExport[BMK_SPOT_CCY_RETURN]-tblBOneExport[[#This Row],[BMK_CROSS_EFFECT]]</f>
        <v>0</v>
      </c>
      <c r="AH106" s="16">
        <f>tblCalculation[[#This Row],[FIAttributable]]*(tblBOneExport[[#This Row],[BMK_RETURN_GOV_CARRY]])</f>
        <v>0</v>
      </c>
      <c r="AI106" s="16">
        <f>tblCalculation[[#This Row],[FIAttributable]]*tblBOneExport[[#This Row],[BMK_CREDIT_CARRY]]</f>
        <v>0</v>
      </c>
      <c r="AJ106" s="16">
        <f>tblCalculation[[#This Row],[FIAttributable]]*tblBOneExport[[#This Row],[BMK_TOTAL_CURVE]]</f>
        <v>0</v>
      </c>
      <c r="AK106" s="16">
        <f>tblCalculation[[#This Row],[FIAttributable]]*(tblBOneExport[[#This Row],[BMK_TOTAL_SPREAD]]+BMK_Credit_Adj*tblCalculation[[#This Row],[BmkDTSWeight]])</f>
        <v>0</v>
      </c>
      <c r="AL106" s="16">
        <f>tblCalculation[[#This Row],[FIAttributable]]*tblBOneExport[[#This Row],[BMK_MODEL_RESIDUAL]]-BMK_Credit_Adj*tblCalculation[[#This Row],[BmkDTSWeight]]</f>
        <v>0</v>
      </c>
      <c r="AM106" s="16">
        <f>IF(tblCalculation[[#This Row],[Level3]]="Forward Contracts",tblCalculation[[#This Row],[BMKContributionLocal]],0)</f>
        <v>0</v>
      </c>
      <c r="AN106" s="16">
        <f>tblBOneExport[[#This Row],[BMK_SPOT_CCY_RETURN]]+tblBOneExport[[#This Row],[BMK_CROSS_EFFECT]]</f>
        <v>0</v>
      </c>
    </row>
    <row r="107" spans="5:40" x14ac:dyDescent="0.25">
      <c r="E107" s="7" t="str">
        <f>tblBOneExport[[#This Row],[INSTRUMENT_CODE]]</f>
        <v>S00726502</v>
      </c>
      <c r="F107" s="7" t="str">
        <f>tblBOneExport[[#This Row],[INSTRUMENT]]</f>
        <v>SOUTHERN WATER 6.125 31/03/19 EMTN</v>
      </c>
      <c r="G107" s="7" t="str">
        <f>IF(tblBOneExport[[#This Row],[ISIN]]&lt;&gt;"", tblBOneExport[[#This Row],[ISIN]],"")</f>
        <v>XS0415065399</v>
      </c>
      <c r="H107" s="7" t="str">
        <f>IF(tblCalculation[[#This Row],[B1Level2]]="CDS",tblBOneExport[[#This Row],[B1_TICKER]],IF(tblCalculation[[#This Row],[ISIN]]="","",INDEX(tblGetStaticData[Ticker],MATCH(tblCalculation[[#This Row],[ISIN]],tblGetStaticData[ISIN],0))))</f>
        <v>SWSFIN</v>
      </c>
      <c r="I107" s="7" t="str">
        <f>IF(tblBOneExport[[#This Row],[INSTRUMENT_TYPE]]="Forward Contract","Forward Contract",tblBOneExport[LEVEL2])</f>
        <v>Corporates</v>
      </c>
      <c r="J107" s="7" t="str">
        <f>IF(tblBOneExport[[#This Row],[INSTRUMENT_TYPE]]="Forward Contract","Forward Contract",tblBOneExport[[#This Row],[LEVEL3]])</f>
        <v>Utilities</v>
      </c>
      <c r="K107" s="7" t="str">
        <f>INDEX(tblLvl2Mapping[],MATCH(tblCalculation[[#This Row],[B1Level2]]&amp;"_"&amp;tblCalculation[[#This Row],[B1Level3]],tblLvl2Mapping[B1Level2_B1Level3],0),2)</f>
        <v>Corporate</v>
      </c>
      <c r="L107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07" s="7">
        <f>INDEX(tblAttributable[],MATCH(tblCalculation[[#This Row],[Level3]],tblAttributable[Level3],0),2)</f>
        <v>1</v>
      </c>
      <c r="N107" s="16">
        <f>tblBOneExport[[#This Row],[PTF_WEIGHT]]</f>
        <v>7.6739910000000002E-4</v>
      </c>
      <c r="O107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6.6059144764145285E-4</v>
      </c>
      <c r="P107" s="48">
        <f>tblCalculation[[#This Row],[PtfDTS]]/SUM(tblCalculation[PtfDTS])</f>
        <v>8.0111432559751167E-5</v>
      </c>
      <c r="Q107" s="16">
        <f>tblBOneExport[[#This Row],[PTF_CONTRIBUTION]]</f>
        <v>1.8434E-6</v>
      </c>
      <c r="R107" s="16">
        <f>tblCalculation[[#This Row],[PtfContributionBase]]-tblCalculation[[#This Row],[PtfCurrencyReturn]]</f>
        <v>1.8434E-6</v>
      </c>
      <c r="S107" s="16">
        <f>IF(tblBOneExport[[#This Row],[LEVEL1]]="Bonds",tblBOneExport[[#This Row],[PTF_GOV_CARRY]],"")</f>
        <v>1.388E-7</v>
      </c>
      <c r="T107" s="16">
        <f>tblCalculation[[#This Row],[FIAttributable]]*tblBOneExport[[#This Row],[PTF_CREDIT_CARRY]]</f>
        <v>5.0360000000000004E-7</v>
      </c>
      <c r="U107" s="16">
        <f>tblCalculation[[#This Row],[FIAttributable]]*tblBOneExport[[#This Row],[PTF_TOTAL_CURVE]]</f>
        <v>1.3833E-6</v>
      </c>
      <c r="V107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-1.5739999999999999E-7</v>
      </c>
      <c r="W107" s="16">
        <f>IF(AND(tblCalculation[[#This Row],[Level3]]="Forward Contracts",tblBOneExport[[#This Row],[PTF_COST_OF_CARRY]]=0),tblBOneExport[[#This Row],[PTF_VALUATION]],0)</f>
        <v>0</v>
      </c>
      <c r="X107" s="16">
        <f>SUM(tblCalculation[[#This Row],[PtfTrading]:[PtfModelRes]])</f>
        <v>-2.4699999999999999E-8</v>
      </c>
      <c r="Y107" s="16">
        <f>tblCalculation[[#This Row],[FIAttributable]]*tblBOneExport[[#This Row],[PTF_TRADING]]</f>
        <v>0</v>
      </c>
      <c r="Z107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07" s="16">
        <f>tblCalculation[[#This Row],[FIAttributable]]*tblBOneExport[[#This Row],[PTF_MODEL_RESIDUAL]]-PTF_Credit_Adj*tblCalculation[[#This Row],[PtfDTSWeight]]</f>
        <v>-2.4699999999999999E-8</v>
      </c>
      <c r="AB107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07" s="16">
        <f>tblBOneExport[[#This Row],[BMK_WEIGHT]]</f>
        <v>0</v>
      </c>
      <c r="AD107" s="78">
        <f>tblCalculation[[#This Row],[FIAttributable]]*SUMIFS(tblDTS[DTSContribution_BM],tblDTS[ISIN],tblCalculation[[#This Row],[ISIN]])</f>
        <v>8.7203701960072337E-4</v>
      </c>
      <c r="AE107" s="16">
        <f>IF(SUM(tblCalculation[BMKDTS])=0,0,tblCalculation[[#This Row],[BMKDTS]]/SUM(tblCalculation[BMKDTS]))</f>
        <v>1.0364184487978504E-4</v>
      </c>
      <c r="AF107" s="16">
        <f>tblBOneExport[[#This Row],[BMK_CONTRIBUTION]]</f>
        <v>0</v>
      </c>
      <c r="AG107" s="16">
        <f>tblCalculation[[#This Row],[BMKContributionBase]]-tblBOneExport[BMK_SPOT_CCY_RETURN]-tblBOneExport[[#This Row],[BMK_CROSS_EFFECT]]</f>
        <v>0</v>
      </c>
      <c r="AH107" s="16">
        <f>tblCalculation[[#This Row],[FIAttributable]]*(tblBOneExport[[#This Row],[BMK_RETURN_GOV_CARRY]])</f>
        <v>0</v>
      </c>
      <c r="AI107" s="16">
        <f>tblCalculation[[#This Row],[FIAttributable]]*tblBOneExport[[#This Row],[BMK_CREDIT_CARRY]]</f>
        <v>0</v>
      </c>
      <c r="AJ107" s="16">
        <f>tblCalculation[[#This Row],[FIAttributable]]*tblBOneExport[[#This Row],[BMK_TOTAL_CURVE]]</f>
        <v>0</v>
      </c>
      <c r="AK107" s="16">
        <f>tblCalculation[[#This Row],[FIAttributable]]*(tblBOneExport[[#This Row],[BMK_TOTAL_SPREAD]]+BMK_Credit_Adj*tblCalculation[[#This Row],[BmkDTSWeight]])</f>
        <v>0</v>
      </c>
      <c r="AL107" s="16">
        <f>tblCalculation[[#This Row],[FIAttributable]]*tblBOneExport[[#This Row],[BMK_MODEL_RESIDUAL]]-BMK_Credit_Adj*tblCalculation[[#This Row],[BmkDTSWeight]]</f>
        <v>0</v>
      </c>
      <c r="AM107" s="16">
        <f>IF(tblCalculation[[#This Row],[Level3]]="Forward Contracts",tblCalculation[[#This Row],[BMKContributionLocal]],0)</f>
        <v>0</v>
      </c>
      <c r="AN107" s="16">
        <f>tblBOneExport[[#This Row],[BMK_SPOT_CCY_RETURN]]+tblBOneExport[[#This Row],[BMK_CROSS_EFFECT]]</f>
        <v>0</v>
      </c>
    </row>
    <row r="108" spans="5:40" x14ac:dyDescent="0.25">
      <c r="E108" s="7" t="str">
        <f>tblBOneExport[[#This Row],[INSTRUMENT_CODE]]</f>
        <v>S00730248</v>
      </c>
      <c r="F108" s="7" t="str">
        <f>tblBOneExport[[#This Row],[INSTRUMENT]]</f>
        <v>STATOILHYDRO ASA 6.875 11/03/31 EMTN</v>
      </c>
      <c r="G108" s="7" t="str">
        <f>IF(tblBOneExport[[#This Row],[ISIN]]&lt;&gt;"", tblBOneExport[[#This Row],[ISIN]],"")</f>
        <v>XS0416848793</v>
      </c>
      <c r="H108" s="7" t="str">
        <f>IF(tblCalculation[[#This Row],[B1Level2]]="CDS",tblBOneExport[[#This Row],[B1_TICKER]],IF(tblCalculation[[#This Row],[ISIN]]="","",INDEX(tblGetStaticData[Ticker],MATCH(tblCalculation[[#This Row],[ISIN]],tblGetStaticData[ISIN],0))))</f>
        <v>STLNO</v>
      </c>
      <c r="I108" s="7" t="str">
        <f>IF(tblBOneExport[[#This Row],[INSTRUMENT_TYPE]]="Forward Contract","Forward Contract",tblBOneExport[LEVEL2])</f>
        <v>Non-Corporate</v>
      </c>
      <c r="J108" s="7" t="str">
        <f>IF(tblBOneExport[[#This Row],[INSTRUMENT_TYPE]]="Forward Contract","Forward Contract",tblBOneExport[[#This Row],[LEVEL3]])</f>
        <v>Foreign Agency</v>
      </c>
      <c r="K108" s="7" t="str">
        <f>INDEX(tblLvl2Mapping[],MATCH(tblCalculation[[#This Row],[B1Level2]]&amp;"_"&amp;tblCalculation[[#This Row],[B1Level3]],tblLvl2Mapping[B1Level2_B1Level3],0),2)</f>
        <v>Corporate</v>
      </c>
      <c r="L108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08" s="7">
        <f>INDEX(tblAttributable[],MATCH(tblCalculation[[#This Row],[Level3]],tblAttributable[Level3],0),2)</f>
        <v>1</v>
      </c>
      <c r="N108" s="16">
        <f>tblBOneExport[[#This Row],[PTF_WEIGHT]]</f>
        <v>3.6031222999999999E-3</v>
      </c>
      <c r="O108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3.6564158989007285E-2</v>
      </c>
      <c r="P108" s="48">
        <f>tblCalculation[[#This Row],[PtfDTS]]/SUM(tblCalculation[PtfDTS])</f>
        <v>4.4342190129923586E-3</v>
      </c>
      <c r="Q108" s="16">
        <f>tblBOneExport[[#This Row],[PTF_CONTRIBUTION]]</f>
        <v>6.9252300000000001E-5</v>
      </c>
      <c r="R108" s="16">
        <f>tblCalculation[[#This Row],[PtfContributionBase]]-tblCalculation[[#This Row],[PtfCurrencyReturn]]</f>
        <v>6.9252300000000001E-5</v>
      </c>
      <c r="S108" s="16">
        <f>IF(tblBOneExport[[#This Row],[LEVEL1]]="Bonds",tblBOneExport[[#This Row],[PTF_GOV_CARRY]],"")</f>
        <v>4.296E-6</v>
      </c>
      <c r="T108" s="16">
        <f>tblCalculation[[#This Row],[FIAttributable]]*tblBOneExport[[#This Row],[PTF_CREDIT_CARRY]]</f>
        <v>2.7904999999999998E-6</v>
      </c>
      <c r="U108" s="16">
        <f>tblCalculation[[#This Row],[FIAttributable]]*tblBOneExport[[#This Row],[PTF_TOTAL_CURVE]]</f>
        <v>6.5105300000000002E-5</v>
      </c>
      <c r="V108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-3.5646000000000001E-6</v>
      </c>
      <c r="W108" s="16">
        <f>IF(AND(tblCalculation[[#This Row],[Level3]]="Forward Contracts",tblBOneExport[[#This Row],[PTF_COST_OF_CARRY]]=0),tblBOneExport[[#This Row],[PTF_VALUATION]],0)</f>
        <v>0</v>
      </c>
      <c r="X108" s="16">
        <f>SUM(tblCalculation[[#This Row],[PtfTrading]:[PtfModelRes]])</f>
        <v>6.2509999999999995E-7</v>
      </c>
      <c r="Y108" s="16">
        <f>tblCalculation[[#This Row],[FIAttributable]]*tblBOneExport[[#This Row],[PTF_TRADING]]</f>
        <v>0</v>
      </c>
      <c r="Z108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08" s="16">
        <f>tblCalculation[[#This Row],[FIAttributable]]*tblBOneExport[[#This Row],[PTF_MODEL_RESIDUAL]]-PTF_Credit_Adj*tblCalculation[[#This Row],[PtfDTSWeight]]</f>
        <v>6.2509999999999995E-7</v>
      </c>
      <c r="AB108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08" s="16">
        <f>tblBOneExport[[#This Row],[BMK_WEIGHT]]</f>
        <v>0</v>
      </c>
      <c r="AD108" s="78">
        <f>tblCalculation[[#This Row],[FIAttributable]]*SUMIFS(tblDTS[DTSContribution_BM],tblDTS[ISIN],tblCalculation[[#This Row],[ISIN]])</f>
        <v>4.8258432240275491E-2</v>
      </c>
      <c r="AE108" s="16">
        <f>IF(SUM(tblCalculation[BMKDTS])=0,0,tblCalculation[[#This Row],[BMKDTS]]/SUM(tblCalculation[BMKDTS]))</f>
        <v>5.7355282355768698E-3</v>
      </c>
      <c r="AF108" s="16">
        <f>tblBOneExport[[#This Row],[BMK_CONTRIBUTION]]</f>
        <v>0</v>
      </c>
      <c r="AG108" s="16">
        <f>tblCalculation[[#This Row],[BMKContributionBase]]-tblBOneExport[BMK_SPOT_CCY_RETURN]-tblBOneExport[[#This Row],[BMK_CROSS_EFFECT]]</f>
        <v>0</v>
      </c>
      <c r="AH108" s="16">
        <f>tblCalculation[[#This Row],[FIAttributable]]*(tblBOneExport[[#This Row],[BMK_RETURN_GOV_CARRY]])</f>
        <v>0</v>
      </c>
      <c r="AI108" s="16">
        <f>tblCalculation[[#This Row],[FIAttributable]]*tblBOneExport[[#This Row],[BMK_CREDIT_CARRY]]</f>
        <v>0</v>
      </c>
      <c r="AJ108" s="16">
        <f>tblCalculation[[#This Row],[FIAttributable]]*tblBOneExport[[#This Row],[BMK_TOTAL_CURVE]]</f>
        <v>0</v>
      </c>
      <c r="AK108" s="16">
        <f>tblCalculation[[#This Row],[FIAttributable]]*(tblBOneExport[[#This Row],[BMK_TOTAL_SPREAD]]+BMK_Credit_Adj*tblCalculation[[#This Row],[BmkDTSWeight]])</f>
        <v>0</v>
      </c>
      <c r="AL108" s="16">
        <f>tblCalculation[[#This Row],[FIAttributable]]*tblBOneExport[[#This Row],[BMK_MODEL_RESIDUAL]]-BMK_Credit_Adj*tblCalculation[[#This Row],[BmkDTSWeight]]</f>
        <v>0</v>
      </c>
      <c r="AM108" s="16">
        <f>IF(tblCalculation[[#This Row],[Level3]]="Forward Contracts",tblCalculation[[#This Row],[BMKContributionLocal]],0)</f>
        <v>0</v>
      </c>
      <c r="AN108" s="16">
        <f>tblBOneExport[[#This Row],[BMK_SPOT_CCY_RETURN]]+tblBOneExport[[#This Row],[BMK_CROSS_EFFECT]]</f>
        <v>0</v>
      </c>
    </row>
    <row r="109" spans="5:40" x14ac:dyDescent="0.25">
      <c r="E109" s="7" t="str">
        <f>tblBOneExport[[#This Row],[INSTRUMENT_CODE]]</f>
        <v>S00739383</v>
      </c>
      <c r="F109" s="7" t="str">
        <f>tblBOneExport[[#This Row],[INSTRUMENT]]</f>
        <v>VATTENFALL AB 6.875 15/04/39 EMTN</v>
      </c>
      <c r="G109" s="7" t="str">
        <f>IF(tblBOneExport[[#This Row],[ISIN]]&lt;&gt;"", tblBOneExport[[#This Row],[ISIN]],"")</f>
        <v>XS0422688019</v>
      </c>
      <c r="H109" s="7" t="str">
        <f>IF(tblCalculation[[#This Row],[B1Level2]]="CDS",tblBOneExport[[#This Row],[B1_TICKER]],IF(tblCalculation[[#This Row],[ISIN]]="","",INDEX(tblGetStaticData[Ticker],MATCH(tblCalculation[[#This Row],[ISIN]],tblGetStaticData[ISIN],0))))</f>
        <v>VATFAL</v>
      </c>
      <c r="I109" s="7" t="str">
        <f>IF(tblBOneExport[[#This Row],[INSTRUMENT_TYPE]]="Forward Contract","Forward Contract",tblBOneExport[LEVEL2])</f>
        <v>Non-Corporate</v>
      </c>
      <c r="J109" s="7" t="str">
        <f>IF(tblBOneExport[[#This Row],[INSTRUMENT_TYPE]]="Forward Contract","Forward Contract",tblBOneExport[[#This Row],[LEVEL3]])</f>
        <v>Foreign Agency</v>
      </c>
      <c r="K109" s="7" t="str">
        <f>INDEX(tblLvl2Mapping[],MATCH(tblCalculation[[#This Row],[B1Level2]]&amp;"_"&amp;tblCalculation[[#This Row],[B1Level3]],tblLvl2Mapping[B1Level2_B1Level3],0),2)</f>
        <v>Corporate</v>
      </c>
      <c r="L109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09" s="7">
        <f>INDEX(tblAttributable[],MATCH(tblCalculation[[#This Row],[Level3]],tblAttributable[Level3],0),2)</f>
        <v>1</v>
      </c>
      <c r="N109" s="16">
        <f>tblBOneExport[[#This Row],[PTF_WEIGHT]]</f>
        <v>3.8102996999999999E-3</v>
      </c>
      <c r="O109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7.9041924037434541E-2</v>
      </c>
      <c r="P109" s="48">
        <f>tblCalculation[[#This Row],[PtfDTS]]/SUM(tblCalculation[PtfDTS])</f>
        <v>9.58559452975964E-3</v>
      </c>
      <c r="Q109" s="16">
        <f>tblBOneExport[[#This Row],[PTF_CONTRIBUTION]]</f>
        <v>9.6884000000000003E-5</v>
      </c>
      <c r="R109" s="16">
        <f>tblCalculation[[#This Row],[PtfContributionBase]]-tblCalculation[[#This Row],[PtfCurrencyReturn]]</f>
        <v>9.6884000000000003E-5</v>
      </c>
      <c r="S109" s="16">
        <f>IF(tblBOneExport[[#This Row],[LEVEL1]]="Bonds",tblBOneExport[[#This Row],[PTF_GOV_CARRY]],"")</f>
        <v>5.3811E-6</v>
      </c>
      <c r="T109" s="16">
        <f>tblCalculation[[#This Row],[FIAttributable]]*tblBOneExport[[#This Row],[PTF_CREDIT_CARRY]]</f>
        <v>4.1385000000000003E-6</v>
      </c>
      <c r="U109" s="16">
        <f>tblCalculation[[#This Row],[FIAttributable]]*tblBOneExport[[#This Row],[PTF_TOTAL_CURVE]]</f>
        <v>5.3882799999999998E-5</v>
      </c>
      <c r="V109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2.9476500000000001E-5</v>
      </c>
      <c r="W109" s="16">
        <f>IF(AND(tblCalculation[[#This Row],[Level3]]="Forward Contracts",tblBOneExport[[#This Row],[PTF_COST_OF_CARRY]]=0),tblBOneExport[[#This Row],[PTF_VALUATION]],0)</f>
        <v>0</v>
      </c>
      <c r="X109" s="16">
        <f>SUM(tblCalculation[[#This Row],[PtfTrading]:[PtfModelRes]])</f>
        <v>4.0051E-6</v>
      </c>
      <c r="Y109" s="16">
        <f>tblCalculation[[#This Row],[FIAttributable]]*tblBOneExport[[#This Row],[PTF_TRADING]]</f>
        <v>0</v>
      </c>
      <c r="Z109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09" s="16">
        <f>tblCalculation[[#This Row],[FIAttributable]]*tblBOneExport[[#This Row],[PTF_MODEL_RESIDUAL]]-PTF_Credit_Adj*tblCalculation[[#This Row],[PtfDTSWeight]]</f>
        <v>4.0051E-6</v>
      </c>
      <c r="AB109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09" s="16">
        <f>tblBOneExport[[#This Row],[BMK_WEIGHT]]</f>
        <v>0</v>
      </c>
      <c r="AD109" s="78">
        <f>tblCalculation[[#This Row],[FIAttributable]]*SUMIFS(tblDTS[DTSContribution_BM],tblDTS[ISIN],tblCalculation[[#This Row],[ISIN]])</f>
        <v>0.10432977658926799</v>
      </c>
      <c r="AE109" s="16">
        <f>IF(SUM(tblCalculation[BMKDTS])=0,0,tblCalculation[[#This Row],[BMKDTS]]/SUM(tblCalculation[BMKDTS]))</f>
        <v>1.239962327122124E-2</v>
      </c>
      <c r="AF109" s="16">
        <f>tblBOneExport[[#This Row],[BMK_CONTRIBUTION]]</f>
        <v>0</v>
      </c>
      <c r="AG109" s="16">
        <f>tblCalculation[[#This Row],[BMKContributionBase]]-tblBOneExport[BMK_SPOT_CCY_RETURN]-tblBOneExport[[#This Row],[BMK_CROSS_EFFECT]]</f>
        <v>0</v>
      </c>
      <c r="AH109" s="16">
        <f>tblCalculation[[#This Row],[FIAttributable]]*(tblBOneExport[[#This Row],[BMK_RETURN_GOV_CARRY]])</f>
        <v>0</v>
      </c>
      <c r="AI109" s="16">
        <f>tblCalculation[[#This Row],[FIAttributable]]*tblBOneExport[[#This Row],[BMK_CREDIT_CARRY]]</f>
        <v>0</v>
      </c>
      <c r="AJ109" s="16">
        <f>tblCalculation[[#This Row],[FIAttributable]]*tblBOneExport[[#This Row],[BMK_TOTAL_CURVE]]</f>
        <v>0</v>
      </c>
      <c r="AK109" s="16">
        <f>tblCalculation[[#This Row],[FIAttributable]]*(tblBOneExport[[#This Row],[BMK_TOTAL_SPREAD]]+BMK_Credit_Adj*tblCalculation[[#This Row],[BmkDTSWeight]])</f>
        <v>0</v>
      </c>
      <c r="AL109" s="16">
        <f>tblCalculation[[#This Row],[FIAttributable]]*tblBOneExport[[#This Row],[BMK_MODEL_RESIDUAL]]-BMK_Credit_Adj*tblCalculation[[#This Row],[BmkDTSWeight]]</f>
        <v>0</v>
      </c>
      <c r="AM109" s="16">
        <f>IF(tblCalculation[[#This Row],[Level3]]="Forward Contracts",tblCalculation[[#This Row],[BMKContributionLocal]],0)</f>
        <v>0</v>
      </c>
      <c r="AN109" s="16">
        <f>tblBOneExport[[#This Row],[BMK_SPOT_CCY_RETURN]]+tblBOneExport[[#This Row],[BMK_CROSS_EFFECT]]</f>
        <v>0</v>
      </c>
    </row>
    <row r="110" spans="5:40" x14ac:dyDescent="0.25">
      <c r="E110" s="7" t="str">
        <f>tblBOneExport[[#This Row],[INSTRUMENT_CODE]]</f>
        <v>S00739838</v>
      </c>
      <c r="F110" s="7" t="str">
        <f>tblBOneExport[[#This Row],[INSTRUMENT]]</f>
        <v>DEUTSCHE TEL FIN 6.5 08/04/22 EMTN</v>
      </c>
      <c r="G110" s="7" t="str">
        <f>IF(tblBOneExport[[#This Row],[ISIN]]&lt;&gt;"", tblBOneExport[[#This Row],[ISIN]],"")</f>
        <v>XS0423048247</v>
      </c>
      <c r="H110" s="7" t="str">
        <f>IF(tblCalculation[[#This Row],[B1Level2]]="CDS",tblBOneExport[[#This Row],[B1_TICKER]],IF(tblCalculation[[#This Row],[ISIN]]="","",INDEX(tblGetStaticData[Ticker],MATCH(tblCalculation[[#This Row],[ISIN]],tblGetStaticData[ISIN],0))))</f>
        <v>DT</v>
      </c>
      <c r="I110" s="7" t="str">
        <f>IF(tblBOneExport[[#This Row],[INSTRUMENT_TYPE]]="Forward Contract","Forward Contract",tblBOneExport[LEVEL2])</f>
        <v>Corporates</v>
      </c>
      <c r="J110" s="7" t="str">
        <f>IF(tblBOneExport[[#This Row],[INSTRUMENT_TYPE]]="Forward Contract","Forward Contract",tblBOneExport[[#This Row],[LEVEL3]])</f>
        <v>Industrials</v>
      </c>
      <c r="K110" s="7" t="str">
        <f>INDEX(tblLvl2Mapping[],MATCH(tblCalculation[[#This Row],[B1Level2]]&amp;"_"&amp;tblCalculation[[#This Row],[B1Level3]],tblLvl2Mapping[B1Level2_B1Level3],0),2)</f>
        <v>Corporate</v>
      </c>
      <c r="L110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10" s="7">
        <f>INDEX(tblAttributable[],MATCH(tblCalculation[[#This Row],[Level3]],tblAttributable[Level3],0),2)</f>
        <v>1</v>
      </c>
      <c r="N110" s="16">
        <f>tblBOneExport[[#This Row],[PTF_WEIGHT]]</f>
        <v>2.1837611999999998E-3</v>
      </c>
      <c r="O110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4.4208299965890754E-3</v>
      </c>
      <c r="P110" s="48">
        <f>tblCalculation[[#This Row],[PtfDTS]]/SUM(tblCalculation[PtfDTS])</f>
        <v>5.3612414359033073E-4</v>
      </c>
      <c r="Q110" s="16">
        <f>tblBOneExport[[#This Row],[PTF_CONTRIBUTION]]</f>
        <v>1.47326E-5</v>
      </c>
      <c r="R110" s="16">
        <f>tblCalculation[[#This Row],[PtfContributionBase]]-tblCalculation[[#This Row],[PtfCurrencyReturn]]</f>
        <v>1.47326E-5</v>
      </c>
      <c r="S110" s="16">
        <f>IF(tblBOneExport[[#This Row],[LEVEL1]]="Bonds",tblBOneExport[[#This Row],[PTF_GOV_CARRY]],"")</f>
        <v>7.9739999999999998E-7</v>
      </c>
      <c r="T110" s="16">
        <f>tblCalculation[[#This Row],[FIAttributable]]*tblBOneExport[[#This Row],[PTF_CREDIT_CARRY]]</f>
        <v>1.5484000000000001E-6</v>
      </c>
      <c r="U110" s="16">
        <f>tblCalculation[[#This Row],[FIAttributable]]*tblBOneExport[[#This Row],[PTF_TOTAL_CURVE]]</f>
        <v>1.4156599999999999E-5</v>
      </c>
      <c r="V110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-2.0772000000000002E-6</v>
      </c>
      <c r="W110" s="16">
        <f>IF(AND(tblCalculation[[#This Row],[Level3]]="Forward Contracts",tblBOneExport[[#This Row],[PTF_COST_OF_CARRY]]=0),tblBOneExport[[#This Row],[PTF_VALUATION]],0)</f>
        <v>0</v>
      </c>
      <c r="X110" s="16">
        <f>SUM(tblCalculation[[#This Row],[PtfTrading]:[PtfModelRes]])</f>
        <v>3.0750000000000002E-7</v>
      </c>
      <c r="Y110" s="16">
        <f>tblCalculation[[#This Row],[FIAttributable]]*tblBOneExport[[#This Row],[PTF_TRADING]]</f>
        <v>0</v>
      </c>
      <c r="Z110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10" s="16">
        <f>tblCalculation[[#This Row],[FIAttributable]]*tblBOneExport[[#This Row],[PTF_MODEL_RESIDUAL]]-PTF_Credit_Adj*tblCalculation[[#This Row],[PtfDTSWeight]]</f>
        <v>3.0750000000000002E-7</v>
      </c>
      <c r="AB110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10" s="16">
        <f>tblBOneExport[[#This Row],[BMK_WEIGHT]]</f>
        <v>0</v>
      </c>
      <c r="AD110" s="78">
        <f>tblCalculation[[#This Row],[FIAttributable]]*SUMIFS(tblDTS[DTSContribution_BM],tblDTS[ISIN],tblCalculation[[#This Row],[ISIN]])</f>
        <v>5.8346643584287847E-3</v>
      </c>
      <c r="AE110" s="16">
        <f>IF(SUM(tblCalculation[BMKDTS])=0,0,tblCalculation[[#This Row],[BMKDTS]]/SUM(tblCalculation[BMKDTS]))</f>
        <v>6.9345149892692114E-4</v>
      </c>
      <c r="AF110" s="16">
        <f>tblBOneExport[[#This Row],[BMK_CONTRIBUTION]]</f>
        <v>0</v>
      </c>
      <c r="AG110" s="16">
        <f>tblCalculation[[#This Row],[BMKContributionBase]]-tblBOneExport[BMK_SPOT_CCY_RETURN]-tblBOneExport[[#This Row],[BMK_CROSS_EFFECT]]</f>
        <v>0</v>
      </c>
      <c r="AH110" s="16">
        <f>tblCalculation[[#This Row],[FIAttributable]]*(tblBOneExport[[#This Row],[BMK_RETURN_GOV_CARRY]])</f>
        <v>0</v>
      </c>
      <c r="AI110" s="16">
        <f>tblCalculation[[#This Row],[FIAttributable]]*tblBOneExport[[#This Row],[BMK_CREDIT_CARRY]]</f>
        <v>0</v>
      </c>
      <c r="AJ110" s="16">
        <f>tblCalculation[[#This Row],[FIAttributable]]*tblBOneExport[[#This Row],[BMK_TOTAL_CURVE]]</f>
        <v>0</v>
      </c>
      <c r="AK110" s="16">
        <f>tblCalculation[[#This Row],[FIAttributable]]*(tblBOneExport[[#This Row],[BMK_TOTAL_SPREAD]]+BMK_Credit_Adj*tblCalculation[[#This Row],[BmkDTSWeight]])</f>
        <v>0</v>
      </c>
      <c r="AL110" s="16">
        <f>tblCalculation[[#This Row],[FIAttributable]]*tblBOneExport[[#This Row],[BMK_MODEL_RESIDUAL]]-BMK_Credit_Adj*tblCalculation[[#This Row],[BmkDTSWeight]]</f>
        <v>0</v>
      </c>
      <c r="AM110" s="16">
        <f>IF(tblCalculation[[#This Row],[Level3]]="Forward Contracts",tblCalculation[[#This Row],[BMKContributionLocal]],0)</f>
        <v>0</v>
      </c>
      <c r="AN110" s="16">
        <f>tblBOneExport[[#This Row],[BMK_SPOT_CCY_RETURN]]+tblBOneExport[[#This Row],[BMK_CROSS_EFFECT]]</f>
        <v>0</v>
      </c>
    </row>
    <row r="111" spans="5:40" x14ac:dyDescent="0.25">
      <c r="E111" s="7" t="str">
        <f>tblBOneExport[[#This Row],[INSTRUMENT_CODE]]</f>
        <v>S00752448</v>
      </c>
      <c r="F111" s="7" t="str">
        <f>tblBOneExport[[#This Row],[INSTRUMENT]]</f>
        <v>ROLLS ROYCE PLC 6.75 30/04/19 EMTN</v>
      </c>
      <c r="G111" s="7" t="str">
        <f>IF(tblBOneExport[[#This Row],[ISIN]]&lt;&gt;"", tblBOneExport[[#This Row],[ISIN]],"")</f>
        <v>XS0426014899</v>
      </c>
      <c r="H111" s="7" t="str">
        <f>IF(tblCalculation[[#This Row],[B1Level2]]="CDS",tblBOneExport[[#This Row],[B1_TICKER]],IF(tblCalculation[[#This Row],[ISIN]]="","",INDEX(tblGetStaticData[Ticker],MATCH(tblCalculation[[#This Row],[ISIN]],tblGetStaticData[ISIN],0))))</f>
        <v>ROLLS</v>
      </c>
      <c r="I111" s="7" t="str">
        <f>IF(tblBOneExport[[#This Row],[INSTRUMENT_TYPE]]="Forward Contract","Forward Contract",tblBOneExport[LEVEL2])</f>
        <v>Corporates</v>
      </c>
      <c r="J111" s="7" t="str">
        <f>IF(tblBOneExport[[#This Row],[INSTRUMENT_TYPE]]="Forward Contract","Forward Contract",tblBOneExport[[#This Row],[LEVEL3]])</f>
        <v>Industrials</v>
      </c>
      <c r="K111" s="7" t="str">
        <f>INDEX(tblLvl2Mapping[],MATCH(tblCalculation[[#This Row],[B1Level2]]&amp;"_"&amp;tblCalculation[[#This Row],[B1Level3]],tblLvl2Mapping[B1Level2_B1Level3],0),2)</f>
        <v>Corporate</v>
      </c>
      <c r="L111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11" s="7">
        <f>INDEX(tblAttributable[],MATCH(tblCalculation[[#This Row],[Level3]],tblAttributable[Level3],0),2)</f>
        <v>1</v>
      </c>
      <c r="N111" s="16">
        <f>tblBOneExport[[#This Row],[PTF_WEIGHT]]</f>
        <v>4.0740430999999999E-3</v>
      </c>
      <c r="O111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2.8842034170456594E-3</v>
      </c>
      <c r="P111" s="48">
        <f>tblCalculation[[#This Row],[PtfDTS]]/SUM(tblCalculation[PtfDTS])</f>
        <v>3.4977393116156062E-4</v>
      </c>
      <c r="Q111" s="16">
        <f>tblBOneExport[[#This Row],[PTF_CONTRIBUTION]]</f>
        <v>1.0203900000000001E-5</v>
      </c>
      <c r="R111" s="16">
        <f>tblCalculation[[#This Row],[PtfContributionBase]]-tblCalculation[[#This Row],[PtfCurrencyReturn]]</f>
        <v>1.0203900000000001E-5</v>
      </c>
      <c r="S111" s="16">
        <f>IF(tblBOneExport[[#This Row],[LEVEL1]]="Bonds",tblBOneExport[[#This Row],[PTF_GOV_CARRY]],"")</f>
        <v>7.3659999999999997E-7</v>
      </c>
      <c r="T111" s="16">
        <f>tblCalculation[[#This Row],[FIAttributable]]*tblBOneExport[[#This Row],[PTF_CREDIT_CARRY]]</f>
        <v>2.3447000000000002E-6</v>
      </c>
      <c r="U111" s="16">
        <f>tblCalculation[[#This Row],[FIAttributable]]*tblBOneExport[[#This Row],[PTF_TOTAL_CURVE]]</f>
        <v>7.3978999999999999E-6</v>
      </c>
      <c r="V111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8.0019999999999998E-7</v>
      </c>
      <c r="W111" s="16">
        <f>IF(AND(tblCalculation[[#This Row],[Level3]]="Forward Contracts",tblBOneExport[[#This Row],[PTF_COST_OF_CARRY]]=0),tblBOneExport[[#This Row],[PTF_VALUATION]],0)</f>
        <v>0</v>
      </c>
      <c r="X111" s="16">
        <f>SUM(tblCalculation[[#This Row],[PtfTrading]:[PtfModelRes]])</f>
        <v>-1.0754999999999999E-6</v>
      </c>
      <c r="Y111" s="16">
        <f>tblCalculation[[#This Row],[FIAttributable]]*tblBOneExport[[#This Row],[PTF_TRADING]]</f>
        <v>0</v>
      </c>
      <c r="Z111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11" s="16">
        <f>tblCalculation[[#This Row],[FIAttributable]]*tblBOneExport[[#This Row],[PTF_MODEL_RESIDUAL]]-PTF_Credit_Adj*tblCalculation[[#This Row],[PtfDTSWeight]]</f>
        <v>-1.0754999999999999E-6</v>
      </c>
      <c r="AB111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11" s="16">
        <f>tblBOneExport[[#This Row],[BMK_WEIGHT]]</f>
        <v>0</v>
      </c>
      <c r="AD111" s="78">
        <f>tblCalculation[[#This Row],[FIAttributable]]*SUMIFS(tblDTS[DTSContribution_BM],tblDTS[ISIN],tblCalculation[[#This Row],[ISIN]])</f>
        <v>3.8065303225428594E-3</v>
      </c>
      <c r="AE111" s="16">
        <f>IF(SUM(tblCalculation[BMKDTS])=0,0,tblCalculation[[#This Row],[BMKDTS]]/SUM(tblCalculation[BMKDTS]))</f>
        <v>4.524071987217019E-4</v>
      </c>
      <c r="AF111" s="16">
        <f>tblBOneExport[[#This Row],[BMK_CONTRIBUTION]]</f>
        <v>0</v>
      </c>
      <c r="AG111" s="16">
        <f>tblCalculation[[#This Row],[BMKContributionBase]]-tblBOneExport[BMK_SPOT_CCY_RETURN]-tblBOneExport[[#This Row],[BMK_CROSS_EFFECT]]</f>
        <v>0</v>
      </c>
      <c r="AH111" s="16">
        <f>tblCalculation[[#This Row],[FIAttributable]]*(tblBOneExport[[#This Row],[BMK_RETURN_GOV_CARRY]])</f>
        <v>0</v>
      </c>
      <c r="AI111" s="16">
        <f>tblCalculation[[#This Row],[FIAttributable]]*tblBOneExport[[#This Row],[BMK_CREDIT_CARRY]]</f>
        <v>0</v>
      </c>
      <c r="AJ111" s="16">
        <f>tblCalculation[[#This Row],[FIAttributable]]*tblBOneExport[[#This Row],[BMK_TOTAL_CURVE]]</f>
        <v>0</v>
      </c>
      <c r="AK111" s="16">
        <f>tblCalculation[[#This Row],[FIAttributable]]*(tblBOneExport[[#This Row],[BMK_TOTAL_SPREAD]]+BMK_Credit_Adj*tblCalculation[[#This Row],[BmkDTSWeight]])</f>
        <v>0</v>
      </c>
      <c r="AL111" s="16">
        <f>tblCalculation[[#This Row],[FIAttributable]]*tblBOneExport[[#This Row],[BMK_MODEL_RESIDUAL]]-BMK_Credit_Adj*tblCalculation[[#This Row],[BmkDTSWeight]]</f>
        <v>0</v>
      </c>
      <c r="AM111" s="16">
        <f>IF(tblCalculation[[#This Row],[Level3]]="Forward Contracts",tblCalculation[[#This Row],[BMKContributionLocal]],0)</f>
        <v>0</v>
      </c>
      <c r="AN111" s="16">
        <f>tblBOneExport[[#This Row],[BMK_SPOT_CCY_RETURN]]+tblBOneExport[[#This Row],[BMK_CROSS_EFFECT]]</f>
        <v>0</v>
      </c>
    </row>
    <row r="112" spans="5:40" x14ac:dyDescent="0.25">
      <c r="E112" s="7" t="str">
        <f>tblBOneExport[[#This Row],[INSTRUMENT_CODE]]</f>
        <v>S00750431</v>
      </c>
      <c r="F112" s="7" t="str">
        <f>tblBOneExport[[#This Row],[INSTRUMENT]]</f>
        <v>AT&amp;T INC 7 30/04/40 EMTN</v>
      </c>
      <c r="G112" s="7" t="str">
        <f>IF(tblBOneExport[[#This Row],[ISIN]]&lt;&gt;"", tblBOneExport[[#This Row],[ISIN]],"")</f>
        <v>XS0426513387</v>
      </c>
      <c r="H112" s="7" t="str">
        <f>IF(tblCalculation[[#This Row],[B1Level2]]="CDS",tblBOneExport[[#This Row],[B1_TICKER]],IF(tblCalculation[[#This Row],[ISIN]]="","",INDEX(tblGetStaticData[Ticker],MATCH(tblCalculation[[#This Row],[ISIN]],tblGetStaticData[ISIN],0))))</f>
        <v>T</v>
      </c>
      <c r="I112" s="7" t="str">
        <f>IF(tblBOneExport[[#This Row],[INSTRUMENT_TYPE]]="Forward Contract","Forward Contract",tblBOneExport[LEVEL2])</f>
        <v>Corporates</v>
      </c>
      <c r="J112" s="7" t="str">
        <f>IF(tblBOneExport[[#This Row],[INSTRUMENT_TYPE]]="Forward Contract","Forward Contract",tblBOneExport[[#This Row],[LEVEL3]])</f>
        <v>Industrials</v>
      </c>
      <c r="K112" s="7" t="str">
        <f>INDEX(tblLvl2Mapping[],MATCH(tblCalculation[[#This Row],[B1Level2]]&amp;"_"&amp;tblCalculation[[#This Row],[B1Level3]],tblLvl2Mapping[B1Level2_B1Level3],0),2)</f>
        <v>Corporate</v>
      </c>
      <c r="L112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12" s="7">
        <f>INDEX(tblAttributable[],MATCH(tblCalculation[[#This Row],[Level3]],tblAttributable[Level3],0),2)</f>
        <v>1</v>
      </c>
      <c r="N112" s="16">
        <f>tblBOneExport[[#This Row],[PTF_WEIGHT]]</f>
        <v>4.8984412E-3</v>
      </c>
      <c r="O112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0.15258963555246349</v>
      </c>
      <c r="P112" s="48">
        <f>tblCalculation[[#This Row],[PtfDTS]]/SUM(tblCalculation[PtfDTS])</f>
        <v>1.8504893367183077E-2</v>
      </c>
      <c r="Q112" s="16">
        <f>tblBOneExport[[#This Row],[PTF_CONTRIBUTION]]</f>
        <v>7.7550000000000001E-5</v>
      </c>
      <c r="R112" s="16">
        <f>tblCalculation[[#This Row],[PtfContributionBase]]-tblCalculation[[#This Row],[PtfCurrencyReturn]]</f>
        <v>7.7550000000000001E-5</v>
      </c>
      <c r="S112" s="16">
        <f>IF(tblBOneExport[[#This Row],[LEVEL1]]="Bonds",tblBOneExport[[#This Row],[PTF_GOV_CARRY]],"")</f>
        <v>6.9589999999999998E-6</v>
      </c>
      <c r="T112" s="16">
        <f>tblCalculation[[#This Row],[FIAttributable]]*tblBOneExport[[#This Row],[PTF_CREDIT_CARRY]]</f>
        <v>8.5098999999999996E-6</v>
      </c>
      <c r="U112" s="16">
        <f>tblCalculation[[#This Row],[FIAttributable]]*tblBOneExport[[#This Row],[PTF_TOTAL_CURVE]]</f>
        <v>8.0965100000000002E-5</v>
      </c>
      <c r="V112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-1.7969E-5</v>
      </c>
      <c r="W112" s="16">
        <f>IF(AND(tblCalculation[[#This Row],[Level3]]="Forward Contracts",tblBOneExport[[#This Row],[PTF_COST_OF_CARRY]]=0),tblBOneExport[[#This Row],[PTF_VALUATION]],0)</f>
        <v>0</v>
      </c>
      <c r="X112" s="16">
        <f>SUM(tblCalculation[[#This Row],[PtfTrading]:[PtfModelRes]])</f>
        <v>-9.1490000000000002E-7</v>
      </c>
      <c r="Y112" s="16">
        <f>tblCalculation[[#This Row],[FIAttributable]]*tblBOneExport[[#This Row],[PTF_TRADING]]</f>
        <v>0</v>
      </c>
      <c r="Z112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12" s="16">
        <f>tblCalculation[[#This Row],[FIAttributable]]*tblBOneExport[[#This Row],[PTF_MODEL_RESIDUAL]]-PTF_Credit_Adj*tblCalculation[[#This Row],[PtfDTSWeight]]</f>
        <v>-9.1490000000000002E-7</v>
      </c>
      <c r="AB112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12" s="16">
        <f>tblBOneExport[[#This Row],[BMK_WEIGHT]]</f>
        <v>0</v>
      </c>
      <c r="AD112" s="78">
        <f>tblCalculation[[#This Row],[FIAttributable]]*SUMIFS(tblDTS[DTSContribution_BM],tblDTS[ISIN],tblCalculation[[#This Row],[ISIN]])</f>
        <v>0.1438593129180962</v>
      </c>
      <c r="AE112" s="16">
        <f>IF(SUM(tblCalculation[BMKDTS])=0,0,tblCalculation[[#This Row],[BMKDTS]]/SUM(tblCalculation[BMKDTS]))</f>
        <v>1.7097719774323918E-2</v>
      </c>
      <c r="AF112" s="16">
        <f>tblBOneExport[[#This Row],[BMK_CONTRIBUTION]]</f>
        <v>0</v>
      </c>
      <c r="AG112" s="16">
        <f>tblCalculation[[#This Row],[BMKContributionBase]]-tblBOneExport[BMK_SPOT_CCY_RETURN]-tblBOneExport[[#This Row],[BMK_CROSS_EFFECT]]</f>
        <v>0</v>
      </c>
      <c r="AH112" s="16">
        <f>tblCalculation[[#This Row],[FIAttributable]]*(tblBOneExport[[#This Row],[BMK_RETURN_GOV_CARRY]])</f>
        <v>0</v>
      </c>
      <c r="AI112" s="16">
        <f>tblCalculation[[#This Row],[FIAttributable]]*tblBOneExport[[#This Row],[BMK_CREDIT_CARRY]]</f>
        <v>0</v>
      </c>
      <c r="AJ112" s="16">
        <f>tblCalculation[[#This Row],[FIAttributable]]*tblBOneExport[[#This Row],[BMK_TOTAL_CURVE]]</f>
        <v>0</v>
      </c>
      <c r="AK112" s="16">
        <f>tblCalculation[[#This Row],[FIAttributable]]*(tblBOneExport[[#This Row],[BMK_TOTAL_SPREAD]]+BMK_Credit_Adj*tblCalculation[[#This Row],[BmkDTSWeight]])</f>
        <v>0</v>
      </c>
      <c r="AL112" s="16">
        <f>tblCalculation[[#This Row],[FIAttributable]]*tblBOneExport[[#This Row],[BMK_MODEL_RESIDUAL]]-BMK_Credit_Adj*tblCalculation[[#This Row],[BmkDTSWeight]]</f>
        <v>0</v>
      </c>
      <c r="AM112" s="16">
        <f>IF(tblCalculation[[#This Row],[Level3]]="Forward Contracts",tblCalculation[[#This Row],[BMKContributionLocal]],0)</f>
        <v>0</v>
      </c>
      <c r="AN112" s="16">
        <f>tblBOneExport[[#This Row],[BMK_SPOT_CCY_RETURN]]+tblBOneExport[[#This Row],[BMK_CROSS_EFFECT]]</f>
        <v>0</v>
      </c>
    </row>
    <row r="113" spans="5:40" x14ac:dyDescent="0.25">
      <c r="E113" s="7" t="str">
        <f>tblBOneExport[[#This Row],[INSTRUMENT_CODE]]</f>
        <v>S00761385</v>
      </c>
      <c r="F113" s="7" t="str">
        <f>tblBOneExport[[#This Row],[INSTRUMENT]]</f>
        <v>PFIZER INC 6.5 03/06/38</v>
      </c>
      <c r="G113" s="7" t="str">
        <f>IF(tblBOneExport[[#This Row],[ISIN]]&lt;&gt;"", tblBOneExport[[#This Row],[ISIN]],"")</f>
        <v>XS0432072022</v>
      </c>
      <c r="H113" s="7" t="str">
        <f>IF(tblCalculation[[#This Row],[B1Level2]]="CDS",tblBOneExport[[#This Row],[B1_TICKER]],IF(tblCalculation[[#This Row],[ISIN]]="","",INDEX(tblGetStaticData[Ticker],MATCH(tblCalculation[[#This Row],[ISIN]],tblGetStaticData[ISIN],0))))</f>
        <v>PFE</v>
      </c>
      <c r="I113" s="7" t="str">
        <f>IF(tblBOneExport[[#This Row],[INSTRUMENT_TYPE]]="Forward Contract","Forward Contract",tblBOneExport[LEVEL2])</f>
        <v>Corporates</v>
      </c>
      <c r="J113" s="7" t="str">
        <f>IF(tblBOneExport[[#This Row],[INSTRUMENT_TYPE]]="Forward Contract","Forward Contract",tblBOneExport[[#This Row],[LEVEL3]])</f>
        <v>Industrials</v>
      </c>
      <c r="K113" s="7" t="str">
        <f>INDEX(tblLvl2Mapping[],MATCH(tblCalculation[[#This Row],[B1Level2]]&amp;"_"&amp;tblCalculation[[#This Row],[B1Level3]],tblLvl2Mapping[B1Level2_B1Level3],0),2)</f>
        <v>Corporate</v>
      </c>
      <c r="L113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13" s="7">
        <f>INDEX(tblAttributable[],MATCH(tblCalculation[[#This Row],[Level3]],tblAttributable[Level3],0),2)</f>
        <v>1</v>
      </c>
      <c r="N113" s="16">
        <f>tblBOneExport[[#This Row],[PTF_WEIGHT]]</f>
        <v>7.8629345E-3</v>
      </c>
      <c r="O113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0.11675999450095849</v>
      </c>
      <c r="P113" s="48">
        <f>tblCalculation[[#This Row],[PtfDTS]]/SUM(tblCalculation[PtfDTS])</f>
        <v>1.4159751020902394E-2</v>
      </c>
      <c r="Q113" s="16">
        <f>tblBOneExport[[#This Row],[PTF_CONTRIBUTION]]</f>
        <v>1.8901390000000001E-4</v>
      </c>
      <c r="R113" s="16">
        <f>tblCalculation[[#This Row],[PtfContributionBase]]-tblCalculation[[#This Row],[PtfCurrencyReturn]]</f>
        <v>1.8901390000000001E-4</v>
      </c>
      <c r="S113" s="16">
        <f>IF(tblBOneExport[[#This Row],[LEVEL1]]="Bonds",tblBOneExport[[#This Row],[PTF_GOV_CARRY]],"")</f>
        <v>1.1025E-5</v>
      </c>
      <c r="T113" s="16">
        <f>tblCalculation[[#This Row],[FIAttributable]]*tblBOneExport[[#This Row],[PTF_CREDIT_CARRY]]</f>
        <v>5.6440999999999999E-6</v>
      </c>
      <c r="U113" s="16">
        <f>tblCalculation[[#This Row],[FIAttributable]]*tblBOneExport[[#This Row],[PTF_TOTAL_CURVE]]</f>
        <v>9.6350799999999999E-5</v>
      </c>
      <c r="V113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8.0264699999999997E-5</v>
      </c>
      <c r="W113" s="16">
        <f>IF(AND(tblCalculation[[#This Row],[Level3]]="Forward Contracts",tblBOneExport[[#This Row],[PTF_COST_OF_CARRY]]=0),tblBOneExport[[#This Row],[PTF_VALUATION]],0)</f>
        <v>0</v>
      </c>
      <c r="X113" s="16">
        <f>SUM(tblCalculation[[#This Row],[PtfTrading]:[PtfModelRes]])</f>
        <v>-4.2707999999999998E-6</v>
      </c>
      <c r="Y113" s="16">
        <f>tblCalculation[[#This Row],[FIAttributable]]*tblBOneExport[[#This Row],[PTF_TRADING]]</f>
        <v>0</v>
      </c>
      <c r="Z113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13" s="16">
        <f>tblCalculation[[#This Row],[FIAttributable]]*tblBOneExport[[#This Row],[PTF_MODEL_RESIDUAL]]-PTF_Credit_Adj*tblCalculation[[#This Row],[PtfDTSWeight]]</f>
        <v>-4.2707999999999998E-6</v>
      </c>
      <c r="AB113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13" s="16">
        <f>tblBOneExport[[#This Row],[BMK_WEIGHT]]</f>
        <v>0</v>
      </c>
      <c r="AD113" s="78">
        <f>tblCalculation[[#This Row],[FIAttributable]]*SUMIFS(tblDTS[DTSContribution_BM],tblDTS[ISIN],tblCalculation[[#This Row],[ISIN]])</f>
        <v>9.3969752298865894E-2</v>
      </c>
      <c r="AE113" s="16">
        <f>IF(SUM(tblCalculation[BMKDTS])=0,0,tblCalculation[[#This Row],[BMKDTS]]/SUM(tblCalculation[BMKDTS]))</f>
        <v>1.1168331472453011E-2</v>
      </c>
      <c r="AF113" s="16">
        <f>tblBOneExport[[#This Row],[BMK_CONTRIBUTION]]</f>
        <v>0</v>
      </c>
      <c r="AG113" s="16">
        <f>tblCalculation[[#This Row],[BMKContributionBase]]-tblBOneExport[BMK_SPOT_CCY_RETURN]-tblBOneExport[[#This Row],[BMK_CROSS_EFFECT]]</f>
        <v>0</v>
      </c>
      <c r="AH113" s="16">
        <f>tblCalculation[[#This Row],[FIAttributable]]*(tblBOneExport[[#This Row],[BMK_RETURN_GOV_CARRY]])</f>
        <v>0</v>
      </c>
      <c r="AI113" s="16">
        <f>tblCalculation[[#This Row],[FIAttributable]]*tblBOneExport[[#This Row],[BMK_CREDIT_CARRY]]</f>
        <v>0</v>
      </c>
      <c r="AJ113" s="16">
        <f>tblCalculation[[#This Row],[FIAttributable]]*tblBOneExport[[#This Row],[BMK_TOTAL_CURVE]]</f>
        <v>0</v>
      </c>
      <c r="AK113" s="16">
        <f>tblCalculation[[#This Row],[FIAttributable]]*(tblBOneExport[[#This Row],[BMK_TOTAL_SPREAD]]+BMK_Credit_Adj*tblCalculation[[#This Row],[BmkDTSWeight]])</f>
        <v>0</v>
      </c>
      <c r="AL113" s="16">
        <f>tblCalculation[[#This Row],[FIAttributable]]*tblBOneExport[[#This Row],[BMK_MODEL_RESIDUAL]]-BMK_Credit_Adj*tblCalculation[[#This Row],[BmkDTSWeight]]</f>
        <v>0</v>
      </c>
      <c r="AM113" s="16">
        <f>IF(tblCalculation[[#This Row],[Level3]]="Forward Contracts",tblCalculation[[#This Row],[BMKContributionLocal]],0)</f>
        <v>0</v>
      </c>
      <c r="AN113" s="16">
        <f>tblBOneExport[[#This Row],[BMK_SPOT_CCY_RETURN]]+tblBOneExport[[#This Row],[BMK_CROSS_EFFECT]]</f>
        <v>0</v>
      </c>
    </row>
    <row r="114" spans="5:40" x14ac:dyDescent="0.25">
      <c r="E114" s="7" t="str">
        <f>tblBOneExport[[#This Row],[INSTRUMENT_CODE]]</f>
        <v>S00765283</v>
      </c>
      <c r="F114" s="7" t="str">
        <f>tblBOneExport[[#This Row],[INSTRUMENT]]</f>
        <v>EUROPEAN INVT BK 4.125 07/12/17 EMTN</v>
      </c>
      <c r="G114" s="7" t="str">
        <f>IF(tblBOneExport[[#This Row],[ISIN]]&lt;&gt;"", tblBOneExport[[#This Row],[ISIN]],"")</f>
        <v>XS0434040167</v>
      </c>
      <c r="H114" s="7" t="str">
        <f>IF(tblCalculation[[#This Row],[B1Level2]]="CDS",tblBOneExport[[#This Row],[B1_TICKER]],IF(tblCalculation[[#This Row],[ISIN]]="","",INDEX(tblGetStaticData[Ticker],MATCH(tblCalculation[[#This Row],[ISIN]],tblGetStaticData[ISIN],0))))</f>
        <v>EIB</v>
      </c>
      <c r="I114" s="7" t="str">
        <f>IF(tblBOneExport[[#This Row],[INSTRUMENT_TYPE]]="Forward Contract","Forward Contract",tblBOneExport[LEVEL2])</f>
        <v>Non-Corporate</v>
      </c>
      <c r="J114" s="7" t="str">
        <f>IF(tblBOneExport[[#This Row],[INSTRUMENT_TYPE]]="Forward Contract","Forward Contract",tblBOneExport[[#This Row],[LEVEL3]])</f>
        <v>Supranationals</v>
      </c>
      <c r="K114" s="7" t="str">
        <f>INDEX(tblLvl2Mapping[],MATCH(tblCalculation[[#This Row],[B1Level2]]&amp;"_"&amp;tblCalculation[[#This Row],[B1Level3]],tblLvl2Mapping[B1Level2_B1Level3],0),2)</f>
        <v>Corporate</v>
      </c>
      <c r="L114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14" s="7">
        <f>INDEX(tblAttributable[],MATCH(tblCalculation[[#This Row],[Level3]],tblAttributable[Level3],0),2)</f>
        <v>1</v>
      </c>
      <c r="N114" s="16">
        <f>tblBOneExport[[#This Row],[PTF_WEIGHT]]</f>
        <v>7.2120319999999997E-4</v>
      </c>
      <c r="O114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4.7011787711553958E-5</v>
      </c>
      <c r="P114" s="48">
        <f>tblCalculation[[#This Row],[PtfDTS]]/SUM(tblCalculation[PtfDTS])</f>
        <v>5.7012267933744917E-6</v>
      </c>
      <c r="Q114" s="16">
        <f>tblBOneExport[[#This Row],[PTF_CONTRIBUTION]]</f>
        <v>5.7499999999999999E-8</v>
      </c>
      <c r="R114" s="16">
        <f>tblCalculation[[#This Row],[PtfContributionBase]]-tblCalculation[[#This Row],[PtfCurrencyReturn]]</f>
        <v>5.7499999999999999E-8</v>
      </c>
      <c r="S114" s="16">
        <f>IF(tblBOneExport[[#This Row],[LEVEL1]]="Bonds",tblBOneExport[[#This Row],[PTF_GOV_CARRY]],"")</f>
        <v>1.025E-7</v>
      </c>
      <c r="T114" s="16">
        <f>tblCalculation[[#This Row],[FIAttributable]]*tblBOneExport[[#This Row],[PTF_CREDIT_CARRY]]</f>
        <v>1.5130000000000001E-7</v>
      </c>
      <c r="U114" s="16">
        <f>tblCalculation[[#This Row],[FIAttributable]]*tblBOneExport[[#This Row],[PTF_TOTAL_CURVE]]</f>
        <v>-3.2899999999999997E-8</v>
      </c>
      <c r="V114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-1.4149999999999999E-7</v>
      </c>
      <c r="W114" s="16">
        <f>IF(AND(tblCalculation[[#This Row],[Level3]]="Forward Contracts",tblBOneExport[[#This Row],[PTF_COST_OF_CARRY]]=0),tblBOneExport[[#This Row],[PTF_VALUATION]],0)</f>
        <v>0</v>
      </c>
      <c r="X114" s="16">
        <f>SUM(tblCalculation[[#This Row],[PtfTrading]:[PtfModelRes]])</f>
        <v>-2.1999999999999998E-8</v>
      </c>
      <c r="Y114" s="16">
        <f>tblCalculation[[#This Row],[FIAttributable]]*tblBOneExport[[#This Row],[PTF_TRADING]]</f>
        <v>0</v>
      </c>
      <c r="Z114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14" s="16">
        <f>tblCalculation[[#This Row],[FIAttributable]]*tblBOneExport[[#This Row],[PTF_MODEL_RESIDUAL]]-PTF_Credit_Adj*tblCalculation[[#This Row],[PtfDTSWeight]]</f>
        <v>-2.1999999999999998E-8</v>
      </c>
      <c r="AB114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14" s="16">
        <f>tblBOneExport[[#This Row],[BMK_WEIGHT]]</f>
        <v>0</v>
      </c>
      <c r="AD114" s="78">
        <f>tblCalculation[[#This Row],[FIAttributable]]*SUMIFS(tblDTS[DTSContribution_BM],tblDTS[ISIN],tblCalculation[[#This Row],[ISIN]])</f>
        <v>0</v>
      </c>
      <c r="AE114" s="16">
        <f>IF(SUM(tblCalculation[BMKDTS])=0,0,tblCalculation[[#This Row],[BMKDTS]]/SUM(tblCalculation[BMKDTS]))</f>
        <v>0</v>
      </c>
      <c r="AF114" s="16">
        <f>tblBOneExport[[#This Row],[BMK_CONTRIBUTION]]</f>
        <v>0</v>
      </c>
      <c r="AG114" s="16">
        <f>tblCalculation[[#This Row],[BMKContributionBase]]-tblBOneExport[BMK_SPOT_CCY_RETURN]-tblBOneExport[[#This Row],[BMK_CROSS_EFFECT]]</f>
        <v>0</v>
      </c>
      <c r="AH114" s="16">
        <f>tblCalculation[[#This Row],[FIAttributable]]*(tblBOneExport[[#This Row],[BMK_RETURN_GOV_CARRY]])</f>
        <v>0</v>
      </c>
      <c r="AI114" s="16">
        <f>tblCalculation[[#This Row],[FIAttributable]]*tblBOneExport[[#This Row],[BMK_CREDIT_CARRY]]</f>
        <v>0</v>
      </c>
      <c r="AJ114" s="16">
        <f>tblCalculation[[#This Row],[FIAttributable]]*tblBOneExport[[#This Row],[BMK_TOTAL_CURVE]]</f>
        <v>0</v>
      </c>
      <c r="AK114" s="16">
        <f>tblCalculation[[#This Row],[FIAttributable]]*(tblBOneExport[[#This Row],[BMK_TOTAL_SPREAD]]+BMK_Credit_Adj*tblCalculation[[#This Row],[BmkDTSWeight]])</f>
        <v>0</v>
      </c>
      <c r="AL114" s="16">
        <f>tblCalculation[[#This Row],[FIAttributable]]*tblBOneExport[[#This Row],[BMK_MODEL_RESIDUAL]]-BMK_Credit_Adj*tblCalculation[[#This Row],[BmkDTSWeight]]</f>
        <v>0</v>
      </c>
      <c r="AM114" s="16">
        <f>IF(tblCalculation[[#This Row],[Level3]]="Forward Contracts",tblCalculation[[#This Row],[BMKContributionLocal]],0)</f>
        <v>0</v>
      </c>
      <c r="AN114" s="16">
        <f>tblBOneExport[[#This Row],[BMK_SPOT_CCY_RETURN]]+tblBOneExport[[#This Row],[BMK_CROSS_EFFECT]]</f>
        <v>0</v>
      </c>
    </row>
    <row r="115" spans="5:40" x14ac:dyDescent="0.25">
      <c r="E115" s="7" t="str">
        <f>tblBOneExport[[#This Row],[INSTRUMENT_CODE]]</f>
        <v>S00770482</v>
      </c>
      <c r="F115" s="7" t="str">
        <f>tblBOneExport[[#This Row],[INSTRUMENT]]</f>
        <v>BAT INTL FINANCE 6 29/06/22 EMTN</v>
      </c>
      <c r="G115" s="7" t="str">
        <f>IF(tblBOneExport[[#This Row],[ISIN]]&lt;&gt;"", tblBOneExport[[#This Row],[ISIN]],"")</f>
        <v>XS0436059843</v>
      </c>
      <c r="H115" s="7" t="str">
        <f>IF(tblCalculation[[#This Row],[B1Level2]]="CDS",tblBOneExport[[#This Row],[B1_TICKER]],IF(tblCalculation[[#This Row],[ISIN]]="","",INDEX(tblGetStaticData[Ticker],MATCH(tblCalculation[[#This Row],[ISIN]],tblGetStaticData[ISIN],0))))</f>
        <v>BATSLN</v>
      </c>
      <c r="I115" s="7" t="str">
        <f>IF(tblBOneExport[[#This Row],[INSTRUMENT_TYPE]]="Forward Contract","Forward Contract",tblBOneExport[LEVEL2])</f>
        <v>Corporates</v>
      </c>
      <c r="J115" s="7" t="str">
        <f>IF(tblBOneExport[[#This Row],[INSTRUMENT_TYPE]]="Forward Contract","Forward Contract",tblBOneExport[[#This Row],[LEVEL3]])</f>
        <v>Industrials</v>
      </c>
      <c r="K115" s="7" t="str">
        <f>INDEX(tblLvl2Mapping[],MATCH(tblCalculation[[#This Row],[B1Level2]]&amp;"_"&amp;tblCalculation[[#This Row],[B1Level3]],tblLvl2Mapping[B1Level2_B1Level3],0),2)</f>
        <v>Corporate</v>
      </c>
      <c r="L115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15" s="7">
        <f>INDEX(tblAttributable[],MATCH(tblCalculation[[#This Row],[Level3]],tblAttributable[Level3],0),2)</f>
        <v>1</v>
      </c>
      <c r="N115" s="16">
        <f>tblBOneExport[[#This Row],[PTF_WEIGHT]]</f>
        <v>1.4041527999999999E-3</v>
      </c>
      <c r="O115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4.8899537078683228E-3</v>
      </c>
      <c r="P115" s="48">
        <f>tblCalculation[[#This Row],[PtfDTS]]/SUM(tblCalculation[PtfDTS])</f>
        <v>5.9301584676406892E-4</v>
      </c>
      <c r="Q115" s="16">
        <f>tblBOneExport[[#This Row],[PTF_CONTRIBUTION]]</f>
        <v>1.20261E-5</v>
      </c>
      <c r="R115" s="16">
        <f>tblCalculation[[#This Row],[PtfContributionBase]]-tblCalculation[[#This Row],[PtfCurrencyReturn]]</f>
        <v>1.20261E-5</v>
      </c>
      <c r="S115" s="16">
        <f>IF(tblBOneExport[[#This Row],[LEVEL1]]="Bonds",tblBOneExport[[#This Row],[PTF_GOV_CARRY]],"")</f>
        <v>5.6169999999999995E-7</v>
      </c>
      <c r="T115" s="16">
        <f>tblCalculation[[#This Row],[FIAttributable]]*tblBOneExport[[#This Row],[PTF_CREDIT_CARRY]]</f>
        <v>1.3349999999999999E-6</v>
      </c>
      <c r="U115" s="16">
        <f>tblCalculation[[#This Row],[FIAttributable]]*tblBOneExport[[#This Row],[PTF_TOTAL_CURVE]]</f>
        <v>9.9353999999999998E-6</v>
      </c>
      <c r="V115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1.712E-7</v>
      </c>
      <c r="W115" s="16">
        <f>IF(AND(tblCalculation[[#This Row],[Level3]]="Forward Contracts",tblBOneExport[[#This Row],[PTF_COST_OF_CARRY]]=0),tblBOneExport[[#This Row],[PTF_VALUATION]],0)</f>
        <v>0</v>
      </c>
      <c r="X115" s="16">
        <f>SUM(tblCalculation[[#This Row],[PtfTrading]:[PtfModelRes]])</f>
        <v>2.2799999999999999E-8</v>
      </c>
      <c r="Y115" s="16">
        <f>tblCalculation[[#This Row],[FIAttributable]]*tblBOneExport[[#This Row],[PTF_TRADING]]</f>
        <v>0</v>
      </c>
      <c r="Z115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15" s="16">
        <f>tblCalculation[[#This Row],[FIAttributable]]*tblBOneExport[[#This Row],[PTF_MODEL_RESIDUAL]]-PTF_Credit_Adj*tblCalculation[[#This Row],[PtfDTSWeight]]</f>
        <v>2.2799999999999999E-8</v>
      </c>
      <c r="AB115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15" s="16">
        <f>tblBOneExport[[#This Row],[BMK_WEIGHT]]</f>
        <v>0</v>
      </c>
      <c r="AD115" s="78">
        <f>tblCalculation[[#This Row],[FIAttributable]]*SUMIFS(tblDTS[DTSContribution_BM],tblDTS[ISIN],tblCalculation[[#This Row],[ISIN]])</f>
        <v>0</v>
      </c>
      <c r="AE115" s="16">
        <f>IF(SUM(tblCalculation[BMKDTS])=0,0,tblCalculation[[#This Row],[BMKDTS]]/SUM(tblCalculation[BMKDTS]))</f>
        <v>0</v>
      </c>
      <c r="AF115" s="16">
        <f>tblBOneExport[[#This Row],[BMK_CONTRIBUTION]]</f>
        <v>0</v>
      </c>
      <c r="AG115" s="16">
        <f>tblCalculation[[#This Row],[BMKContributionBase]]-tblBOneExport[BMK_SPOT_CCY_RETURN]-tblBOneExport[[#This Row],[BMK_CROSS_EFFECT]]</f>
        <v>0</v>
      </c>
      <c r="AH115" s="16">
        <f>tblCalculation[[#This Row],[FIAttributable]]*(tblBOneExport[[#This Row],[BMK_RETURN_GOV_CARRY]])</f>
        <v>0</v>
      </c>
      <c r="AI115" s="16">
        <f>tblCalculation[[#This Row],[FIAttributable]]*tblBOneExport[[#This Row],[BMK_CREDIT_CARRY]]</f>
        <v>0</v>
      </c>
      <c r="AJ115" s="16">
        <f>tblCalculation[[#This Row],[FIAttributable]]*tblBOneExport[[#This Row],[BMK_TOTAL_CURVE]]</f>
        <v>0</v>
      </c>
      <c r="AK115" s="16">
        <f>tblCalculation[[#This Row],[FIAttributable]]*(tblBOneExport[[#This Row],[BMK_TOTAL_SPREAD]]+BMK_Credit_Adj*tblCalculation[[#This Row],[BmkDTSWeight]])</f>
        <v>0</v>
      </c>
      <c r="AL115" s="16">
        <f>tblCalculation[[#This Row],[FIAttributable]]*tblBOneExport[[#This Row],[BMK_MODEL_RESIDUAL]]-BMK_Credit_Adj*tblCalculation[[#This Row],[BmkDTSWeight]]</f>
        <v>0</v>
      </c>
      <c r="AM115" s="16">
        <f>IF(tblCalculation[[#This Row],[Level3]]="Forward Contracts",tblCalculation[[#This Row],[BMKContributionLocal]],0)</f>
        <v>0</v>
      </c>
      <c r="AN115" s="16">
        <f>tblBOneExport[[#This Row],[BMK_SPOT_CCY_RETURN]]+tblBOneExport[[#This Row],[BMK_CROSS_EFFECT]]</f>
        <v>0</v>
      </c>
    </row>
    <row r="116" spans="5:40" x14ac:dyDescent="0.25">
      <c r="E116" s="7" t="str">
        <f>tblBOneExport[[#This Row],[INSTRUMENT_CODE]]</f>
        <v>S00771847</v>
      </c>
      <c r="F116" s="7" t="str">
        <f>tblBOneExport[[#This Row],[INSTRUMENT]]</f>
        <v>INNOGY FINANCE 6.125 06/07/39 EMTN</v>
      </c>
      <c r="G116" s="7" t="str">
        <f>IF(tblBOneExport[[#This Row],[ISIN]]&lt;&gt;"", tblBOneExport[[#This Row],[ISIN]],"")</f>
        <v>XS0437306904</v>
      </c>
      <c r="H116" s="7" t="str">
        <f>IF(tblCalculation[[#This Row],[B1Level2]]="CDS",tblBOneExport[[#This Row],[B1_TICKER]],IF(tblCalculation[[#This Row],[ISIN]]="","",INDEX(tblGetStaticData[Ticker],MATCH(tblCalculation[[#This Row],[ISIN]],tblGetStaticData[ISIN],0))))</f>
        <v>RWE</v>
      </c>
      <c r="I116" s="7" t="str">
        <f>IF(tblBOneExport[[#This Row],[INSTRUMENT_TYPE]]="Forward Contract","Forward Contract",tblBOneExport[LEVEL2])</f>
        <v>Corporates</v>
      </c>
      <c r="J116" s="7" t="str">
        <f>IF(tblBOneExport[[#This Row],[INSTRUMENT_TYPE]]="Forward Contract","Forward Contract",tblBOneExport[[#This Row],[LEVEL3]])</f>
        <v>Utilities</v>
      </c>
      <c r="K116" s="7" t="str">
        <f>INDEX(tblLvl2Mapping[],MATCH(tblCalculation[[#This Row],[B1Level2]]&amp;"_"&amp;tblCalculation[[#This Row],[B1Level3]],tblLvl2Mapping[B1Level2_B1Level3],0),2)</f>
        <v>Corporate</v>
      </c>
      <c r="L116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16" s="7">
        <f>INDEX(tblAttributable[],MATCH(tblCalculation[[#This Row],[Level3]],tblAttributable[Level3],0),2)</f>
        <v>1</v>
      </c>
      <c r="N116" s="16">
        <f>tblBOneExport[[#This Row],[PTF_WEIGHT]]</f>
        <v>2.6112103000000002E-3</v>
      </c>
      <c r="O116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5.7811590676071792E-2</v>
      </c>
      <c r="P116" s="48">
        <f>tblCalculation[[#This Row],[PtfDTS]]/SUM(tblCalculation[PtfDTS])</f>
        <v>7.0109435478671505E-3</v>
      </c>
      <c r="Q116" s="16">
        <f>tblBOneExport[[#This Row],[PTF_CONTRIBUTION]]</f>
        <v>5.6557100000000001E-5</v>
      </c>
      <c r="R116" s="16">
        <f>tblCalculation[[#This Row],[PtfContributionBase]]-tblCalculation[[#This Row],[PtfCurrencyReturn]]</f>
        <v>5.6557100000000001E-5</v>
      </c>
      <c r="S116" s="16">
        <f>IF(tblBOneExport[[#This Row],[LEVEL1]]="Bonds",tblBOneExport[[#This Row],[PTF_GOV_CARRY]],"")</f>
        <v>3.6965999999999999E-6</v>
      </c>
      <c r="T116" s="16">
        <f>tblCalculation[[#This Row],[FIAttributable]]*tblBOneExport[[#This Row],[PTF_CREDIT_CARRY]]</f>
        <v>2.9401E-6</v>
      </c>
      <c r="U116" s="16">
        <f>tblCalculation[[#This Row],[FIAttributable]]*tblBOneExport[[#This Row],[PTF_TOTAL_CURVE]]</f>
        <v>3.9799799999999998E-5</v>
      </c>
      <c r="V116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9.4414999999999993E-6</v>
      </c>
      <c r="W116" s="16">
        <f>IF(AND(tblCalculation[[#This Row],[Level3]]="Forward Contracts",tblBOneExport[[#This Row],[PTF_COST_OF_CARRY]]=0),tblBOneExport[[#This Row],[PTF_VALUATION]],0)</f>
        <v>0</v>
      </c>
      <c r="X116" s="16">
        <f>SUM(tblCalculation[[#This Row],[PtfTrading]:[PtfModelRes]])</f>
        <v>6.7899999999999998E-7</v>
      </c>
      <c r="Y116" s="16">
        <f>tblCalculation[[#This Row],[FIAttributable]]*tblBOneExport[[#This Row],[PTF_TRADING]]</f>
        <v>0</v>
      </c>
      <c r="Z116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16" s="16">
        <f>tblCalculation[[#This Row],[FIAttributable]]*tblBOneExport[[#This Row],[PTF_MODEL_RESIDUAL]]-PTF_Credit_Adj*tblCalculation[[#This Row],[PtfDTSWeight]]</f>
        <v>6.7899999999999998E-7</v>
      </c>
      <c r="AB116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16" s="16">
        <f>tblBOneExport[[#This Row],[BMK_WEIGHT]]</f>
        <v>0</v>
      </c>
      <c r="AD116" s="78">
        <f>tblCalculation[[#This Row],[FIAttributable]]*SUMIFS(tblDTS[DTSContribution_BM],tblDTS[ISIN],tblCalculation[[#This Row],[ISIN]])</f>
        <v>7.6308799703505542E-2</v>
      </c>
      <c r="AE116" s="16">
        <f>IF(SUM(tblCalculation[BMKDTS])=0,0,tblCalculation[[#This Row],[BMKDTS]]/SUM(tblCalculation[BMKDTS]))</f>
        <v>9.0693222925954178E-3</v>
      </c>
      <c r="AF116" s="16">
        <f>tblBOneExport[[#This Row],[BMK_CONTRIBUTION]]</f>
        <v>0</v>
      </c>
      <c r="AG116" s="16">
        <f>tblCalculation[[#This Row],[BMKContributionBase]]-tblBOneExport[BMK_SPOT_CCY_RETURN]-tblBOneExport[[#This Row],[BMK_CROSS_EFFECT]]</f>
        <v>0</v>
      </c>
      <c r="AH116" s="16">
        <f>tblCalculation[[#This Row],[FIAttributable]]*(tblBOneExport[[#This Row],[BMK_RETURN_GOV_CARRY]])</f>
        <v>0</v>
      </c>
      <c r="AI116" s="16">
        <f>tblCalculation[[#This Row],[FIAttributable]]*tblBOneExport[[#This Row],[BMK_CREDIT_CARRY]]</f>
        <v>0</v>
      </c>
      <c r="AJ116" s="16">
        <f>tblCalculation[[#This Row],[FIAttributable]]*tblBOneExport[[#This Row],[BMK_TOTAL_CURVE]]</f>
        <v>0</v>
      </c>
      <c r="AK116" s="16">
        <f>tblCalculation[[#This Row],[FIAttributable]]*(tblBOneExport[[#This Row],[BMK_TOTAL_SPREAD]]+BMK_Credit_Adj*tblCalculation[[#This Row],[BmkDTSWeight]])</f>
        <v>0</v>
      </c>
      <c r="AL116" s="16">
        <f>tblCalculation[[#This Row],[FIAttributable]]*tblBOneExport[[#This Row],[BMK_MODEL_RESIDUAL]]-BMK_Credit_Adj*tblCalculation[[#This Row],[BmkDTSWeight]]</f>
        <v>0</v>
      </c>
      <c r="AM116" s="16">
        <f>IF(tblCalculation[[#This Row],[Level3]]="Forward Contracts",tblCalculation[[#This Row],[BMKContributionLocal]],0)</f>
        <v>0</v>
      </c>
      <c r="AN116" s="16">
        <f>tblBOneExport[[#This Row],[BMK_SPOT_CCY_RETURN]]+tblBOneExport[[#This Row],[BMK_CROSS_EFFECT]]</f>
        <v>0</v>
      </c>
    </row>
    <row r="117" spans="5:40" x14ac:dyDescent="0.25">
      <c r="E117" s="7" t="str">
        <f>tblBOneExport[[#This Row],[INSTRUMENT_CODE]]</f>
        <v>S00779401</v>
      </c>
      <c r="F117" s="7" t="str">
        <f>tblBOneExport[[#This Row],[INSTRUMENT]]</f>
        <v>YORKS WATER ODSA 6.5876 21/02/23 0.</v>
      </c>
      <c r="G117" s="7" t="str">
        <f>IF(tblBOneExport[[#This Row],[ISIN]]&lt;&gt;"", tblBOneExport[[#This Row],[ISIN]],"")</f>
        <v>XS0439817650</v>
      </c>
      <c r="H117" s="7" t="str">
        <f>IF(tblCalculation[[#This Row],[B1Level2]]="CDS",tblBOneExport[[#This Row],[B1_TICKER]],IF(tblCalculation[[#This Row],[ISIN]]="","",INDEX(tblGetStaticData[Ticker],MATCH(tblCalculation[[#This Row],[ISIN]],tblGetStaticData[ISIN],0))))</f>
        <v>KEL</v>
      </c>
      <c r="I117" s="7" t="str">
        <f>IF(tblBOneExport[[#This Row],[INSTRUMENT_TYPE]]="Forward Contract","Forward Contract",tblBOneExport[LEVEL2])</f>
        <v>Corporates</v>
      </c>
      <c r="J117" s="7" t="str">
        <f>IF(tblBOneExport[[#This Row],[INSTRUMENT_TYPE]]="Forward Contract","Forward Contract",tblBOneExport[[#This Row],[LEVEL3]])</f>
        <v>Utilities</v>
      </c>
      <c r="K117" s="7" t="str">
        <f>INDEX(tblLvl2Mapping[],MATCH(tblCalculation[[#This Row],[B1Level2]]&amp;"_"&amp;tblCalculation[[#This Row],[B1Level3]],tblLvl2Mapping[B1Level2_B1Level3],0),2)</f>
        <v>Corporate</v>
      </c>
      <c r="L117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17" s="7">
        <f>INDEX(tblAttributable[],MATCH(tblCalculation[[#This Row],[Level3]],tblAttributable[Level3],0),2)</f>
        <v>1</v>
      </c>
      <c r="N117" s="16">
        <f>tblBOneExport[[#This Row],[PTF_WEIGHT]]</f>
        <v>1.5032775000000001E-3</v>
      </c>
      <c r="O117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4.780110409816212E-3</v>
      </c>
      <c r="P117" s="48">
        <f>tblCalculation[[#This Row],[PtfDTS]]/SUM(tblCalculation[PtfDTS])</f>
        <v>5.7969489930787585E-4</v>
      </c>
      <c r="Q117" s="16">
        <f>tblBOneExport[[#This Row],[PTF_CONTRIBUTION]]</f>
        <v>1.23628E-5</v>
      </c>
      <c r="R117" s="16">
        <f>tblCalculation[[#This Row],[PtfContributionBase]]-tblCalculation[[#This Row],[PtfCurrencyReturn]]</f>
        <v>1.23628E-5</v>
      </c>
      <c r="S117" s="16">
        <f>IF(tblBOneExport[[#This Row],[LEVEL1]]="Bonds",tblBOneExport[[#This Row],[PTF_GOV_CARRY]],"")</f>
        <v>7.1579999999999999E-7</v>
      </c>
      <c r="T117" s="16">
        <f>tblCalculation[[#This Row],[FIAttributable]]*tblBOneExport[[#This Row],[PTF_CREDIT_CARRY]]</f>
        <v>1.2550000000000001E-6</v>
      </c>
      <c r="U117" s="16">
        <f>tblCalculation[[#This Row],[FIAttributable]]*tblBOneExport[[#This Row],[PTF_TOTAL_CURVE]]</f>
        <v>1.0513099999999999E-5</v>
      </c>
      <c r="V117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1.5696E-6</v>
      </c>
      <c r="W117" s="16">
        <f>IF(AND(tblCalculation[[#This Row],[Level3]]="Forward Contracts",tblBOneExport[[#This Row],[PTF_COST_OF_CARRY]]=0),tblBOneExport[[#This Row],[PTF_VALUATION]],0)</f>
        <v>0</v>
      </c>
      <c r="X117" s="16">
        <f>SUM(tblCalculation[[#This Row],[PtfTrading]:[PtfModelRes]])</f>
        <v>-1.6907E-6</v>
      </c>
      <c r="Y117" s="16">
        <f>tblCalculation[[#This Row],[FIAttributable]]*tblBOneExport[[#This Row],[PTF_TRADING]]</f>
        <v>0</v>
      </c>
      <c r="Z117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17" s="16">
        <f>tblCalculation[[#This Row],[FIAttributable]]*tblBOneExport[[#This Row],[PTF_MODEL_RESIDUAL]]-PTF_Credit_Adj*tblCalculation[[#This Row],[PtfDTSWeight]]</f>
        <v>-1.6907E-6</v>
      </c>
      <c r="AB117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17" s="16">
        <f>tblBOneExport[[#This Row],[BMK_WEIGHT]]</f>
        <v>0</v>
      </c>
      <c r="AD117" s="78">
        <f>tblCalculation[[#This Row],[FIAttributable]]*SUMIFS(tblDTS[DTSContribution_BM],tblDTS[ISIN],tblCalculation[[#This Row],[ISIN]])</f>
        <v>6.3089588624481996E-3</v>
      </c>
      <c r="AE117" s="16">
        <f>IF(SUM(tblCalculation[BMKDTS])=0,0,tblCalculation[[#This Row],[BMKDTS]]/SUM(tblCalculation[BMKDTS]))</f>
        <v>7.4982153403784109E-4</v>
      </c>
      <c r="AF117" s="16">
        <f>tblBOneExport[[#This Row],[BMK_CONTRIBUTION]]</f>
        <v>0</v>
      </c>
      <c r="AG117" s="16">
        <f>tblCalculation[[#This Row],[BMKContributionBase]]-tblBOneExport[BMK_SPOT_CCY_RETURN]-tblBOneExport[[#This Row],[BMK_CROSS_EFFECT]]</f>
        <v>0</v>
      </c>
      <c r="AH117" s="16">
        <f>tblCalculation[[#This Row],[FIAttributable]]*(tblBOneExport[[#This Row],[BMK_RETURN_GOV_CARRY]])</f>
        <v>0</v>
      </c>
      <c r="AI117" s="16">
        <f>tblCalculation[[#This Row],[FIAttributable]]*tblBOneExport[[#This Row],[BMK_CREDIT_CARRY]]</f>
        <v>0</v>
      </c>
      <c r="AJ117" s="16">
        <f>tblCalculation[[#This Row],[FIAttributable]]*tblBOneExport[[#This Row],[BMK_TOTAL_CURVE]]</f>
        <v>0</v>
      </c>
      <c r="AK117" s="16">
        <f>tblCalculation[[#This Row],[FIAttributable]]*(tblBOneExport[[#This Row],[BMK_TOTAL_SPREAD]]+BMK_Credit_Adj*tblCalculation[[#This Row],[BmkDTSWeight]])</f>
        <v>0</v>
      </c>
      <c r="AL117" s="16">
        <f>tblCalculation[[#This Row],[FIAttributable]]*tblBOneExport[[#This Row],[BMK_MODEL_RESIDUAL]]-BMK_Credit_Adj*tblCalculation[[#This Row],[BmkDTSWeight]]</f>
        <v>0</v>
      </c>
      <c r="AM117" s="16">
        <f>IF(tblCalculation[[#This Row],[Level3]]="Forward Contracts",tblCalculation[[#This Row],[BMKContributionLocal]],0)</f>
        <v>0</v>
      </c>
      <c r="AN117" s="16">
        <f>tblBOneExport[[#This Row],[BMK_SPOT_CCY_RETURN]]+tblBOneExport[[#This Row],[BMK_CROSS_EFFECT]]</f>
        <v>0</v>
      </c>
    </row>
    <row r="118" spans="5:40" x14ac:dyDescent="0.25">
      <c r="E118" s="7" t="str">
        <f>tblBOneExport[[#This Row],[INSTRUMENT_CODE]]</f>
        <v>S00779750</v>
      </c>
      <c r="F118" s="7" t="str">
        <f>tblBOneExport[[#This Row],[INSTRUMENT]]</f>
        <v>YORKS WATER ODSA 6.454 28/05/27 0.</v>
      </c>
      <c r="G118" s="7" t="str">
        <f>IF(tblBOneExport[[#This Row],[ISIN]]&lt;&gt;"", tblBOneExport[[#This Row],[ISIN]],"")</f>
        <v>XS0439817734</v>
      </c>
      <c r="H118" s="7" t="str">
        <f>IF(tblCalculation[[#This Row],[B1Level2]]="CDS",tblBOneExport[[#This Row],[B1_TICKER]],IF(tblCalculation[[#This Row],[ISIN]]="","",INDEX(tblGetStaticData[Ticker],MATCH(tblCalculation[[#This Row],[ISIN]],tblGetStaticData[ISIN],0))))</f>
        <v>KEL</v>
      </c>
      <c r="I118" s="7" t="str">
        <f>IF(tblBOneExport[[#This Row],[INSTRUMENT_TYPE]]="Forward Contract","Forward Contract",tblBOneExport[LEVEL2])</f>
        <v>Corporates</v>
      </c>
      <c r="J118" s="7" t="str">
        <f>IF(tblBOneExport[[#This Row],[INSTRUMENT_TYPE]]="Forward Contract","Forward Contract",tblBOneExport[[#This Row],[LEVEL3]])</f>
        <v>Utilities</v>
      </c>
      <c r="K118" s="7" t="str">
        <f>INDEX(tblLvl2Mapping[],MATCH(tblCalculation[[#This Row],[B1Level2]]&amp;"_"&amp;tblCalculation[[#This Row],[B1Level3]],tblLvl2Mapping[B1Level2_B1Level3],0),2)</f>
        <v>Corporate</v>
      </c>
      <c r="L118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18" s="7">
        <f>INDEX(tblAttributable[],MATCH(tblCalculation[[#This Row],[Level3]],tblAttributable[Level3],0),2)</f>
        <v>1</v>
      </c>
      <c r="N118" s="16">
        <f>tblBOneExport[[#This Row],[PTF_WEIGHT]]</f>
        <v>1.2988641000000001E-3</v>
      </c>
      <c r="O118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9.3596310164699419E-3</v>
      </c>
      <c r="P118" s="48">
        <f>tblCalculation[[#This Row],[PtfDTS]]/SUM(tblCalculation[PtfDTS])</f>
        <v>1.1350638153690734E-3</v>
      </c>
      <c r="Q118" s="16">
        <f>tblBOneExport[[#This Row],[PTF_CONTRIBUTION]]</f>
        <v>2.22693E-5</v>
      </c>
      <c r="R118" s="16">
        <f>tblCalculation[[#This Row],[PtfContributionBase]]-tblCalculation[[#This Row],[PtfCurrencyReturn]]</f>
        <v>2.22693E-5</v>
      </c>
      <c r="S118" s="16">
        <f>IF(tblBOneExport[[#This Row],[LEVEL1]]="Bonds",tblBOneExport[[#This Row],[PTF_GOV_CARRY]],"")</f>
        <v>1.1808E-6</v>
      </c>
      <c r="T118" s="16">
        <f>tblCalculation[[#This Row],[FIAttributable]]*tblBOneExport[[#This Row],[PTF_CREDIT_CARRY]]</f>
        <v>1.0993E-6</v>
      </c>
      <c r="U118" s="16">
        <f>tblCalculation[[#This Row],[FIAttributable]]*tblBOneExport[[#This Row],[PTF_TOTAL_CURVE]]</f>
        <v>2.0256999999999999E-5</v>
      </c>
      <c r="V118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-3.7450000000000002E-7</v>
      </c>
      <c r="W118" s="16">
        <f>IF(AND(tblCalculation[[#This Row],[Level3]]="Forward Contracts",tblBOneExport[[#This Row],[PTF_COST_OF_CARRY]]=0),tblBOneExport[[#This Row],[PTF_VALUATION]],0)</f>
        <v>0</v>
      </c>
      <c r="X118" s="16">
        <f>SUM(tblCalculation[[#This Row],[PtfTrading]:[PtfModelRes]])</f>
        <v>1.067E-7</v>
      </c>
      <c r="Y118" s="16">
        <f>tblCalculation[[#This Row],[FIAttributable]]*tblBOneExport[[#This Row],[PTF_TRADING]]</f>
        <v>0</v>
      </c>
      <c r="Z118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18" s="16">
        <f>tblCalculation[[#This Row],[FIAttributable]]*tblBOneExport[[#This Row],[PTF_MODEL_RESIDUAL]]-PTF_Credit_Adj*tblCalculation[[#This Row],[PtfDTSWeight]]</f>
        <v>1.067E-7</v>
      </c>
      <c r="AB118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18" s="16">
        <f>tblBOneExport[[#This Row],[BMK_WEIGHT]]</f>
        <v>0</v>
      </c>
      <c r="AD118" s="78">
        <f>tblCalculation[[#This Row],[FIAttributable]]*SUMIFS(tblDTS[DTSContribution_BM],tblDTS[ISIN],tblCalculation[[#This Row],[ISIN]])</f>
        <v>1.2355079732978773E-2</v>
      </c>
      <c r="AE118" s="16">
        <f>IF(SUM(tblCalculation[BMKDTS])=0,0,tblCalculation[[#This Row],[BMKDTS]]/SUM(tblCalculation[BMKDTS]))</f>
        <v>1.4684046988613644E-3</v>
      </c>
      <c r="AF118" s="16">
        <f>tblBOneExport[[#This Row],[BMK_CONTRIBUTION]]</f>
        <v>0</v>
      </c>
      <c r="AG118" s="16">
        <f>tblCalculation[[#This Row],[BMKContributionBase]]-tblBOneExport[BMK_SPOT_CCY_RETURN]-tblBOneExport[[#This Row],[BMK_CROSS_EFFECT]]</f>
        <v>0</v>
      </c>
      <c r="AH118" s="16">
        <f>tblCalculation[[#This Row],[FIAttributable]]*(tblBOneExport[[#This Row],[BMK_RETURN_GOV_CARRY]])</f>
        <v>0</v>
      </c>
      <c r="AI118" s="16">
        <f>tblCalculation[[#This Row],[FIAttributable]]*tblBOneExport[[#This Row],[BMK_CREDIT_CARRY]]</f>
        <v>0</v>
      </c>
      <c r="AJ118" s="16">
        <f>tblCalculation[[#This Row],[FIAttributable]]*tblBOneExport[[#This Row],[BMK_TOTAL_CURVE]]</f>
        <v>0</v>
      </c>
      <c r="AK118" s="16">
        <f>tblCalculation[[#This Row],[FIAttributable]]*(tblBOneExport[[#This Row],[BMK_TOTAL_SPREAD]]+BMK_Credit_Adj*tblCalculation[[#This Row],[BmkDTSWeight]])</f>
        <v>0</v>
      </c>
      <c r="AL118" s="16">
        <f>tblCalculation[[#This Row],[FIAttributable]]*tblBOneExport[[#This Row],[BMK_MODEL_RESIDUAL]]-BMK_Credit_Adj*tblCalculation[[#This Row],[BmkDTSWeight]]</f>
        <v>0</v>
      </c>
      <c r="AM118" s="16">
        <f>IF(tblCalculation[[#This Row],[Level3]]="Forward Contracts",tblCalculation[[#This Row],[BMKContributionLocal]],0)</f>
        <v>0</v>
      </c>
      <c r="AN118" s="16">
        <f>tblBOneExport[[#This Row],[BMK_SPOT_CCY_RETURN]]+tblBOneExport[[#This Row],[BMK_CROSS_EFFECT]]</f>
        <v>0</v>
      </c>
    </row>
    <row r="119" spans="5:40" x14ac:dyDescent="0.25">
      <c r="E119" s="7" t="str">
        <f>tblBOneExport[[#This Row],[INSTRUMENT_CODE]]</f>
        <v>S00776039</v>
      </c>
      <c r="F119" s="7" t="str">
        <f>tblBOneExport[[#This Row],[INSTRUMENT]]</f>
        <v>YORKS WATER BRAD 6 21/08/19 EMTN</v>
      </c>
      <c r="G119" s="7" t="str">
        <f>IF(tblBOneExport[[#This Row],[ISIN]]&lt;&gt;"", tblBOneExport[[#This Row],[ISIN]],"")</f>
        <v>XS0439817908</v>
      </c>
      <c r="H119" s="7" t="str">
        <f>IF(tblCalculation[[#This Row],[B1Level2]]="CDS",tblBOneExport[[#This Row],[B1_TICKER]],IF(tblCalculation[[#This Row],[ISIN]]="","",INDEX(tblGetStaticData[Ticker],MATCH(tblCalculation[[#This Row],[ISIN]],tblGetStaticData[ISIN],0))))</f>
        <v>KEL</v>
      </c>
      <c r="I119" s="7" t="str">
        <f>IF(tblBOneExport[[#This Row],[INSTRUMENT_TYPE]]="Forward Contract","Forward Contract",tblBOneExport[LEVEL2])</f>
        <v>Corporates</v>
      </c>
      <c r="J119" s="7" t="str">
        <f>IF(tblBOneExport[[#This Row],[INSTRUMENT_TYPE]]="Forward Contract","Forward Contract",tblBOneExport[[#This Row],[LEVEL3]])</f>
        <v>Utilities</v>
      </c>
      <c r="K119" s="7" t="str">
        <f>INDEX(tblLvl2Mapping[],MATCH(tblCalculation[[#This Row],[B1Level2]]&amp;"_"&amp;tblCalculation[[#This Row],[B1Level3]],tblLvl2Mapping[B1Level2_B1Level3],0),2)</f>
        <v>Corporate</v>
      </c>
      <c r="L119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19" s="7">
        <f>INDEX(tblAttributable[],MATCH(tblCalculation[[#This Row],[Level3]],tblAttributable[Level3],0),2)</f>
        <v>1</v>
      </c>
      <c r="N119" s="16">
        <f>tblBOneExport[[#This Row],[PTF_WEIGHT]]</f>
        <v>6.5899830000000004E-4</v>
      </c>
      <c r="O119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5.7072954662879644E-4</v>
      </c>
      <c r="P119" s="48">
        <f>tblCalculation[[#This Row],[PtfDTS]]/SUM(tblCalculation[PtfDTS])</f>
        <v>6.9213674727176532E-5</v>
      </c>
      <c r="Q119" s="16">
        <f>tblBOneExport[[#This Row],[PTF_CONTRIBUTION]]</f>
        <v>1.6306999999999999E-6</v>
      </c>
      <c r="R119" s="16">
        <f>tblCalculation[[#This Row],[PtfContributionBase]]-tblCalculation[[#This Row],[PtfCurrencyReturn]]</f>
        <v>1.6306999999999999E-6</v>
      </c>
      <c r="S119" s="16">
        <f>IF(tblBOneExport[[#This Row],[LEVEL1]]="Bonds",tblBOneExport[[#This Row],[PTF_GOV_CARRY]],"")</f>
        <v>1.1969999999999999E-7</v>
      </c>
      <c r="T119" s="16">
        <f>tblCalculation[[#This Row],[FIAttributable]]*tblBOneExport[[#This Row],[PTF_CREDIT_CARRY]]</f>
        <v>4.0480000000000002E-7</v>
      </c>
      <c r="U119" s="16">
        <f>tblCalculation[[#This Row],[FIAttributable]]*tblBOneExport[[#This Row],[PTF_TOTAL_CURVE]]</f>
        <v>1.2142E-6</v>
      </c>
      <c r="V119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1.9399999999999998E-8</v>
      </c>
      <c r="W119" s="16">
        <f>IF(AND(tblCalculation[[#This Row],[Level3]]="Forward Contracts",tblBOneExport[[#This Row],[PTF_COST_OF_CARRY]]=0),tblBOneExport[[#This Row],[PTF_VALUATION]],0)</f>
        <v>0</v>
      </c>
      <c r="X119" s="16">
        <f>SUM(tblCalculation[[#This Row],[PtfTrading]:[PtfModelRes]])</f>
        <v>-1.2739999999999999E-7</v>
      </c>
      <c r="Y119" s="16">
        <f>tblCalculation[[#This Row],[FIAttributable]]*tblBOneExport[[#This Row],[PTF_TRADING]]</f>
        <v>0</v>
      </c>
      <c r="Z119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19" s="16">
        <f>tblCalculation[[#This Row],[FIAttributable]]*tblBOneExport[[#This Row],[PTF_MODEL_RESIDUAL]]-PTF_Credit_Adj*tblCalculation[[#This Row],[PtfDTSWeight]]</f>
        <v>-1.2739999999999999E-7</v>
      </c>
      <c r="AB119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19" s="16">
        <f>tblBOneExport[[#This Row],[BMK_WEIGHT]]</f>
        <v>0</v>
      </c>
      <c r="AD119" s="78">
        <f>tblCalculation[[#This Row],[FIAttributable]]*SUMIFS(tblDTS[DTSContribution_BM],tblDTS[ISIN],tblCalculation[[#This Row],[ISIN]])</f>
        <v>0</v>
      </c>
      <c r="AE119" s="16">
        <f>IF(SUM(tblCalculation[BMKDTS])=0,0,tblCalculation[[#This Row],[BMKDTS]]/SUM(tblCalculation[BMKDTS]))</f>
        <v>0</v>
      </c>
      <c r="AF119" s="16">
        <f>tblBOneExport[[#This Row],[BMK_CONTRIBUTION]]</f>
        <v>0</v>
      </c>
      <c r="AG119" s="16">
        <f>tblCalculation[[#This Row],[BMKContributionBase]]-tblBOneExport[BMK_SPOT_CCY_RETURN]-tblBOneExport[[#This Row],[BMK_CROSS_EFFECT]]</f>
        <v>0</v>
      </c>
      <c r="AH119" s="16">
        <f>tblCalculation[[#This Row],[FIAttributable]]*(tblBOneExport[[#This Row],[BMK_RETURN_GOV_CARRY]])</f>
        <v>0</v>
      </c>
      <c r="AI119" s="16">
        <f>tblCalculation[[#This Row],[FIAttributable]]*tblBOneExport[[#This Row],[BMK_CREDIT_CARRY]]</f>
        <v>0</v>
      </c>
      <c r="AJ119" s="16">
        <f>tblCalculation[[#This Row],[FIAttributable]]*tblBOneExport[[#This Row],[BMK_TOTAL_CURVE]]</f>
        <v>0</v>
      </c>
      <c r="AK119" s="16">
        <f>tblCalculation[[#This Row],[FIAttributable]]*(tblBOneExport[[#This Row],[BMK_TOTAL_SPREAD]]+BMK_Credit_Adj*tblCalculation[[#This Row],[BmkDTSWeight]])</f>
        <v>0</v>
      </c>
      <c r="AL119" s="16">
        <f>tblCalculation[[#This Row],[FIAttributable]]*tblBOneExport[[#This Row],[BMK_MODEL_RESIDUAL]]-BMK_Credit_Adj*tblCalculation[[#This Row],[BmkDTSWeight]]</f>
        <v>0</v>
      </c>
      <c r="AM119" s="16">
        <f>IF(tblCalculation[[#This Row],[Level3]]="Forward Contracts",tblCalculation[[#This Row],[BMKContributionLocal]],0)</f>
        <v>0</v>
      </c>
      <c r="AN119" s="16">
        <f>tblBOneExport[[#This Row],[BMK_SPOT_CCY_RETURN]]+tblBOneExport[[#This Row],[BMK_CROSS_EFFECT]]</f>
        <v>0</v>
      </c>
    </row>
    <row r="120" spans="5:40" x14ac:dyDescent="0.25">
      <c r="E120" s="7" t="str">
        <f>tblBOneExport[[#This Row],[INSTRUMENT_CODE]]</f>
        <v>S00794715</v>
      </c>
      <c r="F120" s="7" t="str">
        <f>tblBOneExport[[#This Row],[INSTRUMENT]]</f>
        <v>ENEL FIN INTL NV 5.75 14/09/40 EMTN</v>
      </c>
      <c r="G120" s="7" t="str">
        <f>IF(tblBOneExport[[#This Row],[ISIN]]&lt;&gt;"", tblBOneExport[[#This Row],[ISIN]],"")</f>
        <v>XS0452187320</v>
      </c>
      <c r="H120" s="7" t="str">
        <f>IF(tblCalculation[[#This Row],[B1Level2]]="CDS",tblBOneExport[[#This Row],[B1_TICKER]],IF(tblCalculation[[#This Row],[ISIN]]="","",INDEX(tblGetStaticData[Ticker],MATCH(tblCalculation[[#This Row],[ISIN]],tblGetStaticData[ISIN],0))))</f>
        <v>ENELIM</v>
      </c>
      <c r="I120" s="7" t="str">
        <f>IF(tblBOneExport[[#This Row],[INSTRUMENT_TYPE]]="Forward Contract","Forward Contract",tblBOneExport[LEVEL2])</f>
        <v>Corporates</v>
      </c>
      <c r="J120" s="7" t="str">
        <f>IF(tblBOneExport[[#This Row],[INSTRUMENT_TYPE]]="Forward Contract","Forward Contract",tblBOneExport[[#This Row],[LEVEL3]])</f>
        <v>Utilities</v>
      </c>
      <c r="K120" s="7" t="str">
        <f>INDEX(tblLvl2Mapping[],MATCH(tblCalculation[[#This Row],[B1Level2]]&amp;"_"&amp;tblCalculation[[#This Row],[B1Level3]],tblLvl2Mapping[B1Level2_B1Level3],0),2)</f>
        <v>Corporate</v>
      </c>
      <c r="L120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20" s="7">
        <f>INDEX(tblAttributable[],MATCH(tblCalculation[[#This Row],[Level3]],tblAttributable[Level3],0),2)</f>
        <v>1</v>
      </c>
      <c r="N120" s="16">
        <f>tblBOneExport[[#This Row],[PTF_WEIGHT]]</f>
        <v>4.1852850000000004E-3</v>
      </c>
      <c r="O120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0.10931141100434885</v>
      </c>
      <c r="P120" s="48">
        <f>tblCalculation[[#This Row],[PtfDTS]]/SUM(tblCalculation[PtfDTS])</f>
        <v>1.325644429995587E-2</v>
      </c>
      <c r="Q120" s="16">
        <f>tblBOneExport[[#This Row],[PTF_CONTRIBUTION]]</f>
        <v>1.127573E-4</v>
      </c>
      <c r="R120" s="16">
        <f>tblCalculation[[#This Row],[PtfContributionBase]]-tblCalculation[[#This Row],[PtfCurrencyReturn]]</f>
        <v>1.127573E-4</v>
      </c>
      <c r="S120" s="16">
        <f>IF(tblBOneExport[[#This Row],[LEVEL1]]="Bonds",tblBOneExport[[#This Row],[PTF_GOV_CARRY]],"")</f>
        <v>6.0020000000000003E-6</v>
      </c>
      <c r="T120" s="16">
        <f>tblCalculation[[#This Row],[FIAttributable]]*tblBOneExport[[#This Row],[PTF_CREDIT_CARRY]]</f>
        <v>5.6795999999999998E-6</v>
      </c>
      <c r="U120" s="16">
        <f>tblCalculation[[#This Row],[FIAttributable]]*tblBOneExport[[#This Row],[PTF_TOTAL_CURVE]]</f>
        <v>7.6228899999999998E-5</v>
      </c>
      <c r="V120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2.6834000000000001E-5</v>
      </c>
      <c r="W120" s="16">
        <f>IF(AND(tblCalculation[[#This Row],[Level3]]="Forward Contracts",tblBOneExport[[#This Row],[PTF_COST_OF_CARRY]]=0),tblBOneExport[[#This Row],[PTF_VALUATION]],0)</f>
        <v>0</v>
      </c>
      <c r="X120" s="16">
        <f>SUM(tblCalculation[[#This Row],[PtfTrading]:[PtfModelRes]])</f>
        <v>-1.9871999999999998E-6</v>
      </c>
      <c r="Y120" s="16">
        <f>tblCalculation[[#This Row],[FIAttributable]]*tblBOneExport[[#This Row],[PTF_TRADING]]</f>
        <v>0</v>
      </c>
      <c r="Z120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20" s="16">
        <f>tblCalculation[[#This Row],[FIAttributable]]*tblBOneExport[[#This Row],[PTF_MODEL_RESIDUAL]]-PTF_Credit_Adj*tblCalculation[[#This Row],[PtfDTSWeight]]</f>
        <v>-1.9871999999999998E-6</v>
      </c>
      <c r="AB120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20" s="16">
        <f>tblBOneExport[[#This Row],[BMK_WEIGHT]]</f>
        <v>0</v>
      </c>
      <c r="AD120" s="78">
        <f>tblCalculation[[#This Row],[FIAttributable]]*SUMIFS(tblDTS[DTSContribution_BM],tblDTS[ISIN],tblCalculation[[#This Row],[ISIN]])</f>
        <v>0.14427647962142096</v>
      </c>
      <c r="AE120" s="16">
        <f>IF(SUM(tblCalculation[BMKDTS])=0,0,tblCalculation[[#This Row],[BMKDTS]]/SUM(tblCalculation[BMKDTS]))</f>
        <v>1.7147300154265577E-2</v>
      </c>
      <c r="AF120" s="16">
        <f>tblBOneExport[[#This Row],[BMK_CONTRIBUTION]]</f>
        <v>0</v>
      </c>
      <c r="AG120" s="16">
        <f>tblCalculation[[#This Row],[BMKContributionBase]]-tblBOneExport[BMK_SPOT_CCY_RETURN]-tblBOneExport[[#This Row],[BMK_CROSS_EFFECT]]</f>
        <v>0</v>
      </c>
      <c r="AH120" s="16">
        <f>tblCalculation[[#This Row],[FIAttributable]]*(tblBOneExport[[#This Row],[BMK_RETURN_GOV_CARRY]])</f>
        <v>0</v>
      </c>
      <c r="AI120" s="16">
        <f>tblCalculation[[#This Row],[FIAttributable]]*tblBOneExport[[#This Row],[BMK_CREDIT_CARRY]]</f>
        <v>0</v>
      </c>
      <c r="AJ120" s="16">
        <f>tblCalculation[[#This Row],[FIAttributable]]*tblBOneExport[[#This Row],[BMK_TOTAL_CURVE]]</f>
        <v>0</v>
      </c>
      <c r="AK120" s="16">
        <f>tblCalculation[[#This Row],[FIAttributable]]*(tblBOneExport[[#This Row],[BMK_TOTAL_SPREAD]]+BMK_Credit_Adj*tblCalculation[[#This Row],[BmkDTSWeight]])</f>
        <v>0</v>
      </c>
      <c r="AL120" s="16">
        <f>tblCalculation[[#This Row],[FIAttributable]]*tblBOneExport[[#This Row],[BMK_MODEL_RESIDUAL]]-BMK_Credit_Adj*tblCalculation[[#This Row],[BmkDTSWeight]]</f>
        <v>0</v>
      </c>
      <c r="AM120" s="16">
        <f>IF(tblCalculation[[#This Row],[Level3]]="Forward Contracts",tblCalculation[[#This Row],[BMKContributionLocal]],0)</f>
        <v>0</v>
      </c>
      <c r="AN120" s="16">
        <f>tblBOneExport[[#This Row],[BMK_SPOT_CCY_RETURN]]+tblBOneExport[[#This Row],[BMK_CROSS_EFFECT]]</f>
        <v>0</v>
      </c>
    </row>
    <row r="121" spans="5:40" x14ac:dyDescent="0.25">
      <c r="E121" s="7" t="str">
        <f>tblBOneExport[[#This Row],[INSTRUMENT_CODE]]</f>
        <v>S00794724</v>
      </c>
      <c r="F121" s="7" t="str">
        <f>tblBOneExport[[#This Row],[INSTRUMENT]]</f>
        <v>ENEL FIN INTL NV 5.625 14/08/24 EMTN</v>
      </c>
      <c r="G121" s="7" t="str">
        <f>IF(tblBOneExport[[#This Row],[ISIN]]&lt;&gt;"", tblBOneExport[[#This Row],[ISIN]],"")</f>
        <v>XS0452188054</v>
      </c>
      <c r="H121" s="7" t="str">
        <f>IF(tblCalculation[[#This Row],[B1Level2]]="CDS",tblBOneExport[[#This Row],[B1_TICKER]],IF(tblCalculation[[#This Row],[ISIN]]="","",INDEX(tblGetStaticData[Ticker],MATCH(tblCalculation[[#This Row],[ISIN]],tblGetStaticData[ISIN],0))))</f>
        <v>ENELIM</v>
      </c>
      <c r="I121" s="7" t="str">
        <f>IF(tblBOneExport[[#This Row],[INSTRUMENT_TYPE]]="Forward Contract","Forward Contract",tblBOneExport[LEVEL2])</f>
        <v>Corporates</v>
      </c>
      <c r="J121" s="7" t="str">
        <f>IF(tblBOneExport[[#This Row],[INSTRUMENT_TYPE]]="Forward Contract","Forward Contract",tblBOneExport[[#This Row],[LEVEL3]])</f>
        <v>Utilities</v>
      </c>
      <c r="K121" s="7" t="str">
        <f>INDEX(tblLvl2Mapping[],MATCH(tblCalculation[[#This Row],[B1Level2]]&amp;"_"&amp;tblCalculation[[#This Row],[B1Level3]],tblLvl2Mapping[B1Level2_B1Level3],0),2)</f>
        <v>Corporate</v>
      </c>
      <c r="L121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21" s="7">
        <f>INDEX(tblAttributable[],MATCH(tblCalculation[[#This Row],[Level3]],tblAttributable[Level3],0),2)</f>
        <v>1</v>
      </c>
      <c r="N121" s="16">
        <f>tblBOneExport[[#This Row],[PTF_WEIGHT]]</f>
        <v>1.8985250000000001E-3</v>
      </c>
      <c r="O121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1.1483936830453734E-2</v>
      </c>
      <c r="P121" s="48">
        <f>tblCalculation[[#This Row],[PtfDTS]]/SUM(tblCalculation[PtfDTS])</f>
        <v>1.3926832298511371E-3</v>
      </c>
      <c r="Q121" s="16">
        <f>tblBOneExport[[#This Row],[PTF_CONTRIBUTION]]</f>
        <v>2.28718E-5</v>
      </c>
      <c r="R121" s="16">
        <f>tblCalculation[[#This Row],[PtfContributionBase]]-tblCalculation[[#This Row],[PtfCurrencyReturn]]</f>
        <v>2.28718E-5</v>
      </c>
      <c r="S121" s="16">
        <f>IF(tblBOneExport[[#This Row],[LEVEL1]]="Bonds",tblBOneExport[[#This Row],[PTF_GOV_CARRY]],"")</f>
        <v>1.1911999999999999E-6</v>
      </c>
      <c r="T121" s="16">
        <f>tblCalculation[[#This Row],[FIAttributable]]*tblBOneExport[[#This Row],[PTF_CREDIT_CARRY]]</f>
        <v>1.9889999999999999E-6</v>
      </c>
      <c r="U121" s="16">
        <f>tblCalculation[[#This Row],[FIAttributable]]*tblBOneExport[[#This Row],[PTF_TOTAL_CURVE]]</f>
        <v>1.9924599999999999E-5</v>
      </c>
      <c r="V121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-6.9490000000000001E-7</v>
      </c>
      <c r="W121" s="16">
        <f>IF(AND(tblCalculation[[#This Row],[Level3]]="Forward Contracts",tblBOneExport[[#This Row],[PTF_COST_OF_CARRY]]=0),tblBOneExport[[#This Row],[PTF_VALUATION]],0)</f>
        <v>0</v>
      </c>
      <c r="X121" s="16">
        <f>SUM(tblCalculation[[#This Row],[PtfTrading]:[PtfModelRes]])</f>
        <v>4.6199999999999998E-7</v>
      </c>
      <c r="Y121" s="16">
        <f>tblCalculation[[#This Row],[FIAttributable]]*tblBOneExport[[#This Row],[PTF_TRADING]]</f>
        <v>0</v>
      </c>
      <c r="Z121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21" s="16">
        <f>tblCalculation[[#This Row],[FIAttributable]]*tblBOneExport[[#This Row],[PTF_MODEL_RESIDUAL]]-PTF_Credit_Adj*tblCalculation[[#This Row],[PtfDTSWeight]]</f>
        <v>4.6199999999999998E-7</v>
      </c>
      <c r="AB121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21" s="16">
        <f>tblBOneExport[[#This Row],[BMK_WEIGHT]]</f>
        <v>0</v>
      </c>
      <c r="AD121" s="78">
        <f>tblCalculation[[#This Row],[FIAttributable]]*SUMIFS(tblDTS[DTSContribution_BM],tblDTS[ISIN],tblCalculation[[#This Row],[ISIN]])</f>
        <v>1.5158609419709344E-2</v>
      </c>
      <c r="AE121" s="16">
        <f>IF(SUM(tblCalculation[BMKDTS])=0,0,tblCalculation[[#This Row],[BMKDTS]]/SUM(tblCalculation[BMKDTS]))</f>
        <v>1.8016049901070745E-3</v>
      </c>
      <c r="AF121" s="16">
        <f>tblBOneExport[[#This Row],[BMK_CONTRIBUTION]]</f>
        <v>0</v>
      </c>
      <c r="AG121" s="16">
        <f>tblCalculation[[#This Row],[BMKContributionBase]]-tblBOneExport[BMK_SPOT_CCY_RETURN]-tblBOneExport[[#This Row],[BMK_CROSS_EFFECT]]</f>
        <v>0</v>
      </c>
      <c r="AH121" s="16">
        <f>tblCalculation[[#This Row],[FIAttributable]]*(tblBOneExport[[#This Row],[BMK_RETURN_GOV_CARRY]])</f>
        <v>0</v>
      </c>
      <c r="AI121" s="16">
        <f>tblCalculation[[#This Row],[FIAttributable]]*tblBOneExport[[#This Row],[BMK_CREDIT_CARRY]]</f>
        <v>0</v>
      </c>
      <c r="AJ121" s="16">
        <f>tblCalculation[[#This Row],[FIAttributable]]*tblBOneExport[[#This Row],[BMK_TOTAL_CURVE]]</f>
        <v>0</v>
      </c>
      <c r="AK121" s="16">
        <f>tblCalculation[[#This Row],[FIAttributable]]*(tblBOneExport[[#This Row],[BMK_TOTAL_SPREAD]]+BMK_Credit_Adj*tblCalculation[[#This Row],[BmkDTSWeight]])</f>
        <v>0</v>
      </c>
      <c r="AL121" s="16">
        <f>tblCalculation[[#This Row],[FIAttributable]]*tblBOneExport[[#This Row],[BMK_MODEL_RESIDUAL]]-BMK_Credit_Adj*tblCalculation[[#This Row],[BmkDTSWeight]]</f>
        <v>0</v>
      </c>
      <c r="AM121" s="16">
        <f>IF(tblCalculation[[#This Row],[Level3]]="Forward Contracts",tblCalculation[[#This Row],[BMKContributionLocal]],0)</f>
        <v>0</v>
      </c>
      <c r="AN121" s="16">
        <f>tblBOneExport[[#This Row],[BMK_SPOT_CCY_RETURN]]+tblBOneExport[[#This Row],[BMK_CROSS_EFFECT]]</f>
        <v>0</v>
      </c>
    </row>
    <row r="122" spans="5:40" x14ac:dyDescent="0.25">
      <c r="E122" s="7" t="str">
        <f>tblBOneExport[[#This Row],[INSTRUMENT_CODE]]</f>
        <v>S00797310</v>
      </c>
      <c r="F122" s="7" t="str">
        <f>tblBOneExport[[#This Row],[INSTRUMENT]]</f>
        <v>SCOTTISH &amp; SOUTH 5 01/10/18 EMTN</v>
      </c>
      <c r="G122" s="7" t="str">
        <f>IF(tblBOneExport[[#This Row],[ISIN]]&lt;&gt;"", tblBOneExport[[#This Row],[ISIN]],"")</f>
        <v>XS0454509455</v>
      </c>
      <c r="H122" s="7" t="str">
        <f>IF(tblCalculation[[#This Row],[B1Level2]]="CDS",tblBOneExport[[#This Row],[B1_TICKER]],IF(tblCalculation[[#This Row],[ISIN]]="","",INDEX(tblGetStaticData[Ticker],MATCH(tblCalculation[[#This Row],[ISIN]],tblGetStaticData[ISIN],0))))</f>
        <v>SSELN</v>
      </c>
      <c r="I122" s="7" t="str">
        <f>IF(tblBOneExport[[#This Row],[INSTRUMENT_TYPE]]="Forward Contract","Forward Contract",tblBOneExport[LEVEL2])</f>
        <v>Corporates</v>
      </c>
      <c r="J122" s="7" t="str">
        <f>IF(tblBOneExport[[#This Row],[INSTRUMENT_TYPE]]="Forward Contract","Forward Contract",tblBOneExport[[#This Row],[LEVEL3]])</f>
        <v>Utilities</v>
      </c>
      <c r="K122" s="7" t="str">
        <f>INDEX(tblLvl2Mapping[],MATCH(tblCalculation[[#This Row],[B1Level2]]&amp;"_"&amp;tblCalculation[[#This Row],[B1Level3]],tblLvl2Mapping[B1Level2_B1Level3],0),2)</f>
        <v>Corporate</v>
      </c>
      <c r="L122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22" s="7">
        <f>INDEX(tblAttributable[],MATCH(tblCalculation[[#This Row],[Level3]],tblAttributable[Level3],0),2)</f>
        <v>1</v>
      </c>
      <c r="N122" s="16">
        <f>tblBOneExport[[#This Row],[PTF_WEIGHT]]</f>
        <v>1.0078910999999999E-3</v>
      </c>
      <c r="O122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5.8048553548725767E-4</v>
      </c>
      <c r="P122" s="48">
        <f>tblCalculation[[#This Row],[PtfDTS]]/SUM(tblCalculation[PtfDTS])</f>
        <v>7.039680576267324E-5</v>
      </c>
      <c r="Q122" s="16">
        <f>tblBOneExport[[#This Row],[PTF_CONTRIBUTION]]</f>
        <v>1.9796999999999999E-6</v>
      </c>
      <c r="R122" s="16">
        <f>tblCalculation[[#This Row],[PtfContributionBase]]-tblCalculation[[#This Row],[PtfCurrencyReturn]]</f>
        <v>1.9796999999999999E-6</v>
      </c>
      <c r="S122" s="16">
        <f>IF(tblBOneExport[[#This Row],[LEVEL1]]="Bonds",tblBOneExport[[#This Row],[PTF_GOV_CARRY]],"")</f>
        <v>1.836E-7</v>
      </c>
      <c r="T122" s="16">
        <f>tblCalculation[[#This Row],[FIAttributable]]*tblBOneExport[[#This Row],[PTF_CREDIT_CARRY]]</f>
        <v>5.8080000000000001E-7</v>
      </c>
      <c r="U122" s="16">
        <f>tblCalculation[[#This Row],[FIAttributable]]*tblBOneExport[[#This Row],[PTF_TOTAL_CURVE]]</f>
        <v>1.5625000000000001E-6</v>
      </c>
      <c r="V122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-3.3070000000000002E-7</v>
      </c>
      <c r="W122" s="16">
        <f>IF(AND(tblCalculation[[#This Row],[Level3]]="Forward Contracts",tblBOneExport[[#This Row],[PTF_COST_OF_CARRY]]=0),tblBOneExport[[#This Row],[PTF_VALUATION]],0)</f>
        <v>0</v>
      </c>
      <c r="X122" s="16">
        <f>SUM(tblCalculation[[#This Row],[PtfTrading]:[PtfModelRes]])</f>
        <v>-1.6400000000000001E-8</v>
      </c>
      <c r="Y122" s="16">
        <f>tblCalculation[[#This Row],[FIAttributable]]*tblBOneExport[[#This Row],[PTF_TRADING]]</f>
        <v>0</v>
      </c>
      <c r="Z122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22" s="16">
        <f>tblCalculation[[#This Row],[FIAttributable]]*tblBOneExport[[#This Row],[PTF_MODEL_RESIDUAL]]-PTF_Credit_Adj*tblCalculation[[#This Row],[PtfDTSWeight]]</f>
        <v>-1.6400000000000001E-8</v>
      </c>
      <c r="AB122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22" s="16">
        <f>tblBOneExport[[#This Row],[BMK_WEIGHT]]</f>
        <v>0</v>
      </c>
      <c r="AD122" s="78">
        <f>tblCalculation[[#This Row],[FIAttributable]]*SUMIFS(tblDTS[DTSContribution_BM],tblDTS[ISIN],tblCalculation[[#This Row],[ISIN]])</f>
        <v>7.6605873109479724E-4</v>
      </c>
      <c r="AE122" s="16">
        <f>IF(SUM(tblCalculation[BMKDTS])=0,0,tblCalculation[[#This Row],[BMKDTS]]/SUM(tblCalculation[BMKDTS]))</f>
        <v>9.1046295503927787E-5</v>
      </c>
      <c r="AF122" s="16">
        <f>tblBOneExport[[#This Row],[BMK_CONTRIBUTION]]</f>
        <v>0</v>
      </c>
      <c r="AG122" s="16">
        <f>tblCalculation[[#This Row],[BMKContributionBase]]-tblBOneExport[BMK_SPOT_CCY_RETURN]-tblBOneExport[[#This Row],[BMK_CROSS_EFFECT]]</f>
        <v>0</v>
      </c>
      <c r="AH122" s="16">
        <f>tblCalculation[[#This Row],[FIAttributable]]*(tblBOneExport[[#This Row],[BMK_RETURN_GOV_CARRY]])</f>
        <v>0</v>
      </c>
      <c r="AI122" s="16">
        <f>tblCalculation[[#This Row],[FIAttributable]]*tblBOneExport[[#This Row],[BMK_CREDIT_CARRY]]</f>
        <v>0</v>
      </c>
      <c r="AJ122" s="16">
        <f>tblCalculation[[#This Row],[FIAttributable]]*tblBOneExport[[#This Row],[BMK_TOTAL_CURVE]]</f>
        <v>0</v>
      </c>
      <c r="AK122" s="16">
        <f>tblCalculation[[#This Row],[FIAttributable]]*(tblBOneExport[[#This Row],[BMK_TOTAL_SPREAD]]+BMK_Credit_Adj*tblCalculation[[#This Row],[BmkDTSWeight]])</f>
        <v>0</v>
      </c>
      <c r="AL122" s="16">
        <f>tblCalculation[[#This Row],[FIAttributable]]*tblBOneExport[[#This Row],[BMK_MODEL_RESIDUAL]]-BMK_Credit_Adj*tblCalculation[[#This Row],[BmkDTSWeight]]</f>
        <v>0</v>
      </c>
      <c r="AM122" s="16">
        <f>IF(tblCalculation[[#This Row],[Level3]]="Forward Contracts",tblCalculation[[#This Row],[BMKContributionLocal]],0)</f>
        <v>0</v>
      </c>
      <c r="AN122" s="16">
        <f>tblBOneExport[[#This Row],[BMK_SPOT_CCY_RETURN]]+tblBOneExport[[#This Row],[BMK_CROSS_EFFECT]]</f>
        <v>0</v>
      </c>
    </row>
    <row r="123" spans="5:40" x14ac:dyDescent="0.25">
      <c r="E123" s="7" t="str">
        <f>tblBOneExport[[#This Row],[INSTRUMENT_CODE]]</f>
        <v>S00799630</v>
      </c>
      <c r="F123" s="7" t="str">
        <f>tblBOneExport[[#This Row],[INSTRUMENT]]</f>
        <v>BMW FINANCE NV 5 02/10/17 EMTN</v>
      </c>
      <c r="G123" s="7" t="str">
        <f>IF(tblBOneExport[[#This Row],[ISIN]]&lt;&gt;"", tblBOneExport[[#This Row],[ISIN]],"")</f>
        <v>XS0455542521</v>
      </c>
      <c r="H123" s="7" t="str">
        <f>IF(tblCalculation[[#This Row],[B1Level2]]="CDS",tblBOneExport[[#This Row],[B1_TICKER]],IF(tblCalculation[[#This Row],[ISIN]]="","",INDEX(tblGetStaticData[Ticker],MATCH(tblCalculation[[#This Row],[ISIN]],tblGetStaticData[ISIN],0))))</f>
        <v>BMW</v>
      </c>
      <c r="I123" s="7" t="str">
        <f>IF(tblBOneExport[[#This Row],[INSTRUMENT_TYPE]]="Forward Contract","Forward Contract",tblBOneExport[LEVEL2])</f>
        <v>Corporates</v>
      </c>
      <c r="J123" s="7" t="str">
        <f>IF(tblBOneExport[[#This Row],[INSTRUMENT_TYPE]]="Forward Contract","Forward Contract",tblBOneExport[[#This Row],[LEVEL3]])</f>
        <v>Industrials</v>
      </c>
      <c r="K123" s="7" t="str">
        <f>INDEX(tblLvl2Mapping[],MATCH(tblCalculation[[#This Row],[B1Level2]]&amp;"_"&amp;tblCalculation[[#This Row],[B1Level3]],tblLvl2Mapping[B1Level2_B1Level3],0),2)</f>
        <v>Corporate</v>
      </c>
      <c r="L123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23" s="7">
        <f>INDEX(tblAttributable[],MATCH(tblCalculation[[#This Row],[Level3]],tblAttributable[Level3],0),2)</f>
        <v>1</v>
      </c>
      <c r="N123" s="16">
        <f>tblBOneExport[[#This Row],[PTF_WEIGHT]]</f>
        <v>2.4242248999999999E-3</v>
      </c>
      <c r="O123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2.5133397247320831E-4</v>
      </c>
      <c r="P123" s="48">
        <f>tblCalculation[[#This Row],[PtfDTS]]/SUM(tblCalculation[PtfDTS])</f>
        <v>3.0479844475204656E-5</v>
      </c>
      <c r="Q123" s="16">
        <f>tblBOneExport[[#This Row],[PTF_CONTRIBUTION]]</f>
        <v>7.3549999999999999E-7</v>
      </c>
      <c r="R123" s="16">
        <f>tblCalculation[[#This Row],[PtfContributionBase]]-tblCalculation[[#This Row],[PtfCurrencyReturn]]</f>
        <v>7.3549999999999999E-7</v>
      </c>
      <c r="S123" s="16">
        <f>IF(tblBOneExport[[#This Row],[LEVEL1]]="Bonds",tblBOneExport[[#This Row],[PTF_GOV_CARRY]],"")</f>
        <v>2.7500000000000001E-7</v>
      </c>
      <c r="T123" s="16">
        <f>tblCalculation[[#This Row],[FIAttributable]]*tblBOneExport[[#This Row],[PTF_CREDIT_CARRY]]</f>
        <v>1.8028999999999999E-6</v>
      </c>
      <c r="U123" s="16">
        <f>tblCalculation[[#This Row],[FIAttributable]]*tblBOneExport[[#This Row],[PTF_TOTAL_CURVE]]</f>
        <v>-2.1900000000000001E-8</v>
      </c>
      <c r="V123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-1.1572999999999999E-6</v>
      </c>
      <c r="W123" s="16">
        <f>IF(AND(tblCalculation[[#This Row],[Level3]]="Forward Contracts",tblBOneExport[[#This Row],[PTF_COST_OF_CARRY]]=0),tblBOneExport[[#This Row],[PTF_VALUATION]],0)</f>
        <v>0</v>
      </c>
      <c r="X123" s="16">
        <f>SUM(tblCalculation[[#This Row],[PtfTrading]:[PtfModelRes]])</f>
        <v>-1.631E-7</v>
      </c>
      <c r="Y123" s="16">
        <f>tblCalculation[[#This Row],[FIAttributable]]*tblBOneExport[[#This Row],[PTF_TRADING]]</f>
        <v>0</v>
      </c>
      <c r="Z123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23" s="16">
        <f>tblCalculation[[#This Row],[FIAttributable]]*tblBOneExport[[#This Row],[PTF_MODEL_RESIDUAL]]-PTF_Credit_Adj*tblCalculation[[#This Row],[PtfDTSWeight]]</f>
        <v>-1.631E-7</v>
      </c>
      <c r="AB123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23" s="16">
        <f>tblBOneExport[[#This Row],[BMK_WEIGHT]]</f>
        <v>0</v>
      </c>
      <c r="AD123" s="78">
        <f>tblCalculation[[#This Row],[FIAttributable]]*SUMIFS(tblDTS[DTSContribution_BM],tblDTS[ISIN],tblCalculation[[#This Row],[ISIN]])</f>
        <v>3.3166261439821225E-4</v>
      </c>
      <c r="AE123" s="16">
        <f>IF(SUM(tblCalculation[BMKDTS])=0,0,tblCalculation[[#This Row],[BMKDTS]]/SUM(tblCalculation[BMKDTS]))</f>
        <v>3.9418194940419202E-5</v>
      </c>
      <c r="AF123" s="16">
        <f>tblBOneExport[[#This Row],[BMK_CONTRIBUTION]]</f>
        <v>0</v>
      </c>
      <c r="AG123" s="16">
        <f>tblCalculation[[#This Row],[BMKContributionBase]]-tblBOneExport[BMK_SPOT_CCY_RETURN]-tblBOneExport[[#This Row],[BMK_CROSS_EFFECT]]</f>
        <v>0</v>
      </c>
      <c r="AH123" s="16">
        <f>tblCalculation[[#This Row],[FIAttributable]]*(tblBOneExport[[#This Row],[BMK_RETURN_GOV_CARRY]])</f>
        <v>0</v>
      </c>
      <c r="AI123" s="16">
        <f>tblCalculation[[#This Row],[FIAttributable]]*tblBOneExport[[#This Row],[BMK_CREDIT_CARRY]]</f>
        <v>0</v>
      </c>
      <c r="AJ123" s="16">
        <f>tblCalculation[[#This Row],[FIAttributable]]*tblBOneExport[[#This Row],[BMK_TOTAL_CURVE]]</f>
        <v>0</v>
      </c>
      <c r="AK123" s="16">
        <f>tblCalculation[[#This Row],[FIAttributable]]*(tblBOneExport[[#This Row],[BMK_TOTAL_SPREAD]]+BMK_Credit_Adj*tblCalculation[[#This Row],[BmkDTSWeight]])</f>
        <v>0</v>
      </c>
      <c r="AL123" s="16">
        <f>tblCalculation[[#This Row],[FIAttributable]]*tblBOneExport[[#This Row],[BMK_MODEL_RESIDUAL]]-BMK_Credit_Adj*tblCalculation[[#This Row],[BmkDTSWeight]]</f>
        <v>0</v>
      </c>
      <c r="AM123" s="16">
        <f>IF(tblCalculation[[#This Row],[Level3]]="Forward Contracts",tblCalculation[[#This Row],[BMKContributionLocal]],0)</f>
        <v>0</v>
      </c>
      <c r="AN123" s="16">
        <f>tblBOneExport[[#This Row],[BMK_SPOT_CCY_RETURN]]+tblBOneExport[[#This Row],[BMK_CROSS_EFFECT]]</f>
        <v>0</v>
      </c>
    </row>
    <row r="124" spans="5:40" x14ac:dyDescent="0.25">
      <c r="E124" s="7" t="str">
        <f>tblBOneExport[[#This Row],[INSTRUMENT_CODE]]</f>
        <v>S00813104</v>
      </c>
      <c r="F124" s="7" t="str">
        <f>tblBOneExport[[#This Row],[INSTRUMENT]]</f>
        <v>EDF NRG NET EPN 6.25 12/11/36 EMTN</v>
      </c>
      <c r="G124" s="7" t="str">
        <f>IF(tblBOneExport[[#This Row],[ISIN]]&lt;&gt;"", tblBOneExport[[#This Row],[ISIN]],"")</f>
        <v>XS0466148441</v>
      </c>
      <c r="H124" s="7" t="str">
        <f>IF(tblCalculation[[#This Row],[B1Level2]]="CDS",tblBOneExport[[#This Row],[B1_TICKER]],IF(tblCalculation[[#This Row],[ISIN]]="","",INDEX(tblGetStaticData[Ticker],MATCH(tblCalculation[[#This Row],[ISIN]],tblGetStaticData[ISIN],0))))</f>
        <v>UKPONE</v>
      </c>
      <c r="I124" s="7" t="str">
        <f>IF(tblBOneExport[[#This Row],[INSTRUMENT_TYPE]]="Forward Contract","Forward Contract",tblBOneExport[LEVEL2])</f>
        <v>Corporates</v>
      </c>
      <c r="J124" s="7" t="str">
        <f>IF(tblBOneExport[[#This Row],[INSTRUMENT_TYPE]]="Forward Contract","Forward Contract",tblBOneExport[[#This Row],[LEVEL3]])</f>
        <v>Utilities</v>
      </c>
      <c r="K124" s="7" t="str">
        <f>INDEX(tblLvl2Mapping[],MATCH(tblCalculation[[#This Row],[B1Level2]]&amp;"_"&amp;tblCalculation[[#This Row],[B1Level3]],tblLvl2Mapping[B1Level2_B1Level3],0),2)</f>
        <v>Corporate</v>
      </c>
      <c r="L124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24" s="7">
        <f>INDEX(tblAttributable[],MATCH(tblCalculation[[#This Row],[Level3]],tblAttributable[Level3],0),2)</f>
        <v>1</v>
      </c>
      <c r="N124" s="16">
        <f>tblBOneExport[[#This Row],[PTF_WEIGHT]]</f>
        <v>2.7547586000000002E-3</v>
      </c>
      <c r="O124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3.7655864603116436E-2</v>
      </c>
      <c r="P124" s="48">
        <f>tblCalculation[[#This Row],[PtfDTS]]/SUM(tblCalculation[PtfDTS])</f>
        <v>4.566612644475272E-3</v>
      </c>
      <c r="Q124" s="16">
        <f>tblBOneExport[[#This Row],[PTF_CONTRIBUTION]]</f>
        <v>6.4942800000000004E-5</v>
      </c>
      <c r="R124" s="16">
        <f>tblCalculation[[#This Row],[PtfContributionBase]]-tblCalculation[[#This Row],[PtfCurrencyReturn]]</f>
        <v>6.4942800000000004E-5</v>
      </c>
      <c r="S124" s="16">
        <f>IF(tblBOneExport[[#This Row],[LEVEL1]]="Bonds",tblBOneExport[[#This Row],[PTF_GOV_CARRY]],"")</f>
        <v>3.7529000000000001E-6</v>
      </c>
      <c r="T124" s="16">
        <f>tblCalculation[[#This Row],[FIAttributable]]*tblBOneExport[[#This Row],[PTF_CREDIT_CARRY]]</f>
        <v>2.4443999999999998E-6</v>
      </c>
      <c r="U124" s="16">
        <f>tblCalculation[[#This Row],[FIAttributable]]*tblBOneExport[[#This Row],[PTF_TOTAL_CURVE]]</f>
        <v>3.2109300000000001E-5</v>
      </c>
      <c r="V124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2.71905E-5</v>
      </c>
      <c r="W124" s="16">
        <f>IF(AND(tblCalculation[[#This Row],[Level3]]="Forward Contracts",tblBOneExport[[#This Row],[PTF_COST_OF_CARRY]]=0),tblBOneExport[[#This Row],[PTF_VALUATION]],0)</f>
        <v>0</v>
      </c>
      <c r="X124" s="16">
        <f>SUM(tblCalculation[[#This Row],[PtfTrading]:[PtfModelRes]])</f>
        <v>-5.5430000000000003E-7</v>
      </c>
      <c r="Y124" s="16">
        <f>tblCalculation[[#This Row],[FIAttributable]]*tblBOneExport[[#This Row],[PTF_TRADING]]</f>
        <v>0</v>
      </c>
      <c r="Z124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24" s="16">
        <f>tblCalculation[[#This Row],[FIAttributable]]*tblBOneExport[[#This Row],[PTF_MODEL_RESIDUAL]]-PTF_Credit_Adj*tblCalculation[[#This Row],[PtfDTSWeight]]</f>
        <v>-5.5430000000000003E-7</v>
      </c>
      <c r="AB124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24" s="16">
        <f>tblBOneExport[[#This Row],[BMK_WEIGHT]]</f>
        <v>0</v>
      </c>
      <c r="AD124" s="78">
        <f>tblCalculation[[#This Row],[FIAttributable]]*SUMIFS(tblDTS[DTSContribution_BM],tblDTS[ISIN],tblCalculation[[#This Row],[ISIN]])</f>
        <v>4.9704482292889304E-2</v>
      </c>
      <c r="AE124" s="16">
        <f>IF(SUM(tblCalculation[BMKDTS])=0,0,tblCalculation[[#This Row],[BMKDTS]]/SUM(tblCalculation[BMKDTS]))</f>
        <v>5.9073916907659936E-3</v>
      </c>
      <c r="AF124" s="16">
        <f>tblBOneExport[[#This Row],[BMK_CONTRIBUTION]]</f>
        <v>0</v>
      </c>
      <c r="AG124" s="16">
        <f>tblCalculation[[#This Row],[BMKContributionBase]]-tblBOneExport[BMK_SPOT_CCY_RETURN]-tblBOneExport[[#This Row],[BMK_CROSS_EFFECT]]</f>
        <v>0</v>
      </c>
      <c r="AH124" s="16">
        <f>tblCalculation[[#This Row],[FIAttributable]]*(tblBOneExport[[#This Row],[BMK_RETURN_GOV_CARRY]])</f>
        <v>0</v>
      </c>
      <c r="AI124" s="16">
        <f>tblCalculation[[#This Row],[FIAttributable]]*tblBOneExport[[#This Row],[BMK_CREDIT_CARRY]]</f>
        <v>0</v>
      </c>
      <c r="AJ124" s="16">
        <f>tblCalculation[[#This Row],[FIAttributable]]*tblBOneExport[[#This Row],[BMK_TOTAL_CURVE]]</f>
        <v>0</v>
      </c>
      <c r="AK124" s="16">
        <f>tblCalculation[[#This Row],[FIAttributable]]*(tblBOneExport[[#This Row],[BMK_TOTAL_SPREAD]]+BMK_Credit_Adj*tblCalculation[[#This Row],[BmkDTSWeight]])</f>
        <v>0</v>
      </c>
      <c r="AL124" s="16">
        <f>tblCalculation[[#This Row],[FIAttributable]]*tblBOneExport[[#This Row],[BMK_MODEL_RESIDUAL]]-BMK_Credit_Adj*tblCalculation[[#This Row],[BmkDTSWeight]]</f>
        <v>0</v>
      </c>
      <c r="AM124" s="16">
        <f>IF(tblCalculation[[#This Row],[Level3]]="Forward Contracts",tblCalculation[[#This Row],[BMKContributionLocal]],0)</f>
        <v>0</v>
      </c>
      <c r="AN124" s="16">
        <f>tblBOneExport[[#This Row],[BMK_SPOT_CCY_RETURN]]+tblBOneExport[[#This Row],[BMK_CROSS_EFFECT]]</f>
        <v>0</v>
      </c>
    </row>
    <row r="125" spans="5:40" x14ac:dyDescent="0.25">
      <c r="E125" s="7" t="str">
        <f>tblBOneExport[[#This Row],[INSTRUMENT_CODE]]</f>
        <v>S00813122</v>
      </c>
      <c r="F125" s="7" t="str">
        <f>tblBOneExport[[#This Row],[INSTRUMENT]]</f>
        <v>EDF ENERGY 6.375 12/11/31 EMTN</v>
      </c>
      <c r="G125" s="7" t="str">
        <f>IF(tblBOneExport[[#This Row],[ISIN]]&lt;&gt;"", tblBOneExport[[#This Row],[ISIN]],"")</f>
        <v>XS0466149506</v>
      </c>
      <c r="H125" s="7" t="str">
        <f>IF(tblCalculation[[#This Row],[B1Level2]]="CDS",tblBOneExport[[#This Row],[B1_TICKER]],IF(tblCalculation[[#This Row],[ISIN]]="","",INDEX(tblGetStaticData[Ticker],MATCH(tblCalculation[[#This Row],[ISIN]],tblGetStaticData[ISIN],0))))</f>
        <v>UKPONE</v>
      </c>
      <c r="I125" s="7" t="str">
        <f>IF(tblBOneExport[[#This Row],[INSTRUMENT_TYPE]]="Forward Contract","Forward Contract",tblBOneExport[LEVEL2])</f>
        <v>Corporates</v>
      </c>
      <c r="J125" s="7" t="str">
        <f>IF(tblBOneExport[[#This Row],[INSTRUMENT_TYPE]]="Forward Contract","Forward Contract",tblBOneExport[[#This Row],[LEVEL3]])</f>
        <v>Utilities</v>
      </c>
      <c r="K125" s="7" t="str">
        <f>INDEX(tblLvl2Mapping[],MATCH(tblCalculation[[#This Row],[B1Level2]]&amp;"_"&amp;tblCalculation[[#This Row],[B1Level3]],tblLvl2Mapping[B1Level2_B1Level3],0),2)</f>
        <v>Corporate</v>
      </c>
      <c r="L125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25" s="7">
        <f>INDEX(tblAttributable[],MATCH(tblCalculation[[#This Row],[Level3]],tblAttributable[Level3],0),2)</f>
        <v>1</v>
      </c>
      <c r="N125" s="16">
        <f>tblBOneExport[[#This Row],[PTF_WEIGHT]]</f>
        <v>4.9535608000000004E-3</v>
      </c>
      <c r="O125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5.4100745549077491E-2</v>
      </c>
      <c r="P125" s="48">
        <f>tblCalculation[[#This Row],[PtfDTS]]/SUM(tblCalculation[PtfDTS])</f>
        <v>6.5609208898501801E-3</v>
      </c>
      <c r="Q125" s="16">
        <f>tblBOneExport[[#This Row],[PTF_CONTRIBUTION]]</f>
        <v>1.020996E-4</v>
      </c>
      <c r="R125" s="16">
        <f>tblCalculation[[#This Row],[PtfContributionBase]]-tblCalculation[[#This Row],[PtfCurrencyReturn]]</f>
        <v>1.020996E-4</v>
      </c>
      <c r="S125" s="16">
        <f>IF(tblBOneExport[[#This Row],[LEVEL1]]="Bonds",tblBOneExport[[#This Row],[PTF_GOV_CARRY]],"")</f>
        <v>6.0101000000000003E-6</v>
      </c>
      <c r="T125" s="16">
        <f>tblCalculation[[#This Row],[FIAttributable]]*tblBOneExport[[#This Row],[PTF_CREDIT_CARRY]]</f>
        <v>4.0126000000000003E-6</v>
      </c>
      <c r="U125" s="16">
        <f>tblCalculation[[#This Row],[FIAttributable]]*tblBOneExport[[#This Row],[PTF_TOTAL_CURVE]]</f>
        <v>9.1088000000000006E-5</v>
      </c>
      <c r="V125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2.6717000000000002E-6</v>
      </c>
      <c r="W125" s="16">
        <f>IF(AND(tblCalculation[[#This Row],[Level3]]="Forward Contracts",tblBOneExport[[#This Row],[PTF_COST_OF_CARRY]]=0),tblBOneExport[[#This Row],[PTF_VALUATION]],0)</f>
        <v>0</v>
      </c>
      <c r="X125" s="16">
        <f>SUM(tblCalculation[[#This Row],[PtfTrading]:[PtfModelRes]])</f>
        <v>-1.6829E-6</v>
      </c>
      <c r="Y125" s="16">
        <f>tblCalculation[[#This Row],[FIAttributable]]*tblBOneExport[[#This Row],[PTF_TRADING]]</f>
        <v>0</v>
      </c>
      <c r="Z125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25" s="16">
        <f>tblCalculation[[#This Row],[FIAttributable]]*tblBOneExport[[#This Row],[PTF_MODEL_RESIDUAL]]-PTF_Credit_Adj*tblCalculation[[#This Row],[PtfDTSWeight]]</f>
        <v>-1.6829E-6</v>
      </c>
      <c r="AB125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25" s="16">
        <f>tblBOneExport[[#This Row],[BMK_WEIGHT]]</f>
        <v>0</v>
      </c>
      <c r="AD125" s="78">
        <f>tblCalculation[[#This Row],[FIAttributable]]*SUMIFS(tblDTS[DTSContribution_BM],tblDTS[ISIN],tblCalculation[[#This Row],[ISIN]])</f>
        <v>7.1406350902426502E-2</v>
      </c>
      <c r="AE125" s="16">
        <f>IF(SUM(tblCalculation[BMKDTS])=0,0,tblCalculation[[#This Row],[BMKDTS]]/SUM(tblCalculation[BMKDTS]))</f>
        <v>8.4866648746739128E-3</v>
      </c>
      <c r="AF125" s="16">
        <f>tblBOneExport[[#This Row],[BMK_CONTRIBUTION]]</f>
        <v>0</v>
      </c>
      <c r="AG125" s="16">
        <f>tblCalculation[[#This Row],[BMKContributionBase]]-tblBOneExport[BMK_SPOT_CCY_RETURN]-tblBOneExport[[#This Row],[BMK_CROSS_EFFECT]]</f>
        <v>0</v>
      </c>
      <c r="AH125" s="16">
        <f>tblCalculation[[#This Row],[FIAttributable]]*(tblBOneExport[[#This Row],[BMK_RETURN_GOV_CARRY]])</f>
        <v>0</v>
      </c>
      <c r="AI125" s="16">
        <f>tblCalculation[[#This Row],[FIAttributable]]*tblBOneExport[[#This Row],[BMK_CREDIT_CARRY]]</f>
        <v>0</v>
      </c>
      <c r="AJ125" s="16">
        <f>tblCalculation[[#This Row],[FIAttributable]]*tblBOneExport[[#This Row],[BMK_TOTAL_CURVE]]</f>
        <v>0</v>
      </c>
      <c r="AK125" s="16">
        <f>tblCalculation[[#This Row],[FIAttributable]]*(tblBOneExport[[#This Row],[BMK_TOTAL_SPREAD]]+BMK_Credit_Adj*tblCalculation[[#This Row],[BmkDTSWeight]])</f>
        <v>0</v>
      </c>
      <c r="AL125" s="16">
        <f>tblCalculation[[#This Row],[FIAttributable]]*tblBOneExport[[#This Row],[BMK_MODEL_RESIDUAL]]-BMK_Credit_Adj*tblCalculation[[#This Row],[BmkDTSWeight]]</f>
        <v>0</v>
      </c>
      <c r="AM125" s="16">
        <f>IF(tblCalculation[[#This Row],[Level3]]="Forward Contracts",tblCalculation[[#This Row],[BMKContributionLocal]],0)</f>
        <v>0</v>
      </c>
      <c r="AN125" s="16">
        <f>tblBOneExport[[#This Row],[BMK_SPOT_CCY_RETURN]]+tblBOneExport[[#This Row],[BMK_CROSS_EFFECT]]</f>
        <v>0</v>
      </c>
    </row>
    <row r="126" spans="5:40" x14ac:dyDescent="0.25">
      <c r="E126" s="7" t="str">
        <f>tblBOneExport[[#This Row],[INSTRUMENT_CODE]]</f>
        <v>S00818378</v>
      </c>
      <c r="F126" s="7" t="str">
        <f>tblBOneExport[[#This Row],[INSTRUMENT]]</f>
        <v>BAA FUNDING LTD 6.75 03/12/26 EMTN</v>
      </c>
      <c r="G126" s="7" t="str">
        <f>IF(tblBOneExport[[#This Row],[ISIN]]&lt;&gt;"", tblBOneExport[[#This Row],[ISIN]],"")</f>
        <v>XS0471436088</v>
      </c>
      <c r="H126" s="7" t="str">
        <f>IF(tblCalculation[[#This Row],[B1Level2]]="CDS",tblBOneExport[[#This Row],[B1_TICKER]],IF(tblCalculation[[#This Row],[ISIN]]="","",INDEX(tblGetStaticData[Ticker],MATCH(tblCalculation[[#This Row],[ISIN]],tblGetStaticData[ISIN],0))))</f>
        <v>HTHROW</v>
      </c>
      <c r="I126" s="7" t="str">
        <f>IF(tblBOneExport[[#This Row],[INSTRUMENT_TYPE]]="Forward Contract","Forward Contract",tblBOneExport[LEVEL2])</f>
        <v>Corporates</v>
      </c>
      <c r="J126" s="7" t="str">
        <f>IF(tblBOneExport[[#This Row],[INSTRUMENT_TYPE]]="Forward Contract","Forward Contract",tblBOneExport[[#This Row],[LEVEL3]])</f>
        <v>Industrials</v>
      </c>
      <c r="K126" s="7" t="str">
        <f>INDEX(tblLvl2Mapping[],MATCH(tblCalculation[[#This Row],[B1Level2]]&amp;"_"&amp;tblCalculation[[#This Row],[B1Level3]],tblLvl2Mapping[B1Level2_B1Level3],0),2)</f>
        <v>Corporate</v>
      </c>
      <c r="L126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26" s="7">
        <f>INDEX(tblAttributable[],MATCH(tblCalculation[[#This Row],[Level3]],tblAttributable[Level3],0),2)</f>
        <v>1</v>
      </c>
      <c r="N126" s="16">
        <f>tblBOneExport[[#This Row],[PTF_WEIGHT]]</f>
        <v>4.0137254000000002E-3</v>
      </c>
      <c r="O126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3.0398675109651871E-2</v>
      </c>
      <c r="P126" s="48">
        <f>tblCalculation[[#This Row],[PtfDTS]]/SUM(tblCalculation[PtfDTS])</f>
        <v>3.6865167111192337E-3</v>
      </c>
      <c r="Q126" s="16">
        <f>tblBOneExport[[#This Row],[PTF_CONTRIBUTION]]</f>
        <v>5.6422100000000003E-5</v>
      </c>
      <c r="R126" s="16">
        <f>tblCalculation[[#This Row],[PtfContributionBase]]-tblCalculation[[#This Row],[PtfCurrencyReturn]]</f>
        <v>5.6422100000000003E-5</v>
      </c>
      <c r="S126" s="16">
        <f>IF(tblBOneExport[[#This Row],[LEVEL1]]="Bonds",tblBOneExport[[#This Row],[PTF_GOV_CARRY]],"")</f>
        <v>3.4765000000000001E-6</v>
      </c>
      <c r="T126" s="16">
        <f>tblCalculation[[#This Row],[FIAttributable]]*tblBOneExport[[#This Row],[PTF_CREDIT_CARRY]]</f>
        <v>3.8247E-6</v>
      </c>
      <c r="U126" s="16">
        <f>tblCalculation[[#This Row],[FIAttributable]]*tblBOneExport[[#This Row],[PTF_TOTAL_CURVE]]</f>
        <v>5.7119E-5</v>
      </c>
      <c r="V126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-7.5398000000000002E-6</v>
      </c>
      <c r="W126" s="16">
        <f>IF(AND(tblCalculation[[#This Row],[Level3]]="Forward Contracts",tblBOneExport[[#This Row],[PTF_COST_OF_CARRY]]=0),tblBOneExport[[#This Row],[PTF_VALUATION]],0)</f>
        <v>0</v>
      </c>
      <c r="X126" s="16">
        <f>SUM(tblCalculation[[#This Row],[PtfTrading]:[PtfModelRes]])</f>
        <v>-4.5830000000000002E-7</v>
      </c>
      <c r="Y126" s="16">
        <f>tblCalculation[[#This Row],[FIAttributable]]*tblBOneExport[[#This Row],[PTF_TRADING]]</f>
        <v>0</v>
      </c>
      <c r="Z126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26" s="16">
        <f>tblCalculation[[#This Row],[FIAttributable]]*tblBOneExport[[#This Row],[PTF_MODEL_RESIDUAL]]-PTF_Credit_Adj*tblCalculation[[#This Row],[PtfDTSWeight]]</f>
        <v>-4.5830000000000002E-7</v>
      </c>
      <c r="AB126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26" s="16">
        <f>tblBOneExport[[#This Row],[BMK_WEIGHT]]</f>
        <v>0</v>
      </c>
      <c r="AD126" s="78">
        <f>tblCalculation[[#This Row],[FIAttributable]]*SUMIFS(tblDTS[DTSContribution_BM],tblDTS[ISIN],tblCalculation[[#This Row],[ISIN]])</f>
        <v>1.6579654842957744E-2</v>
      </c>
      <c r="AE126" s="16">
        <f>IF(SUM(tblCalculation[BMKDTS])=0,0,tblCalculation[[#This Row],[BMKDTS]]/SUM(tblCalculation[BMKDTS]))</f>
        <v>1.9704966380681595E-3</v>
      </c>
      <c r="AF126" s="16">
        <f>tblBOneExport[[#This Row],[BMK_CONTRIBUTION]]</f>
        <v>0</v>
      </c>
      <c r="AG126" s="16">
        <f>tblCalculation[[#This Row],[BMKContributionBase]]-tblBOneExport[BMK_SPOT_CCY_RETURN]-tblBOneExport[[#This Row],[BMK_CROSS_EFFECT]]</f>
        <v>0</v>
      </c>
      <c r="AH126" s="16">
        <f>tblCalculation[[#This Row],[FIAttributable]]*(tblBOneExport[[#This Row],[BMK_RETURN_GOV_CARRY]])</f>
        <v>0</v>
      </c>
      <c r="AI126" s="16">
        <f>tblCalculation[[#This Row],[FIAttributable]]*tblBOneExport[[#This Row],[BMK_CREDIT_CARRY]]</f>
        <v>0</v>
      </c>
      <c r="AJ126" s="16">
        <f>tblCalculation[[#This Row],[FIAttributable]]*tblBOneExport[[#This Row],[BMK_TOTAL_CURVE]]</f>
        <v>0</v>
      </c>
      <c r="AK126" s="16">
        <f>tblCalculation[[#This Row],[FIAttributable]]*(tblBOneExport[[#This Row],[BMK_TOTAL_SPREAD]]+BMK_Credit_Adj*tblCalculation[[#This Row],[BmkDTSWeight]])</f>
        <v>0</v>
      </c>
      <c r="AL126" s="16">
        <f>tblCalculation[[#This Row],[FIAttributable]]*tblBOneExport[[#This Row],[BMK_MODEL_RESIDUAL]]-BMK_Credit_Adj*tblCalculation[[#This Row],[BmkDTSWeight]]</f>
        <v>0</v>
      </c>
      <c r="AM126" s="16">
        <f>IF(tblCalculation[[#This Row],[Level3]]="Forward Contracts",tblCalculation[[#This Row],[BMKContributionLocal]],0)</f>
        <v>0</v>
      </c>
      <c r="AN126" s="16">
        <f>tblBOneExport[[#This Row],[BMK_SPOT_CCY_RETURN]]+tblBOneExport[[#This Row],[BMK_CROSS_EFFECT]]</f>
        <v>0</v>
      </c>
    </row>
    <row r="127" spans="5:40" x14ac:dyDescent="0.25">
      <c r="E127" s="7" t="str">
        <f>tblBOneExport[[#This Row],[INSTRUMENT_CODE]]</f>
        <v>S00833691</v>
      </c>
      <c r="F127" s="7" t="str">
        <f>tblBOneExport[[#This Row],[INSTRUMENT]]</f>
        <v>MOTABILITY OPER 5.375 28/06/22 EMTN</v>
      </c>
      <c r="G127" s="7" t="str">
        <f>IF(tblBOneExport[[#This Row],[ISIN]]&lt;&gt;"", tblBOneExport[[#This Row],[ISIN]],"")</f>
        <v>XS0479905993</v>
      </c>
      <c r="H127" s="7" t="str">
        <f>IF(tblCalculation[[#This Row],[B1Level2]]="CDS",tblBOneExport[[#This Row],[B1_TICKER]],IF(tblCalculation[[#This Row],[ISIN]]="","",INDEX(tblGetStaticData[Ticker],MATCH(tblCalculation[[#This Row],[ISIN]],tblGetStaticData[ISIN],0))))</f>
        <v>MOTOPG</v>
      </c>
      <c r="I127" s="7" t="str">
        <f>IF(tblBOneExport[[#This Row],[INSTRUMENT_TYPE]]="Forward Contract","Forward Contract",tblBOneExport[LEVEL2])</f>
        <v>Corporates</v>
      </c>
      <c r="J127" s="7" t="str">
        <f>IF(tblBOneExport[[#This Row],[INSTRUMENT_TYPE]]="Forward Contract","Forward Contract",tblBOneExport[[#This Row],[LEVEL3]])</f>
        <v>Industrials</v>
      </c>
      <c r="K127" s="7" t="str">
        <f>INDEX(tblLvl2Mapping[],MATCH(tblCalculation[[#This Row],[B1Level2]]&amp;"_"&amp;tblCalculation[[#This Row],[B1Level3]],tblLvl2Mapping[B1Level2_B1Level3],0),2)</f>
        <v>Corporate</v>
      </c>
      <c r="L127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27" s="7">
        <f>INDEX(tblAttributable[],MATCH(tblCalculation[[#This Row],[Level3]],tblAttributable[Level3],0),2)</f>
        <v>1</v>
      </c>
      <c r="N127" s="16">
        <f>tblBOneExport[[#This Row],[PTF_WEIGHT]]</f>
        <v>5.6055658999999997E-3</v>
      </c>
      <c r="O127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6.9043017465399929E-3</v>
      </c>
      <c r="P127" s="48">
        <f>tblCalculation[[#This Row],[PtfDTS]]/SUM(tblCalculation[PtfDTS])</f>
        <v>8.3730043087134015E-4</v>
      </c>
      <c r="Q127" s="16">
        <f>tblBOneExport[[#This Row],[PTF_CONTRIBUTION]]</f>
        <v>3.6924400000000002E-5</v>
      </c>
      <c r="R127" s="16">
        <f>tblCalculation[[#This Row],[PtfContributionBase]]-tblCalculation[[#This Row],[PtfCurrencyReturn]]</f>
        <v>3.6924400000000002E-5</v>
      </c>
      <c r="S127" s="16">
        <f>IF(tblBOneExport[[#This Row],[LEVEL1]]="Bonds",tblBOneExport[[#This Row],[PTF_GOV_CARRY]],"")</f>
        <v>2.2520000000000002E-6</v>
      </c>
      <c r="T127" s="16">
        <f>tblCalculation[[#This Row],[FIAttributable]]*tblBOneExport[[#This Row],[PTF_CREDIT_CARRY]]</f>
        <v>2.8209E-6</v>
      </c>
      <c r="U127" s="16">
        <f>tblCalculation[[#This Row],[FIAttributable]]*tblBOneExport[[#This Row],[PTF_TOTAL_CURVE]]</f>
        <v>3.9983800000000002E-5</v>
      </c>
      <c r="V127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-9.4236999999999992E-6</v>
      </c>
      <c r="W127" s="16">
        <f>IF(AND(tblCalculation[[#This Row],[Level3]]="Forward Contracts",tblBOneExport[[#This Row],[PTF_COST_OF_CARRY]]=0),tblBOneExport[[#This Row],[PTF_VALUATION]],0)</f>
        <v>0</v>
      </c>
      <c r="X127" s="16">
        <f>SUM(tblCalculation[[#This Row],[PtfTrading]:[PtfModelRes]])</f>
        <v>1.2915E-6</v>
      </c>
      <c r="Y127" s="16">
        <f>tblCalculation[[#This Row],[FIAttributable]]*tblBOneExport[[#This Row],[PTF_TRADING]]</f>
        <v>0</v>
      </c>
      <c r="Z127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27" s="16">
        <f>tblCalculation[[#This Row],[FIAttributable]]*tblBOneExport[[#This Row],[PTF_MODEL_RESIDUAL]]-PTF_Credit_Adj*tblCalculation[[#This Row],[PtfDTSWeight]]</f>
        <v>1.2915E-6</v>
      </c>
      <c r="AB127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27" s="16">
        <f>tblBOneExport[[#This Row],[BMK_WEIGHT]]</f>
        <v>0</v>
      </c>
      <c r="AD127" s="78">
        <f>tblCalculation[[#This Row],[FIAttributable]]*SUMIFS(tblDTS[DTSContribution_BM],tblDTS[ISIN],tblCalculation[[#This Row],[ISIN]])</f>
        <v>5.6958369059628517E-3</v>
      </c>
      <c r="AE127" s="16">
        <f>IF(SUM(tblCalculation[BMKDTS])=0,0,tblCalculation[[#This Row],[BMKDTS]]/SUM(tblCalculation[BMKDTS]))</f>
        <v>6.7695181718162333E-4</v>
      </c>
      <c r="AF127" s="16">
        <f>tblBOneExport[[#This Row],[BMK_CONTRIBUTION]]</f>
        <v>0</v>
      </c>
      <c r="AG127" s="16">
        <f>tblCalculation[[#This Row],[BMKContributionBase]]-tblBOneExport[BMK_SPOT_CCY_RETURN]-tblBOneExport[[#This Row],[BMK_CROSS_EFFECT]]</f>
        <v>0</v>
      </c>
      <c r="AH127" s="16">
        <f>tblCalculation[[#This Row],[FIAttributable]]*(tblBOneExport[[#This Row],[BMK_RETURN_GOV_CARRY]])</f>
        <v>0</v>
      </c>
      <c r="AI127" s="16">
        <f>tblCalculation[[#This Row],[FIAttributable]]*tblBOneExport[[#This Row],[BMK_CREDIT_CARRY]]</f>
        <v>0</v>
      </c>
      <c r="AJ127" s="16">
        <f>tblCalculation[[#This Row],[FIAttributable]]*tblBOneExport[[#This Row],[BMK_TOTAL_CURVE]]</f>
        <v>0</v>
      </c>
      <c r="AK127" s="16">
        <f>tblCalculation[[#This Row],[FIAttributable]]*(tblBOneExport[[#This Row],[BMK_TOTAL_SPREAD]]+BMK_Credit_Adj*tblCalculation[[#This Row],[BmkDTSWeight]])</f>
        <v>0</v>
      </c>
      <c r="AL127" s="16">
        <f>tblCalculation[[#This Row],[FIAttributable]]*tblBOneExport[[#This Row],[BMK_MODEL_RESIDUAL]]-BMK_Credit_Adj*tblCalculation[[#This Row],[BmkDTSWeight]]</f>
        <v>0</v>
      </c>
      <c r="AM127" s="16">
        <f>IF(tblCalculation[[#This Row],[Level3]]="Forward Contracts",tblCalculation[[#This Row],[BMKContributionLocal]],0)</f>
        <v>0</v>
      </c>
      <c r="AN127" s="16">
        <f>tblBOneExport[[#This Row],[BMK_SPOT_CCY_RETURN]]+tblBOneExport[[#This Row],[BMK_CROSS_EFFECT]]</f>
        <v>0</v>
      </c>
    </row>
    <row r="128" spans="5:40" x14ac:dyDescent="0.25">
      <c r="E128" s="7" t="str">
        <f>tblBOneExport[[#This Row],[INSTRUMENT_CODE]]</f>
        <v>S00934779</v>
      </c>
      <c r="F128" s="7" t="str">
        <f>tblBOneExport[[#This Row],[INSTRUMENT]]</f>
        <v>ESB FINANCE DAC 6.5 05/03/20 EMTN</v>
      </c>
      <c r="G128" s="7" t="str">
        <f>IF(tblBOneExport[[#This Row],[ISIN]]&lt;&gt;"", tblBOneExport[[#This Row],[ISIN]],"")</f>
        <v>XS0492262844</v>
      </c>
      <c r="H128" s="7" t="str">
        <f>IF(tblCalculation[[#This Row],[B1Level2]]="CDS",tblBOneExport[[#This Row],[B1_TICKER]],IF(tblCalculation[[#This Row],[ISIN]]="","",INDEX(tblGetStaticData[Ticker],MATCH(tblCalculation[[#This Row],[ISIN]],tblGetStaticData[ISIN],0))))</f>
        <v>ESBIRE</v>
      </c>
      <c r="I128" s="7" t="str">
        <f>IF(tblBOneExport[[#This Row],[INSTRUMENT_TYPE]]="Forward Contract","Forward Contract",tblBOneExport[LEVEL2])</f>
        <v>Non-Corporate</v>
      </c>
      <c r="J128" s="7" t="str">
        <f>IF(tblBOneExport[[#This Row],[INSTRUMENT_TYPE]]="Forward Contract","Forward Contract",tblBOneExport[[#This Row],[LEVEL3]])</f>
        <v>Foreign Agency</v>
      </c>
      <c r="K128" s="7" t="str">
        <f>INDEX(tblLvl2Mapping[],MATCH(tblCalculation[[#This Row],[B1Level2]]&amp;"_"&amp;tblCalculation[[#This Row],[B1Level3]],tblLvl2Mapping[B1Level2_B1Level3],0),2)</f>
        <v>Corporate</v>
      </c>
      <c r="L128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28" s="7">
        <f>INDEX(tblAttributable[],MATCH(tblCalculation[[#This Row],[Level3]],tblAttributable[Level3],0),2)</f>
        <v>1</v>
      </c>
      <c r="N128" s="16">
        <f>tblBOneExport[[#This Row],[PTF_WEIGHT]]</f>
        <v>7.8879212000000001E-3</v>
      </c>
      <c r="O128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1.0621053444155518E-2</v>
      </c>
      <c r="P128" s="48">
        <f>tblCalculation[[#This Row],[PtfDTS]]/SUM(tblCalculation[PtfDTS])</f>
        <v>1.2880393921884386E-3</v>
      </c>
      <c r="Q128" s="16">
        <f>tblBOneExport[[#This Row],[PTF_CONTRIBUTION]]</f>
        <v>2.2356400000000002E-5</v>
      </c>
      <c r="R128" s="16">
        <f>tblCalculation[[#This Row],[PtfContributionBase]]-tblCalculation[[#This Row],[PtfCurrencyReturn]]</f>
        <v>2.2356400000000002E-5</v>
      </c>
      <c r="S128" s="16">
        <f>IF(tblBOneExport[[#This Row],[LEVEL1]]="Bonds",tblBOneExport[[#This Row],[PTF_GOV_CARRY]],"")</f>
        <v>1.5456000000000001E-6</v>
      </c>
      <c r="T128" s="16">
        <f>tblCalculation[[#This Row],[FIAttributable]]*tblBOneExport[[#This Row],[PTF_CREDIT_CARRY]]</f>
        <v>6.0817999999999999E-6</v>
      </c>
      <c r="U128" s="16">
        <f>tblCalculation[[#This Row],[FIAttributable]]*tblBOneExport[[#This Row],[PTF_TOTAL_CURVE]]</f>
        <v>2.0413900000000001E-5</v>
      </c>
      <c r="V128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-4.459E-6</v>
      </c>
      <c r="W128" s="16">
        <f>IF(AND(tblCalculation[[#This Row],[Level3]]="Forward Contracts",tblBOneExport[[#This Row],[PTF_COST_OF_CARRY]]=0),tblBOneExport[[#This Row],[PTF_VALUATION]],0)</f>
        <v>0</v>
      </c>
      <c r="X128" s="16">
        <f>SUM(tblCalculation[[#This Row],[PtfTrading]:[PtfModelRes]])</f>
        <v>-1.226E-6</v>
      </c>
      <c r="Y128" s="16">
        <f>tblCalculation[[#This Row],[FIAttributable]]*tblBOneExport[[#This Row],[PTF_TRADING]]</f>
        <v>0</v>
      </c>
      <c r="Z128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28" s="16">
        <f>tblCalculation[[#This Row],[FIAttributable]]*tblBOneExport[[#This Row],[PTF_MODEL_RESIDUAL]]-PTF_Credit_Adj*tblCalculation[[#This Row],[PtfDTSWeight]]</f>
        <v>-1.226E-6</v>
      </c>
      <c r="AB128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28" s="16">
        <f>tblBOneExport[[#This Row],[BMK_WEIGHT]]</f>
        <v>0</v>
      </c>
      <c r="AD128" s="78">
        <f>tblCalculation[[#This Row],[FIAttributable]]*SUMIFS(tblDTS[DTSContribution_BM],tblDTS[ISIN],tblCalculation[[#This Row],[ISIN]])</f>
        <v>5.2630728749207484E-3</v>
      </c>
      <c r="AE128" s="16">
        <f>IF(SUM(tblCalculation[BMKDTS])=0,0,tblCalculation[[#This Row],[BMKDTS]]/SUM(tblCalculation[BMKDTS]))</f>
        <v>6.2551769045687421E-4</v>
      </c>
      <c r="AF128" s="16">
        <f>tblBOneExport[[#This Row],[BMK_CONTRIBUTION]]</f>
        <v>0</v>
      </c>
      <c r="AG128" s="16">
        <f>tblCalculation[[#This Row],[BMKContributionBase]]-tblBOneExport[BMK_SPOT_CCY_RETURN]-tblBOneExport[[#This Row],[BMK_CROSS_EFFECT]]</f>
        <v>0</v>
      </c>
      <c r="AH128" s="16">
        <f>tblCalculation[[#This Row],[FIAttributable]]*(tblBOneExport[[#This Row],[BMK_RETURN_GOV_CARRY]])</f>
        <v>0</v>
      </c>
      <c r="AI128" s="16">
        <f>tblCalculation[[#This Row],[FIAttributable]]*tblBOneExport[[#This Row],[BMK_CREDIT_CARRY]]</f>
        <v>0</v>
      </c>
      <c r="AJ128" s="16">
        <f>tblCalculation[[#This Row],[FIAttributable]]*tblBOneExport[[#This Row],[BMK_TOTAL_CURVE]]</f>
        <v>0</v>
      </c>
      <c r="AK128" s="16">
        <f>tblCalculation[[#This Row],[FIAttributable]]*(tblBOneExport[[#This Row],[BMK_TOTAL_SPREAD]]+BMK_Credit_Adj*tblCalculation[[#This Row],[BmkDTSWeight]])</f>
        <v>0</v>
      </c>
      <c r="AL128" s="16">
        <f>tblCalculation[[#This Row],[FIAttributable]]*tblBOneExport[[#This Row],[BMK_MODEL_RESIDUAL]]-BMK_Credit_Adj*tblCalculation[[#This Row],[BmkDTSWeight]]</f>
        <v>0</v>
      </c>
      <c r="AM128" s="16">
        <f>IF(tblCalculation[[#This Row],[Level3]]="Forward Contracts",tblCalculation[[#This Row],[BMKContributionLocal]],0)</f>
        <v>0</v>
      </c>
      <c r="AN128" s="16">
        <f>tblBOneExport[[#This Row],[BMK_SPOT_CCY_RETURN]]+tblBOneExport[[#This Row],[BMK_CROSS_EFFECT]]</f>
        <v>0</v>
      </c>
    </row>
    <row r="129" spans="5:40" x14ac:dyDescent="0.25">
      <c r="E129" s="7" t="str">
        <f>tblBOneExport[[#This Row],[INSTRUMENT_CODE]]</f>
        <v>S00865997</v>
      </c>
      <c r="F129" s="7" t="str">
        <f>tblBOneExport[[#This Row],[INSTRUMENT]]</f>
        <v>GO AHEAD GROUP 5.375 29/09/17</v>
      </c>
      <c r="G129" s="7" t="str">
        <f>IF(tblBOneExport[[#This Row],[ISIN]]&lt;&gt;"", tblBOneExport[[#This Row],[ISIN]],"")</f>
        <v>XS0497174580</v>
      </c>
      <c r="H129" s="7" t="str">
        <f>IF(tblCalculation[[#This Row],[B1Level2]]="CDS",tblBOneExport[[#This Row],[B1_TICKER]],IF(tblCalculation[[#This Row],[ISIN]]="","",INDEX(tblGetStaticData[Ticker],MATCH(tblCalculation[[#This Row],[ISIN]],tblGetStaticData[ISIN],0))))</f>
        <v>GOGLN</v>
      </c>
      <c r="I129" s="7" t="str">
        <f>IF(tblBOneExport[[#This Row],[INSTRUMENT_TYPE]]="Forward Contract","Forward Contract",tblBOneExport[LEVEL2])</f>
        <v>Corporates</v>
      </c>
      <c r="J129" s="7" t="str">
        <f>IF(tblBOneExport[[#This Row],[INSTRUMENT_TYPE]]="Forward Contract","Forward Contract",tblBOneExport[[#This Row],[LEVEL3]])</f>
        <v>Industrials</v>
      </c>
      <c r="K129" s="7" t="str">
        <f>INDEX(tblLvl2Mapping[],MATCH(tblCalculation[[#This Row],[B1Level2]]&amp;"_"&amp;tblCalculation[[#This Row],[B1Level3]],tblLvl2Mapping[B1Level2_B1Level3],0),2)</f>
        <v>Corporate</v>
      </c>
      <c r="L129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29" s="7">
        <f>INDEX(tblAttributable[],MATCH(tblCalculation[[#This Row],[Level3]],tblAttributable[Level3],0),2)</f>
        <v>1</v>
      </c>
      <c r="N129" s="16">
        <f>tblBOneExport[[#This Row],[PTF_WEIGHT]]</f>
        <v>2.6099063E-3</v>
      </c>
      <c r="O129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3.3250254220527057E-4</v>
      </c>
      <c r="P129" s="48">
        <f>tblCalculation[[#This Row],[PtfDTS]]/SUM(tblCalculation[PtfDTS])</f>
        <v>4.0323342182112486E-5</v>
      </c>
      <c r="Q129" s="16">
        <f>tblBOneExport[[#This Row],[PTF_CONTRIBUTION]]</f>
        <v>1.1843E-6</v>
      </c>
      <c r="R129" s="16">
        <f>tblCalculation[[#This Row],[PtfContributionBase]]-tblCalculation[[#This Row],[PtfCurrencyReturn]]</f>
        <v>1.1843E-6</v>
      </c>
      <c r="S129" s="16">
        <f>IF(tblBOneExport[[#This Row],[LEVEL1]]="Bonds",tblBOneExport[[#This Row],[PTF_GOV_CARRY]],"")</f>
        <v>2.9540000000000001E-7</v>
      </c>
      <c r="T129" s="16">
        <f>tblCalculation[[#This Row],[FIAttributable]]*tblBOneExport[[#This Row],[PTF_CREDIT_CARRY]]</f>
        <v>2.4735000000000001E-6</v>
      </c>
      <c r="U129" s="16">
        <f>tblCalculation[[#This Row],[FIAttributable]]*tblBOneExport[[#This Row],[PTF_TOTAL_CURVE]]</f>
        <v>-2.6259999999999998E-7</v>
      </c>
      <c r="V129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-1.5053E-6</v>
      </c>
      <c r="W129" s="16">
        <f>IF(AND(tblCalculation[[#This Row],[Level3]]="Forward Contracts",tblBOneExport[[#This Row],[PTF_COST_OF_CARRY]]=0),tblBOneExport[[#This Row],[PTF_VALUATION]],0)</f>
        <v>0</v>
      </c>
      <c r="X129" s="16">
        <f>SUM(tblCalculation[[#This Row],[PtfTrading]:[PtfModelRes]])</f>
        <v>1.832E-7</v>
      </c>
      <c r="Y129" s="16">
        <f>tblCalculation[[#This Row],[FIAttributable]]*tblBOneExport[[#This Row],[PTF_TRADING]]</f>
        <v>0</v>
      </c>
      <c r="Z129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29" s="16">
        <f>tblCalculation[[#This Row],[FIAttributable]]*tblBOneExport[[#This Row],[PTF_MODEL_RESIDUAL]]-PTF_Credit_Adj*tblCalculation[[#This Row],[PtfDTSWeight]]</f>
        <v>1.832E-7</v>
      </c>
      <c r="AB129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29" s="16">
        <f>tblBOneExport[[#This Row],[BMK_WEIGHT]]</f>
        <v>0</v>
      </c>
      <c r="AD129" s="78">
        <f>tblCalculation[[#This Row],[FIAttributable]]*SUMIFS(tblDTS[DTSContribution_BM],tblDTS[ISIN],tblCalculation[[#This Row],[ISIN]])</f>
        <v>4.0891751056723049E-4</v>
      </c>
      <c r="AE129" s="16">
        <f>IF(SUM(tblCalculation[BMKDTS])=0,0,tblCalculation[[#This Row],[BMKDTS]]/SUM(tblCalculation[BMKDTS]))</f>
        <v>4.8599961063856657E-5</v>
      </c>
      <c r="AF129" s="16">
        <f>tblBOneExport[[#This Row],[BMK_CONTRIBUTION]]</f>
        <v>0</v>
      </c>
      <c r="AG129" s="16">
        <f>tblCalculation[[#This Row],[BMKContributionBase]]-tblBOneExport[BMK_SPOT_CCY_RETURN]-tblBOneExport[[#This Row],[BMK_CROSS_EFFECT]]</f>
        <v>0</v>
      </c>
      <c r="AH129" s="16">
        <f>tblCalculation[[#This Row],[FIAttributable]]*(tblBOneExport[[#This Row],[BMK_RETURN_GOV_CARRY]])</f>
        <v>0</v>
      </c>
      <c r="AI129" s="16">
        <f>tblCalculation[[#This Row],[FIAttributable]]*tblBOneExport[[#This Row],[BMK_CREDIT_CARRY]]</f>
        <v>0</v>
      </c>
      <c r="AJ129" s="16">
        <f>tblCalculation[[#This Row],[FIAttributable]]*tblBOneExport[[#This Row],[BMK_TOTAL_CURVE]]</f>
        <v>0</v>
      </c>
      <c r="AK129" s="16">
        <f>tblCalculation[[#This Row],[FIAttributable]]*(tblBOneExport[[#This Row],[BMK_TOTAL_SPREAD]]+BMK_Credit_Adj*tblCalculation[[#This Row],[BmkDTSWeight]])</f>
        <v>0</v>
      </c>
      <c r="AL129" s="16">
        <f>tblCalculation[[#This Row],[FIAttributable]]*tblBOneExport[[#This Row],[BMK_MODEL_RESIDUAL]]-BMK_Credit_Adj*tblCalculation[[#This Row],[BmkDTSWeight]]</f>
        <v>0</v>
      </c>
      <c r="AM129" s="16">
        <f>IF(tblCalculation[[#This Row],[Level3]]="Forward Contracts",tblCalculation[[#This Row],[BMKContributionLocal]],0)</f>
        <v>0</v>
      </c>
      <c r="AN129" s="16">
        <f>tblBOneExport[[#This Row],[BMK_SPOT_CCY_RETURN]]+tblBOneExport[[#This Row],[BMK_CROSS_EFFECT]]</f>
        <v>0</v>
      </c>
    </row>
    <row r="130" spans="5:40" x14ac:dyDescent="0.25">
      <c r="E130" s="7" t="str">
        <f>tblBOneExport[[#This Row],[INSTRUMENT_CODE]]</f>
        <v>S00870347</v>
      </c>
      <c r="F130" s="7" t="str">
        <f>tblBOneExport[[#This Row],[INSTRUMENT]]</f>
        <v>WALES &amp; WEST 5.75 29/03/30</v>
      </c>
      <c r="G130" s="7" t="str">
        <f>IF(tblBOneExport[[#This Row],[ISIN]]&lt;&gt;"", tblBOneExport[[#This Row],[ISIN]],"")</f>
        <v>XS0497976562</v>
      </c>
      <c r="H130" s="7" t="str">
        <f>IF(tblCalculation[[#This Row],[B1Level2]]="CDS",tblBOneExport[[#This Row],[B1_TICKER]],IF(tblCalculation[[#This Row],[ISIN]]="","",INDEX(tblGetStaticData[Ticker],MATCH(tblCalculation[[#This Row],[ISIN]],tblGetStaticData[ISIN],0))))</f>
        <v>WWUF</v>
      </c>
      <c r="I130" s="7" t="str">
        <f>IF(tblBOneExport[[#This Row],[INSTRUMENT_TYPE]]="Forward Contract","Forward Contract",tblBOneExport[LEVEL2])</f>
        <v>Corporates</v>
      </c>
      <c r="J130" s="7" t="str">
        <f>IF(tblBOneExport[[#This Row],[INSTRUMENT_TYPE]]="Forward Contract","Forward Contract",tblBOneExport[[#This Row],[LEVEL3]])</f>
        <v>Utilities</v>
      </c>
      <c r="K130" s="7" t="str">
        <f>INDEX(tblLvl2Mapping[],MATCH(tblCalculation[[#This Row],[B1Level2]]&amp;"_"&amp;tblCalculation[[#This Row],[B1Level3]],tblLvl2Mapping[B1Level2_B1Level3],0),2)</f>
        <v>Corporate</v>
      </c>
      <c r="L130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30" s="7">
        <f>INDEX(tblAttributable[],MATCH(tblCalculation[[#This Row],[Level3]],tblAttributable[Level3],0),2)</f>
        <v>1</v>
      </c>
      <c r="N130" s="16">
        <f>tblBOneExport[[#This Row],[PTF_WEIGHT]]</f>
        <v>6.6623319000000004E-3</v>
      </c>
      <c r="O130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6.1617721499179767E-2</v>
      </c>
      <c r="P130" s="48">
        <f>tblCalculation[[#This Row],[PtfDTS]]/SUM(tblCalculation[PtfDTS])</f>
        <v>7.4725217197276232E-3</v>
      </c>
      <c r="Q130" s="16">
        <f>tblBOneExport[[#This Row],[PTF_CONTRIBUTION]]</f>
        <v>1.3463559999999999E-4</v>
      </c>
      <c r="R130" s="16">
        <f>tblCalculation[[#This Row],[PtfContributionBase]]-tblCalculation[[#This Row],[PtfCurrencyReturn]]</f>
        <v>1.3463559999999999E-4</v>
      </c>
      <c r="S130" s="16">
        <f>IF(tblBOneExport[[#This Row],[LEVEL1]]="Bonds",tblBOneExport[[#This Row],[PTF_GOV_CARRY]],"")</f>
        <v>7.7443999999999999E-6</v>
      </c>
      <c r="T130" s="16">
        <f>tblCalculation[[#This Row],[FIAttributable]]*tblBOneExport[[#This Row],[PTF_CREDIT_CARRY]]</f>
        <v>4.9309999999999999E-6</v>
      </c>
      <c r="U130" s="16">
        <f>tblCalculation[[#This Row],[FIAttributable]]*tblBOneExport[[#This Row],[PTF_TOTAL_CURVE]]</f>
        <v>1.202235E-4</v>
      </c>
      <c r="V130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-9.0400000000000002E-8</v>
      </c>
      <c r="W130" s="16">
        <f>IF(AND(tblCalculation[[#This Row],[Level3]]="Forward Contracts",tblBOneExport[[#This Row],[PTF_COST_OF_CARRY]]=0),tblBOneExport[[#This Row],[PTF_VALUATION]],0)</f>
        <v>0</v>
      </c>
      <c r="X130" s="16">
        <f>SUM(tblCalculation[[#This Row],[PtfTrading]:[PtfModelRes]])</f>
        <v>1.8271E-6</v>
      </c>
      <c r="Y130" s="16">
        <f>tblCalculation[[#This Row],[FIAttributable]]*tblBOneExport[[#This Row],[PTF_TRADING]]</f>
        <v>0</v>
      </c>
      <c r="Z130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30" s="16">
        <f>tblCalculation[[#This Row],[FIAttributable]]*tblBOneExport[[#This Row],[PTF_MODEL_RESIDUAL]]-PTF_Credit_Adj*tblCalculation[[#This Row],[PtfDTSWeight]]</f>
        <v>1.8271E-6</v>
      </c>
      <c r="AB130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30" s="16">
        <f>tblBOneExport[[#This Row],[BMK_WEIGHT]]</f>
        <v>0</v>
      </c>
      <c r="AD130" s="78">
        <f>tblCalculation[[#This Row],[FIAttributable]]*SUMIFS(tblDTS[DTSContribution_BM],tblDTS[ISIN],tblCalculation[[#This Row],[ISIN]])</f>
        <v>8.1325642449214239E-2</v>
      </c>
      <c r="AE130" s="16">
        <f>IF(SUM(tblCalculation[BMKDTS])=0,0,tblCalculation[[#This Row],[BMKDTS]]/SUM(tblCalculation[BMKDTS]))</f>
        <v>9.6655754629884419E-3</v>
      </c>
      <c r="AF130" s="16">
        <f>tblBOneExport[[#This Row],[BMK_CONTRIBUTION]]</f>
        <v>0</v>
      </c>
      <c r="AG130" s="16">
        <f>tblCalculation[[#This Row],[BMKContributionBase]]-tblBOneExport[BMK_SPOT_CCY_RETURN]-tblBOneExport[[#This Row],[BMK_CROSS_EFFECT]]</f>
        <v>0</v>
      </c>
      <c r="AH130" s="16">
        <f>tblCalculation[[#This Row],[FIAttributable]]*(tblBOneExport[[#This Row],[BMK_RETURN_GOV_CARRY]])</f>
        <v>0</v>
      </c>
      <c r="AI130" s="16">
        <f>tblCalculation[[#This Row],[FIAttributable]]*tblBOneExport[[#This Row],[BMK_CREDIT_CARRY]]</f>
        <v>0</v>
      </c>
      <c r="AJ130" s="16">
        <f>tblCalculation[[#This Row],[FIAttributable]]*tblBOneExport[[#This Row],[BMK_TOTAL_CURVE]]</f>
        <v>0</v>
      </c>
      <c r="AK130" s="16">
        <f>tblCalculation[[#This Row],[FIAttributable]]*(tblBOneExport[[#This Row],[BMK_TOTAL_SPREAD]]+BMK_Credit_Adj*tblCalculation[[#This Row],[BmkDTSWeight]])</f>
        <v>0</v>
      </c>
      <c r="AL130" s="16">
        <f>tblCalculation[[#This Row],[FIAttributable]]*tblBOneExport[[#This Row],[BMK_MODEL_RESIDUAL]]-BMK_Credit_Adj*tblCalculation[[#This Row],[BmkDTSWeight]]</f>
        <v>0</v>
      </c>
      <c r="AM130" s="16">
        <f>IF(tblCalculation[[#This Row],[Level3]]="Forward Contracts",tblCalculation[[#This Row],[BMKContributionLocal]],0)</f>
        <v>0</v>
      </c>
      <c r="AN130" s="16">
        <f>tblBOneExport[[#This Row],[BMK_SPOT_CCY_RETURN]]+tblBOneExport[[#This Row],[BMK_CROSS_EFFECT]]</f>
        <v>0</v>
      </c>
    </row>
    <row r="131" spans="5:40" x14ac:dyDescent="0.25">
      <c r="E131" s="7" t="str">
        <f>tblBOneExport[[#This Row],[INSTRUMENT_CODE]]</f>
        <v>S00870669</v>
      </c>
      <c r="F131" s="7" t="str">
        <f>tblBOneExport[[#This Row],[INSTRUMENT]]</f>
        <v>DONG A/S 5.75 09/04/40 EMTN</v>
      </c>
      <c r="G131" s="7" t="str">
        <f>IF(tblBOneExport[[#This Row],[ISIN]]&lt;&gt;"", tblBOneExport[[#This Row],[ISIN]],"")</f>
        <v>XS0499449261</v>
      </c>
      <c r="H131" s="7" t="str">
        <f>IF(tblCalculation[[#This Row],[B1Level2]]="CDS",tblBOneExport[[#This Row],[B1_TICKER]],IF(tblCalculation[[#This Row],[ISIN]]="","",INDEX(tblGetStaticData[Ticker],MATCH(tblCalculation[[#This Row],[ISIN]],tblGetStaticData[ISIN],0))))</f>
        <v>DONGAS</v>
      </c>
      <c r="I131" s="7" t="str">
        <f>IF(tblBOneExport[[#This Row],[INSTRUMENT_TYPE]]="Forward Contract","Forward Contract",tblBOneExport[LEVEL2])</f>
        <v>Non-Corporate</v>
      </c>
      <c r="J131" s="7" t="str">
        <f>IF(tblBOneExport[[#This Row],[INSTRUMENT_TYPE]]="Forward Contract","Forward Contract",tblBOneExport[[#This Row],[LEVEL3]])</f>
        <v>Foreign Agency</v>
      </c>
      <c r="K131" s="7" t="str">
        <f>INDEX(tblLvl2Mapping[],MATCH(tblCalculation[[#This Row],[B1Level2]]&amp;"_"&amp;tblCalculation[[#This Row],[B1Level3]],tblLvl2Mapping[B1Level2_B1Level3],0),2)</f>
        <v>Corporate</v>
      </c>
      <c r="L131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31" s="7">
        <f>INDEX(tblAttributable[],MATCH(tblCalculation[[#This Row],[Level3]],tblAttributable[Level3],0),2)</f>
        <v>1</v>
      </c>
      <c r="N131" s="16">
        <f>tblBOneExport[[#This Row],[PTF_WEIGHT]]</f>
        <v>6.5089270000000005E-4</v>
      </c>
      <c r="O131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1.3604965843558064E-2</v>
      </c>
      <c r="P131" s="48">
        <f>tblCalculation[[#This Row],[PtfDTS]]/SUM(tblCalculation[PtfDTS])</f>
        <v>1.6499052592117251E-3</v>
      </c>
      <c r="Q131" s="16">
        <f>tblBOneExport[[#This Row],[PTF_CONTRIBUTION]]</f>
        <v>1.38471E-5</v>
      </c>
      <c r="R131" s="16">
        <f>tblCalculation[[#This Row],[PtfContributionBase]]-tblCalculation[[#This Row],[PtfCurrencyReturn]]</f>
        <v>1.38471E-5</v>
      </c>
      <c r="S131" s="16">
        <f>IF(tblBOneExport[[#This Row],[LEVEL1]]="Bonds",tblBOneExport[[#This Row],[PTF_GOV_CARRY]],"")</f>
        <v>9.3190000000000003E-7</v>
      </c>
      <c r="T131" s="16">
        <f>tblCalculation[[#This Row],[FIAttributable]]*tblBOneExport[[#This Row],[PTF_CREDIT_CARRY]]</f>
        <v>6.5519999999999999E-7</v>
      </c>
      <c r="U131" s="16">
        <f>tblCalculation[[#This Row],[FIAttributable]]*tblBOneExport[[#This Row],[PTF_TOTAL_CURVE]]</f>
        <v>1.15624E-5</v>
      </c>
      <c r="V131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7.0480000000000001E-7</v>
      </c>
      <c r="W131" s="16">
        <f>IF(AND(tblCalculation[[#This Row],[Level3]]="Forward Contracts",tblBOneExport[[#This Row],[PTF_COST_OF_CARRY]]=0),tblBOneExport[[#This Row],[PTF_VALUATION]],0)</f>
        <v>0</v>
      </c>
      <c r="X131" s="16">
        <f>SUM(tblCalculation[[#This Row],[PtfTrading]:[PtfModelRes]])</f>
        <v>-7.2E-9</v>
      </c>
      <c r="Y131" s="16">
        <f>tblCalculation[[#This Row],[FIAttributable]]*tblBOneExport[[#This Row],[PTF_TRADING]]</f>
        <v>0</v>
      </c>
      <c r="Z131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31" s="16">
        <f>tblCalculation[[#This Row],[FIAttributable]]*tblBOneExport[[#This Row],[PTF_MODEL_RESIDUAL]]-PTF_Credit_Adj*tblCalculation[[#This Row],[PtfDTSWeight]]</f>
        <v>-7.2E-9</v>
      </c>
      <c r="AB131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31" s="16">
        <f>tblBOneExport[[#This Row],[BMK_WEIGHT]]</f>
        <v>0</v>
      </c>
      <c r="AD131" s="78">
        <f>tblCalculation[[#This Row],[FIAttributable]]*SUMIFS(tblDTS[DTSContribution_BM],tblDTS[ISIN],tblCalculation[[#This Row],[ISIN]])</f>
        <v>0</v>
      </c>
      <c r="AE131" s="16">
        <f>IF(SUM(tblCalculation[BMKDTS])=0,0,tblCalculation[[#This Row],[BMKDTS]]/SUM(tblCalculation[BMKDTS]))</f>
        <v>0</v>
      </c>
      <c r="AF131" s="16">
        <f>tblBOneExport[[#This Row],[BMK_CONTRIBUTION]]</f>
        <v>0</v>
      </c>
      <c r="AG131" s="16">
        <f>tblCalculation[[#This Row],[BMKContributionBase]]-tblBOneExport[BMK_SPOT_CCY_RETURN]-tblBOneExport[[#This Row],[BMK_CROSS_EFFECT]]</f>
        <v>0</v>
      </c>
      <c r="AH131" s="16">
        <f>tblCalculation[[#This Row],[FIAttributable]]*(tblBOneExport[[#This Row],[BMK_RETURN_GOV_CARRY]])</f>
        <v>0</v>
      </c>
      <c r="AI131" s="16">
        <f>tblCalculation[[#This Row],[FIAttributable]]*tblBOneExport[[#This Row],[BMK_CREDIT_CARRY]]</f>
        <v>0</v>
      </c>
      <c r="AJ131" s="16">
        <f>tblCalculation[[#This Row],[FIAttributable]]*tblBOneExport[[#This Row],[BMK_TOTAL_CURVE]]</f>
        <v>0</v>
      </c>
      <c r="AK131" s="16">
        <f>tblCalculation[[#This Row],[FIAttributable]]*(tblBOneExport[[#This Row],[BMK_TOTAL_SPREAD]]+BMK_Credit_Adj*tblCalculation[[#This Row],[BmkDTSWeight]])</f>
        <v>0</v>
      </c>
      <c r="AL131" s="16">
        <f>tblCalculation[[#This Row],[FIAttributable]]*tblBOneExport[[#This Row],[BMK_MODEL_RESIDUAL]]-BMK_Credit_Adj*tblCalculation[[#This Row],[BmkDTSWeight]]</f>
        <v>0</v>
      </c>
      <c r="AM131" s="16">
        <f>IF(tblCalculation[[#This Row],[Level3]]="Forward Contracts",tblCalculation[[#This Row],[BMKContributionLocal]],0)</f>
        <v>0</v>
      </c>
      <c r="AN131" s="16">
        <f>tblBOneExport[[#This Row],[BMK_SPOT_CCY_RETURN]]+tblBOneExport[[#This Row],[BMK_CROSS_EFFECT]]</f>
        <v>0</v>
      </c>
    </row>
    <row r="132" spans="5:40" x14ac:dyDescent="0.25">
      <c r="E132" s="7" t="str">
        <f>tblBOneExport[[#This Row],[INSTRUMENT_CODE]]</f>
        <v>S00898201</v>
      </c>
      <c r="F132" s="7" t="str">
        <f>tblBOneExport[[#This Row],[INSTRUMENT]]</f>
        <v>PORTERBROOK RAIL 6.5 20/10/20 EMTN</v>
      </c>
      <c r="G132" s="7" t="str">
        <f>IF(tblBOneExport[[#This Row],[ISIN]]&lt;&gt;"", tblBOneExport[[#This Row],[ISIN]],"")</f>
        <v>XS0516704698</v>
      </c>
      <c r="H132" s="7" t="str">
        <f>IF(tblCalculation[[#This Row],[B1Level2]]="CDS",tblBOneExport[[#This Row],[B1_TICKER]],IF(tblCalculation[[#This Row],[ISIN]]="","",INDEX(tblGetStaticData[Ticker],MATCH(tblCalculation[[#This Row],[ISIN]],tblGetStaticData[ISIN],0))))</f>
        <v>PORTER</v>
      </c>
      <c r="I132" s="7" t="str">
        <f>IF(tblBOneExport[[#This Row],[INSTRUMENT_TYPE]]="Forward Contract","Forward Contract",tblBOneExport[LEVEL2])</f>
        <v>Corporates</v>
      </c>
      <c r="J132" s="7" t="str">
        <f>IF(tblBOneExport[[#This Row],[INSTRUMENT_TYPE]]="Forward Contract","Forward Contract",tblBOneExport[[#This Row],[LEVEL3]])</f>
        <v>Industrials</v>
      </c>
      <c r="K132" s="7" t="str">
        <f>INDEX(tblLvl2Mapping[],MATCH(tblCalculation[[#This Row],[B1Level2]]&amp;"_"&amp;tblCalculation[[#This Row],[B1Level3]],tblLvl2Mapping[B1Level2_B1Level3],0),2)</f>
        <v>Corporate</v>
      </c>
      <c r="L132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32" s="7">
        <f>INDEX(tblAttributable[],MATCH(tblCalculation[[#This Row],[Level3]],tblAttributable[Level3],0),2)</f>
        <v>1</v>
      </c>
      <c r="N132" s="16">
        <f>tblBOneExport[[#This Row],[PTF_WEIGHT]]</f>
        <v>1.7754044999999999E-3</v>
      </c>
      <c r="O132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3.6587530552451121E-3</v>
      </c>
      <c r="P132" s="48">
        <f>tblCalculation[[#This Row],[PtfDTS]]/SUM(tblCalculation[PtfDTS])</f>
        <v>4.4370533358334001E-4</v>
      </c>
      <c r="Q132" s="16">
        <f>tblBOneExport[[#This Row],[PTF_CONTRIBUTION]]</f>
        <v>8.2851999999999999E-6</v>
      </c>
      <c r="R132" s="16">
        <f>tblCalculation[[#This Row],[PtfContributionBase]]-tblCalculation[[#This Row],[PtfCurrencyReturn]]</f>
        <v>8.2851999999999999E-6</v>
      </c>
      <c r="S132" s="16">
        <f>IF(tblBOneExport[[#This Row],[LEVEL1]]="Bonds",tblBOneExport[[#This Row],[PTF_GOV_CARRY]],"")</f>
        <v>3.8659999999999998E-7</v>
      </c>
      <c r="T132" s="16">
        <f>tblCalculation[[#This Row],[FIAttributable]]*tblBOneExport[[#This Row],[PTF_CREDIT_CARRY]]</f>
        <v>1.6861E-6</v>
      </c>
      <c r="U132" s="16">
        <f>tblCalculation[[#This Row],[FIAttributable]]*tblBOneExport[[#This Row],[PTF_TOTAL_CURVE]]</f>
        <v>6.2469999999999997E-6</v>
      </c>
      <c r="V132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1.9399999999999999E-7</v>
      </c>
      <c r="W132" s="16">
        <f>IF(AND(tblCalculation[[#This Row],[Level3]]="Forward Contracts",tblBOneExport[[#This Row],[PTF_COST_OF_CARRY]]=0),tblBOneExport[[#This Row],[PTF_VALUATION]],0)</f>
        <v>0</v>
      </c>
      <c r="X132" s="16">
        <f>SUM(tblCalculation[[#This Row],[PtfTrading]:[PtfModelRes]])</f>
        <v>-2.2849999999999999E-7</v>
      </c>
      <c r="Y132" s="16">
        <f>tblCalculation[[#This Row],[FIAttributable]]*tblBOneExport[[#This Row],[PTF_TRADING]]</f>
        <v>0</v>
      </c>
      <c r="Z132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32" s="16">
        <f>tblCalculation[[#This Row],[FIAttributable]]*tblBOneExport[[#This Row],[PTF_MODEL_RESIDUAL]]-PTF_Credit_Adj*tblCalculation[[#This Row],[PtfDTSWeight]]</f>
        <v>-2.2849999999999999E-7</v>
      </c>
      <c r="AB132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32" s="16">
        <f>tblBOneExport[[#This Row],[BMK_WEIGHT]]</f>
        <v>0</v>
      </c>
      <c r="AD132" s="78">
        <f>tblCalculation[[#This Row],[FIAttributable]]*SUMIFS(tblDTS[DTSContribution_BM],tblDTS[ISIN],tblCalculation[[#This Row],[ISIN]])</f>
        <v>4.8289337444236344E-3</v>
      </c>
      <c r="AE132" s="16">
        <f>IF(SUM(tblCalculation[BMKDTS])=0,0,tblCalculation[[#This Row],[BMKDTS]]/SUM(tblCalculation[BMKDTS]))</f>
        <v>5.7392013277540298E-4</v>
      </c>
      <c r="AF132" s="16">
        <f>tblBOneExport[[#This Row],[BMK_CONTRIBUTION]]</f>
        <v>0</v>
      </c>
      <c r="AG132" s="16">
        <f>tblCalculation[[#This Row],[BMKContributionBase]]-tblBOneExport[BMK_SPOT_CCY_RETURN]-tblBOneExport[[#This Row],[BMK_CROSS_EFFECT]]</f>
        <v>0</v>
      </c>
      <c r="AH132" s="16">
        <f>tblCalculation[[#This Row],[FIAttributable]]*(tblBOneExport[[#This Row],[BMK_RETURN_GOV_CARRY]])</f>
        <v>0</v>
      </c>
      <c r="AI132" s="16">
        <f>tblCalculation[[#This Row],[FIAttributable]]*tblBOneExport[[#This Row],[BMK_CREDIT_CARRY]]</f>
        <v>0</v>
      </c>
      <c r="AJ132" s="16">
        <f>tblCalculation[[#This Row],[FIAttributable]]*tblBOneExport[[#This Row],[BMK_TOTAL_CURVE]]</f>
        <v>0</v>
      </c>
      <c r="AK132" s="16">
        <f>tblCalculation[[#This Row],[FIAttributable]]*(tblBOneExport[[#This Row],[BMK_TOTAL_SPREAD]]+BMK_Credit_Adj*tblCalculation[[#This Row],[BmkDTSWeight]])</f>
        <v>0</v>
      </c>
      <c r="AL132" s="16">
        <f>tblCalculation[[#This Row],[FIAttributable]]*tblBOneExport[[#This Row],[BMK_MODEL_RESIDUAL]]-BMK_Credit_Adj*tblCalculation[[#This Row],[BmkDTSWeight]]</f>
        <v>0</v>
      </c>
      <c r="AM132" s="16">
        <f>IF(tblCalculation[[#This Row],[Level3]]="Forward Contracts",tblCalculation[[#This Row],[BMKContributionLocal]],0)</f>
        <v>0</v>
      </c>
      <c r="AN132" s="16">
        <f>tblBOneExport[[#This Row],[BMK_SPOT_CCY_RETURN]]+tblBOneExport[[#This Row],[BMK_CROSS_EFFECT]]</f>
        <v>0</v>
      </c>
    </row>
    <row r="133" spans="5:40" x14ac:dyDescent="0.25">
      <c r="E133" s="7" t="str">
        <f>tblBOneExport[[#This Row],[INSTRUMENT_CODE]]</f>
        <v>S00901349</v>
      </c>
      <c r="F133" s="7" t="str">
        <f>tblBOneExport[[#This Row],[INSTRUMENT]]</f>
        <v>AMERICA MOVIL SA 5.75 28/06/30</v>
      </c>
      <c r="G133" s="7" t="str">
        <f>IF(tblBOneExport[[#This Row],[ISIN]]&lt;&gt;"", tblBOneExport[[#This Row],[ISIN]],"")</f>
        <v>XS0519906761</v>
      </c>
      <c r="H133" s="7" t="str">
        <f>IF(tblCalculation[[#This Row],[B1Level2]]="CDS",tblBOneExport[[#This Row],[B1_TICKER]],IF(tblCalculation[[#This Row],[ISIN]]="","",INDEX(tblGetStaticData[Ticker],MATCH(tblCalculation[[#This Row],[ISIN]],tblGetStaticData[ISIN],0))))</f>
        <v>AMXLMM</v>
      </c>
      <c r="I133" s="7" t="str">
        <f>IF(tblBOneExport[[#This Row],[INSTRUMENT_TYPE]]="Forward Contract","Forward Contract",tblBOneExport[LEVEL2])</f>
        <v>Corporates</v>
      </c>
      <c r="J133" s="7" t="str">
        <f>IF(tblBOneExport[[#This Row],[INSTRUMENT_TYPE]]="Forward Contract","Forward Contract",tblBOneExport[[#This Row],[LEVEL3]])</f>
        <v>Industrials</v>
      </c>
      <c r="K133" s="7" t="str">
        <f>INDEX(tblLvl2Mapping[],MATCH(tblCalculation[[#This Row],[B1Level2]]&amp;"_"&amp;tblCalculation[[#This Row],[B1Level3]],tblLvl2Mapping[B1Level2_B1Level3],0),2)</f>
        <v>Corporate</v>
      </c>
      <c r="L133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33" s="7">
        <f>INDEX(tblAttributable[],MATCH(tblCalculation[[#This Row],[Level3]],tblAttributable[Level3],0),2)</f>
        <v>1</v>
      </c>
      <c r="N133" s="16">
        <f>tblBOneExport[[#This Row],[PTF_WEIGHT]]</f>
        <v>3.7886832999999998E-3</v>
      </c>
      <c r="O133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5.9849457305209026E-2</v>
      </c>
      <c r="P133" s="48">
        <f>tblCalculation[[#This Row],[PtfDTS]]/SUM(tblCalculation[PtfDTS])</f>
        <v>7.2580802851179562E-3</v>
      </c>
      <c r="Q133" s="16">
        <f>tblBOneExport[[#This Row],[PTF_CONTRIBUTION]]</f>
        <v>9.0649900000000001E-5</v>
      </c>
      <c r="R133" s="16">
        <f>tblCalculation[[#This Row],[PtfContributionBase]]-tblCalculation[[#This Row],[PtfCurrencyReturn]]</f>
        <v>9.0649900000000001E-5</v>
      </c>
      <c r="S133" s="16">
        <f>IF(tblBOneExport[[#This Row],[LEVEL1]]="Bonds",tblBOneExport[[#This Row],[PTF_GOV_CARRY]],"")</f>
        <v>4.4043000000000003E-6</v>
      </c>
      <c r="T133" s="16">
        <f>tblCalculation[[#This Row],[FIAttributable]]*tblBOneExport[[#This Row],[PTF_CREDIT_CARRY]]</f>
        <v>4.9465E-6</v>
      </c>
      <c r="U133" s="16">
        <f>tblCalculation[[#This Row],[FIAttributable]]*tblBOneExport[[#This Row],[PTF_TOTAL_CURVE]]</f>
        <v>6.8486799999999996E-5</v>
      </c>
      <c r="V133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1.5392699999999999E-5</v>
      </c>
      <c r="W133" s="16">
        <f>IF(AND(tblCalculation[[#This Row],[Level3]]="Forward Contracts",tblBOneExport[[#This Row],[PTF_COST_OF_CARRY]]=0),tblBOneExport[[#This Row],[PTF_VALUATION]],0)</f>
        <v>0</v>
      </c>
      <c r="X133" s="16">
        <f>SUM(tblCalculation[[#This Row],[PtfTrading]:[PtfModelRes]])</f>
        <v>-2.5801999999999999E-6</v>
      </c>
      <c r="Y133" s="16">
        <f>tblCalculation[[#This Row],[FIAttributable]]*tblBOneExport[[#This Row],[PTF_TRADING]]</f>
        <v>0</v>
      </c>
      <c r="Z133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33" s="16">
        <f>tblCalculation[[#This Row],[FIAttributable]]*tblBOneExport[[#This Row],[PTF_MODEL_RESIDUAL]]-PTF_Credit_Adj*tblCalculation[[#This Row],[PtfDTSWeight]]</f>
        <v>-2.5801999999999999E-6</v>
      </c>
      <c r="AB133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33" s="16">
        <f>tblBOneExport[[#This Row],[BMK_WEIGHT]]</f>
        <v>0</v>
      </c>
      <c r="AD133" s="78">
        <f>tblCalculation[[#This Row],[FIAttributable]]*SUMIFS(tblDTS[DTSContribution_BM],tblDTS[ISIN],tblCalculation[[#This Row],[ISIN]])</f>
        <v>7.8990224260339192E-2</v>
      </c>
      <c r="AE133" s="16">
        <f>IF(SUM(tblCalculation[BMKDTS])=0,0,tblCalculation[[#This Row],[BMKDTS]]/SUM(tblCalculation[BMKDTS]))</f>
        <v>9.3880103548332396E-3</v>
      </c>
      <c r="AF133" s="16">
        <f>tblBOneExport[[#This Row],[BMK_CONTRIBUTION]]</f>
        <v>0</v>
      </c>
      <c r="AG133" s="16">
        <f>tblCalculation[[#This Row],[BMKContributionBase]]-tblBOneExport[BMK_SPOT_CCY_RETURN]-tblBOneExport[[#This Row],[BMK_CROSS_EFFECT]]</f>
        <v>0</v>
      </c>
      <c r="AH133" s="16">
        <f>tblCalculation[[#This Row],[FIAttributable]]*(tblBOneExport[[#This Row],[BMK_RETURN_GOV_CARRY]])</f>
        <v>0</v>
      </c>
      <c r="AI133" s="16">
        <f>tblCalculation[[#This Row],[FIAttributable]]*tblBOneExport[[#This Row],[BMK_CREDIT_CARRY]]</f>
        <v>0</v>
      </c>
      <c r="AJ133" s="16">
        <f>tblCalculation[[#This Row],[FIAttributable]]*tblBOneExport[[#This Row],[BMK_TOTAL_CURVE]]</f>
        <v>0</v>
      </c>
      <c r="AK133" s="16">
        <f>tblCalculation[[#This Row],[FIAttributable]]*(tblBOneExport[[#This Row],[BMK_TOTAL_SPREAD]]+BMK_Credit_Adj*tblCalculation[[#This Row],[BmkDTSWeight]])</f>
        <v>0</v>
      </c>
      <c r="AL133" s="16">
        <f>tblCalculation[[#This Row],[FIAttributable]]*tblBOneExport[[#This Row],[BMK_MODEL_RESIDUAL]]-BMK_Credit_Adj*tblCalculation[[#This Row],[BmkDTSWeight]]</f>
        <v>0</v>
      </c>
      <c r="AM133" s="16">
        <f>IF(tblCalculation[[#This Row],[Level3]]="Forward Contracts",tblCalculation[[#This Row],[BMKContributionLocal]],0)</f>
        <v>0</v>
      </c>
      <c r="AN133" s="16">
        <f>tblBOneExport[[#This Row],[BMK_SPOT_CCY_RETURN]]+tblBOneExport[[#This Row],[BMK_CROSS_EFFECT]]</f>
        <v>0</v>
      </c>
    </row>
    <row r="134" spans="5:40" x14ac:dyDescent="0.25">
      <c r="E134" s="7" t="str">
        <f>tblBOneExport[[#This Row],[INSTRUMENT_CODE]]</f>
        <v>S00910204</v>
      </c>
      <c r="F134" s="7" t="str">
        <f>tblBOneExport[[#This Row],[INSTRUMENT]]</f>
        <v>GREAT ROLLING ST 6.875 27/07/35 EMTN</v>
      </c>
      <c r="G134" s="7" t="str">
        <f>IF(tblBOneExport[[#This Row],[ISIN]]&lt;&gt;"", tblBOneExport[[#This Row],[ISIN]],"")</f>
        <v>XS0526993802</v>
      </c>
      <c r="H134" s="7" t="str">
        <f>IF(tblCalculation[[#This Row],[B1Level2]]="CDS",tblBOneExport[[#This Row],[B1_TICKER]],IF(tblCalculation[[#This Row],[ISIN]]="","",INDEX(tblGetStaticData[Ticker],MATCH(tblCalculation[[#This Row],[ISIN]],tblGetStaticData[ISIN],0))))</f>
        <v>GRSCL</v>
      </c>
      <c r="I134" s="7" t="str">
        <f>IF(tblBOneExport[[#This Row],[INSTRUMENT_TYPE]]="Forward Contract","Forward Contract",tblBOneExport[LEVEL2])</f>
        <v>Corporates</v>
      </c>
      <c r="J134" s="7" t="str">
        <f>IF(tblBOneExport[[#This Row],[INSTRUMENT_TYPE]]="Forward Contract","Forward Contract",tblBOneExport[[#This Row],[LEVEL3]])</f>
        <v>Industrials</v>
      </c>
      <c r="K134" s="7" t="str">
        <f>INDEX(tblLvl2Mapping[],MATCH(tblCalculation[[#This Row],[B1Level2]]&amp;"_"&amp;tblCalculation[[#This Row],[B1Level3]],tblLvl2Mapping[B1Level2_B1Level3],0),2)</f>
        <v>Corporate</v>
      </c>
      <c r="L134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34" s="7">
        <f>INDEX(tblAttributable[],MATCH(tblCalculation[[#This Row],[Level3]],tblAttributable[Level3],0),2)</f>
        <v>1</v>
      </c>
      <c r="N134" s="16">
        <f>tblBOneExport[[#This Row],[PTF_WEIGHT]]</f>
        <v>6.3419306999999998E-3</v>
      </c>
      <c r="O134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6.539366895809659E-2</v>
      </c>
      <c r="P134" s="48">
        <f>tblCalculation[[#This Row],[PtfDTS]]/SUM(tblCalculation[PtfDTS])</f>
        <v>7.9304394861234792E-3</v>
      </c>
      <c r="Q134" s="16">
        <f>tblBOneExport[[#This Row],[PTF_CONTRIBUTION]]</f>
        <v>7.5045700000000006E-5</v>
      </c>
      <c r="R134" s="16">
        <f>tblCalculation[[#This Row],[PtfContributionBase]]-tblCalculation[[#This Row],[PtfCurrencyReturn]]</f>
        <v>7.5045700000000006E-5</v>
      </c>
      <c r="S134" s="16">
        <f>IF(tblBOneExport[[#This Row],[LEVEL1]]="Bonds",tblBOneExport[[#This Row],[PTF_GOV_CARRY]],"")</f>
        <v>8.3966000000000002E-6</v>
      </c>
      <c r="T134" s="16">
        <f>tblCalculation[[#This Row],[FIAttributable]]*tblBOneExport[[#This Row],[PTF_CREDIT_CARRY]]</f>
        <v>5.5462000000000004E-6</v>
      </c>
      <c r="U134" s="16">
        <f>tblCalculation[[#This Row],[FIAttributable]]*tblBOneExport[[#This Row],[PTF_TOTAL_CURVE]]</f>
        <v>5.4561000000000002E-5</v>
      </c>
      <c r="V134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5.1829E-6</v>
      </c>
      <c r="W134" s="16">
        <f>IF(AND(tblCalculation[[#This Row],[Level3]]="Forward Contracts",tblBOneExport[[#This Row],[PTF_COST_OF_CARRY]]=0),tblBOneExport[[#This Row],[PTF_VALUATION]],0)</f>
        <v>0</v>
      </c>
      <c r="X134" s="16">
        <f>SUM(tblCalculation[[#This Row],[PtfTrading]:[PtfModelRes]])</f>
        <v>1.3591E-6</v>
      </c>
      <c r="Y134" s="16">
        <f>tblCalculation[[#This Row],[FIAttributable]]*tblBOneExport[[#This Row],[PTF_TRADING]]</f>
        <v>0</v>
      </c>
      <c r="Z134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34" s="16">
        <f>tblCalculation[[#This Row],[FIAttributable]]*tblBOneExport[[#This Row],[PTF_MODEL_RESIDUAL]]-PTF_Credit_Adj*tblCalculation[[#This Row],[PtfDTSWeight]]</f>
        <v>1.3591E-6</v>
      </c>
      <c r="AB134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34" s="16">
        <f>tblBOneExport[[#This Row],[BMK_WEIGHT]]</f>
        <v>0</v>
      </c>
      <c r="AD134" s="78">
        <f>tblCalculation[[#This Row],[FIAttributable]]*SUMIFS(tblDTS[DTSContribution_BM],tblDTS[ISIN],tblCalculation[[#This Row],[ISIN]])</f>
        <v>8.6306946536765419E-2</v>
      </c>
      <c r="AE134" s="16">
        <f>IF(SUM(tblCalculation[BMKDTS])=0,0,tblCalculation[[#This Row],[BMKDTS]]/SUM(tblCalculation[BMKDTS]))</f>
        <v>1.0257604853870726E-2</v>
      </c>
      <c r="AF134" s="16">
        <f>tblBOneExport[[#This Row],[BMK_CONTRIBUTION]]</f>
        <v>0</v>
      </c>
      <c r="AG134" s="16">
        <f>tblCalculation[[#This Row],[BMKContributionBase]]-tblBOneExport[BMK_SPOT_CCY_RETURN]-tblBOneExport[[#This Row],[BMK_CROSS_EFFECT]]</f>
        <v>0</v>
      </c>
      <c r="AH134" s="16">
        <f>tblCalculation[[#This Row],[FIAttributable]]*(tblBOneExport[[#This Row],[BMK_RETURN_GOV_CARRY]])</f>
        <v>0</v>
      </c>
      <c r="AI134" s="16">
        <f>tblCalculation[[#This Row],[FIAttributable]]*tblBOneExport[[#This Row],[BMK_CREDIT_CARRY]]</f>
        <v>0</v>
      </c>
      <c r="AJ134" s="16">
        <f>tblCalculation[[#This Row],[FIAttributable]]*tblBOneExport[[#This Row],[BMK_TOTAL_CURVE]]</f>
        <v>0</v>
      </c>
      <c r="AK134" s="16">
        <f>tblCalculation[[#This Row],[FIAttributable]]*(tblBOneExport[[#This Row],[BMK_TOTAL_SPREAD]]+BMK_Credit_Adj*tblCalculation[[#This Row],[BmkDTSWeight]])</f>
        <v>0</v>
      </c>
      <c r="AL134" s="16">
        <f>tblCalculation[[#This Row],[FIAttributable]]*tblBOneExport[[#This Row],[BMK_MODEL_RESIDUAL]]-BMK_Credit_Adj*tblCalculation[[#This Row],[BmkDTSWeight]]</f>
        <v>0</v>
      </c>
      <c r="AM134" s="16">
        <f>IF(tblCalculation[[#This Row],[Level3]]="Forward Contracts",tblCalculation[[#This Row],[BMKContributionLocal]],0)</f>
        <v>0</v>
      </c>
      <c r="AN134" s="16">
        <f>tblBOneExport[[#This Row],[BMK_SPOT_CCY_RETURN]]+tblBOneExport[[#This Row],[BMK_CROSS_EFFECT]]</f>
        <v>0</v>
      </c>
    </row>
    <row r="135" spans="5:40" x14ac:dyDescent="0.25">
      <c r="E135" s="7" t="str">
        <f>tblBOneExport[[#This Row],[INSTRUMENT_CODE]]</f>
        <v>S00910188</v>
      </c>
      <c r="F135" s="7" t="str">
        <f>tblBOneExport[[#This Row],[INSTRUMENT]]</f>
        <v>GREAT ROLLING ST 6.25 27/07/20 EMTN</v>
      </c>
      <c r="G135" s="7" t="str">
        <f>IF(tblBOneExport[[#This Row],[ISIN]]&lt;&gt;"", tblBOneExport[[#This Row],[ISIN]],"")</f>
        <v>XS0526995336</v>
      </c>
      <c r="H135" s="7" t="str">
        <f>IF(tblCalculation[[#This Row],[B1Level2]]="CDS",tblBOneExport[[#This Row],[B1_TICKER]],IF(tblCalculation[[#This Row],[ISIN]]="","",INDEX(tblGetStaticData[Ticker],MATCH(tblCalculation[[#This Row],[ISIN]],tblGetStaticData[ISIN],0))))</f>
        <v>GRSCL</v>
      </c>
      <c r="I135" s="7" t="str">
        <f>IF(tblBOneExport[[#This Row],[INSTRUMENT_TYPE]]="Forward Contract","Forward Contract",tblBOneExport[LEVEL2])</f>
        <v>Corporates</v>
      </c>
      <c r="J135" s="7" t="str">
        <f>IF(tblBOneExport[[#This Row],[INSTRUMENT_TYPE]]="Forward Contract","Forward Contract",tblBOneExport[[#This Row],[LEVEL3]])</f>
        <v>Industrials</v>
      </c>
      <c r="K135" s="7" t="str">
        <f>INDEX(tblLvl2Mapping[],MATCH(tblCalculation[[#This Row],[B1Level2]]&amp;"_"&amp;tblCalculation[[#This Row],[B1Level3]],tblLvl2Mapping[B1Level2_B1Level3],0),2)</f>
        <v>Corporate</v>
      </c>
      <c r="L135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35" s="7">
        <f>INDEX(tblAttributable[],MATCH(tblCalculation[[#This Row],[Level3]],tblAttributable[Level3],0),2)</f>
        <v>1</v>
      </c>
      <c r="N135" s="16">
        <f>tblBOneExport[[#This Row],[PTF_WEIGHT]]</f>
        <v>9.4971020000000005E-4</v>
      </c>
      <c r="O135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2.0093861859484257E-3</v>
      </c>
      <c r="P135" s="48">
        <f>tblCalculation[[#This Row],[PtfDTS]]/SUM(tblCalculation[PtfDTS])</f>
        <v>2.4368284890281339E-4</v>
      </c>
      <c r="Q135" s="16">
        <f>tblBOneExport[[#This Row],[PTF_CONTRIBUTION]]</f>
        <v>4.3588999999999999E-6</v>
      </c>
      <c r="R135" s="16">
        <f>tblCalculation[[#This Row],[PtfContributionBase]]-tblCalculation[[#This Row],[PtfCurrencyReturn]]</f>
        <v>4.3588999999999999E-6</v>
      </c>
      <c r="S135" s="16">
        <f>IF(tblBOneExport[[#This Row],[LEVEL1]]="Bonds",tblBOneExport[[#This Row],[PTF_GOV_CARRY]],"")</f>
        <v>1.962E-7</v>
      </c>
      <c r="T135" s="16">
        <f>tblCalculation[[#This Row],[FIAttributable]]*tblBOneExport[[#This Row],[PTF_CREDIT_CARRY]]</f>
        <v>9.3129999999999998E-7</v>
      </c>
      <c r="U135" s="16">
        <f>tblCalculation[[#This Row],[FIAttributable]]*tblBOneExport[[#This Row],[PTF_TOTAL_CURVE]]</f>
        <v>3.0581999999999998E-6</v>
      </c>
      <c r="V135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2.5199999999999998E-7</v>
      </c>
      <c r="W135" s="16">
        <f>IF(AND(tblCalculation[[#This Row],[Level3]]="Forward Contracts",tblBOneExport[[#This Row],[PTF_COST_OF_CARRY]]=0),tblBOneExport[[#This Row],[PTF_VALUATION]],0)</f>
        <v>0</v>
      </c>
      <c r="X135" s="16">
        <f>SUM(tblCalculation[[#This Row],[PtfTrading]:[PtfModelRes]])</f>
        <v>-7.8800000000000004E-8</v>
      </c>
      <c r="Y135" s="16">
        <f>tblCalculation[[#This Row],[FIAttributable]]*tblBOneExport[[#This Row],[PTF_TRADING]]</f>
        <v>0</v>
      </c>
      <c r="Z135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35" s="16">
        <f>tblCalculation[[#This Row],[FIAttributable]]*tblBOneExport[[#This Row],[PTF_MODEL_RESIDUAL]]-PTF_Credit_Adj*tblCalculation[[#This Row],[PtfDTSWeight]]</f>
        <v>-7.8800000000000004E-8</v>
      </c>
      <c r="AB135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35" s="16">
        <f>tblBOneExport[[#This Row],[BMK_WEIGHT]]</f>
        <v>0</v>
      </c>
      <c r="AD135" s="78">
        <f>tblCalculation[[#This Row],[FIAttributable]]*SUMIFS(tblDTS[DTSContribution_BM],tblDTS[ISIN],tblCalculation[[#This Row],[ISIN]])</f>
        <v>1.8467386968615796E-3</v>
      </c>
      <c r="AE135" s="16">
        <f>IF(SUM(tblCalculation[BMKDTS])=0,0,tblCalculation[[#This Row],[BMKDTS]]/SUM(tblCalculation[BMKDTS]))</f>
        <v>2.1948541317805473E-4</v>
      </c>
      <c r="AF135" s="16">
        <f>tblBOneExport[[#This Row],[BMK_CONTRIBUTION]]</f>
        <v>0</v>
      </c>
      <c r="AG135" s="16">
        <f>tblCalculation[[#This Row],[BMKContributionBase]]-tblBOneExport[BMK_SPOT_CCY_RETURN]-tblBOneExport[[#This Row],[BMK_CROSS_EFFECT]]</f>
        <v>0</v>
      </c>
      <c r="AH135" s="16">
        <f>tblCalculation[[#This Row],[FIAttributable]]*(tblBOneExport[[#This Row],[BMK_RETURN_GOV_CARRY]])</f>
        <v>0</v>
      </c>
      <c r="AI135" s="16">
        <f>tblCalculation[[#This Row],[FIAttributable]]*tblBOneExport[[#This Row],[BMK_CREDIT_CARRY]]</f>
        <v>0</v>
      </c>
      <c r="AJ135" s="16">
        <f>tblCalculation[[#This Row],[FIAttributable]]*tblBOneExport[[#This Row],[BMK_TOTAL_CURVE]]</f>
        <v>0</v>
      </c>
      <c r="AK135" s="16">
        <f>tblCalculation[[#This Row],[FIAttributable]]*(tblBOneExport[[#This Row],[BMK_TOTAL_SPREAD]]+BMK_Credit_Adj*tblCalculation[[#This Row],[BmkDTSWeight]])</f>
        <v>0</v>
      </c>
      <c r="AL135" s="16">
        <f>tblCalculation[[#This Row],[FIAttributable]]*tblBOneExport[[#This Row],[BMK_MODEL_RESIDUAL]]-BMK_Credit_Adj*tblCalculation[[#This Row],[BmkDTSWeight]]</f>
        <v>0</v>
      </c>
      <c r="AM135" s="16">
        <f>IF(tblCalculation[[#This Row],[Level3]]="Forward Contracts",tblCalculation[[#This Row],[BMKContributionLocal]],0)</f>
        <v>0</v>
      </c>
      <c r="AN135" s="16">
        <f>tblBOneExport[[#This Row],[BMK_SPOT_CCY_RETURN]]+tblBOneExport[[#This Row],[BMK_CROSS_EFFECT]]</f>
        <v>0</v>
      </c>
    </row>
    <row r="136" spans="5:40" x14ac:dyDescent="0.25">
      <c r="E136" s="7" t="str">
        <f>tblBOneExport[[#This Row],[INSTRUMENT_CODE]]</f>
        <v>S00926171</v>
      </c>
      <c r="F136" s="7" t="str">
        <f>tblBOneExport[[#This Row],[INSTRUMENT]]</f>
        <v>JOHN LEWIS PLC 6.125 21/01/25</v>
      </c>
      <c r="G136" s="7" t="str">
        <f>IF(tblBOneExport[[#This Row],[ISIN]]&lt;&gt;"", tblBOneExport[[#This Row],[ISIN]],"")</f>
        <v>XS0527985583</v>
      </c>
      <c r="H136" s="7" t="str">
        <f>IF(tblCalculation[[#This Row],[B1Level2]]="CDS",tblBOneExport[[#This Row],[B1_TICKER]],IF(tblCalculation[[#This Row],[ISIN]]="","",INDEX(tblGetStaticData[Ticker],MATCH(tblCalculation[[#This Row],[ISIN]],tblGetStaticData[ISIN],0))))</f>
        <v>JOHLEW</v>
      </c>
      <c r="I136" s="7" t="str">
        <f>IF(tblBOneExport[[#This Row],[INSTRUMENT_TYPE]]="Forward Contract","Forward Contract",tblBOneExport[LEVEL2])</f>
        <v>Corporates</v>
      </c>
      <c r="J136" s="7" t="str">
        <f>IF(tblBOneExport[[#This Row],[INSTRUMENT_TYPE]]="Forward Contract","Forward Contract",tblBOneExport[[#This Row],[LEVEL3]])</f>
        <v>Industrials</v>
      </c>
      <c r="K136" s="7" t="str">
        <f>INDEX(tblLvl2Mapping[],MATCH(tblCalculation[[#This Row],[B1Level2]]&amp;"_"&amp;tblCalculation[[#This Row],[B1Level3]],tblLvl2Mapping[B1Level2_B1Level3],0),2)</f>
        <v>Corporate</v>
      </c>
      <c r="L136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36" s="7">
        <f>INDEX(tblAttributable[],MATCH(tblCalculation[[#This Row],[Level3]],tblAttributable[Level3],0),2)</f>
        <v>1</v>
      </c>
      <c r="N136" s="16">
        <f>tblBOneExport[[#This Row],[PTF_WEIGHT]]</f>
        <v>4.3781406000000002E-3</v>
      </c>
      <c r="O136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4.6754869631993816E-2</v>
      </c>
      <c r="P136" s="48">
        <f>tblCalculation[[#This Row],[PtfDTS]]/SUM(tblCalculation[PtfDTS])</f>
        <v>5.6700697514879385E-3</v>
      </c>
      <c r="Q136" s="16">
        <f>tblBOneExport[[#This Row],[PTF_CONTRIBUTION]]</f>
        <v>5.1367199999999998E-5</v>
      </c>
      <c r="R136" s="16">
        <f>tblCalculation[[#This Row],[PtfContributionBase]]-tblCalculation[[#This Row],[PtfCurrencyReturn]]</f>
        <v>5.1367199999999998E-5</v>
      </c>
      <c r="S136" s="16">
        <f>IF(tblBOneExport[[#This Row],[LEVEL1]]="Bonds",tblBOneExport[[#This Row],[PTF_GOV_CARRY]],"")</f>
        <v>2.9125999999999999E-6</v>
      </c>
      <c r="T136" s="16">
        <f>tblCalculation[[#This Row],[FIAttributable]]*tblBOneExport[[#This Row],[PTF_CREDIT_CARRY]]</f>
        <v>7.2780999999999998E-6</v>
      </c>
      <c r="U136" s="16">
        <f>tblCalculation[[#This Row],[FIAttributable]]*tblBOneExport[[#This Row],[PTF_TOTAL_CURVE]]</f>
        <v>4.9505700000000003E-5</v>
      </c>
      <c r="V136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-8.1179000000000007E-6</v>
      </c>
      <c r="W136" s="16">
        <f>IF(AND(tblCalculation[[#This Row],[Level3]]="Forward Contracts",tblBOneExport[[#This Row],[PTF_COST_OF_CARRY]]=0),tblBOneExport[[#This Row],[PTF_VALUATION]],0)</f>
        <v>0</v>
      </c>
      <c r="X136" s="16">
        <f>SUM(tblCalculation[[#This Row],[PtfTrading]:[PtfModelRes]])</f>
        <v>-2.1120000000000001E-7</v>
      </c>
      <c r="Y136" s="16">
        <f>tblCalculation[[#This Row],[FIAttributable]]*tblBOneExport[[#This Row],[PTF_TRADING]]</f>
        <v>0</v>
      </c>
      <c r="Z136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36" s="16">
        <f>tblCalculation[[#This Row],[FIAttributable]]*tblBOneExport[[#This Row],[PTF_MODEL_RESIDUAL]]-PTF_Credit_Adj*tblCalculation[[#This Row],[PtfDTSWeight]]</f>
        <v>-2.1120000000000001E-7</v>
      </c>
      <c r="AB136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36" s="16">
        <f>tblBOneExport[[#This Row],[BMK_WEIGHT]]</f>
        <v>0</v>
      </c>
      <c r="AD136" s="78">
        <f>tblCalculation[[#This Row],[FIAttributable]]*SUMIFS(tblDTS[DTSContribution_BM],tblDTS[ISIN],tblCalculation[[#This Row],[ISIN]])</f>
        <v>6.1709059369925337E-2</v>
      </c>
      <c r="AE136" s="16">
        <f>IF(SUM(tblCalculation[BMKDTS])=0,0,tblCalculation[[#This Row],[BMKDTS]]/SUM(tblCalculation[BMKDTS]))</f>
        <v>7.3341390504540705E-3</v>
      </c>
      <c r="AF136" s="16">
        <f>tblBOneExport[[#This Row],[BMK_CONTRIBUTION]]</f>
        <v>0</v>
      </c>
      <c r="AG136" s="16">
        <f>tblCalculation[[#This Row],[BMKContributionBase]]-tblBOneExport[BMK_SPOT_CCY_RETURN]-tblBOneExport[[#This Row],[BMK_CROSS_EFFECT]]</f>
        <v>0</v>
      </c>
      <c r="AH136" s="16">
        <f>tblCalculation[[#This Row],[FIAttributable]]*(tblBOneExport[[#This Row],[BMK_RETURN_GOV_CARRY]])</f>
        <v>0</v>
      </c>
      <c r="AI136" s="16">
        <f>tblCalculation[[#This Row],[FIAttributable]]*tblBOneExport[[#This Row],[BMK_CREDIT_CARRY]]</f>
        <v>0</v>
      </c>
      <c r="AJ136" s="16">
        <f>tblCalculation[[#This Row],[FIAttributable]]*tblBOneExport[[#This Row],[BMK_TOTAL_CURVE]]</f>
        <v>0</v>
      </c>
      <c r="AK136" s="16">
        <f>tblCalculation[[#This Row],[FIAttributable]]*(tblBOneExport[[#This Row],[BMK_TOTAL_SPREAD]]+BMK_Credit_Adj*tblCalculation[[#This Row],[BmkDTSWeight]])</f>
        <v>0</v>
      </c>
      <c r="AL136" s="16">
        <f>tblCalculation[[#This Row],[FIAttributable]]*tblBOneExport[[#This Row],[BMK_MODEL_RESIDUAL]]-BMK_Credit_Adj*tblCalculation[[#This Row],[BmkDTSWeight]]</f>
        <v>0</v>
      </c>
      <c r="AM136" s="16">
        <f>IF(tblCalculation[[#This Row],[Level3]]="Forward Contracts",tblCalculation[[#This Row],[BMKContributionLocal]],0)</f>
        <v>0</v>
      </c>
      <c r="AN136" s="16">
        <f>tblBOneExport[[#This Row],[BMK_SPOT_CCY_RETURN]]+tblBOneExport[[#This Row],[BMK_CROSS_EFFECT]]</f>
        <v>0</v>
      </c>
    </row>
    <row r="137" spans="5:40" x14ac:dyDescent="0.25">
      <c r="E137" s="7" t="str">
        <f>tblBOneExport[[#This Row],[INSTRUMENT_CODE]]</f>
        <v>S00918135</v>
      </c>
      <c r="F137" s="7" t="str">
        <f>tblBOneExport[[#This Row],[INSTRUMENT]]</f>
        <v>TEMASEK FINL I 5.125 26/07/40 GMTN</v>
      </c>
      <c r="G137" s="7" t="str">
        <f>IF(tblBOneExport[[#This Row],[ISIN]]&lt;&gt;"", tblBOneExport[[#This Row],[ISIN]],"")</f>
        <v>XS0528414377</v>
      </c>
      <c r="H137" s="7" t="str">
        <f>IF(tblCalculation[[#This Row],[B1Level2]]="CDS",tblBOneExport[[#This Row],[B1_TICKER]],IF(tblCalculation[[#This Row],[ISIN]]="","",INDEX(tblGetStaticData[Ticker],MATCH(tblCalculation[[#This Row],[ISIN]],tblGetStaticData[ISIN],0))))</f>
        <v>TEMASE</v>
      </c>
      <c r="I137" s="7" t="str">
        <f>IF(tblBOneExport[[#This Row],[INSTRUMENT_TYPE]]="Forward Contract","Forward Contract",tblBOneExport[LEVEL2])</f>
        <v>Non-Corporate</v>
      </c>
      <c r="J137" s="7" t="str">
        <f>IF(tblBOneExport[[#This Row],[INSTRUMENT_TYPE]]="Forward Contract","Forward Contract",tblBOneExport[[#This Row],[LEVEL3]])</f>
        <v>Foreign Agency</v>
      </c>
      <c r="K137" s="7" t="str">
        <f>INDEX(tblLvl2Mapping[],MATCH(tblCalculation[[#This Row],[B1Level2]]&amp;"_"&amp;tblCalculation[[#This Row],[B1Level3]],tblLvl2Mapping[B1Level2_B1Level3],0),2)</f>
        <v>Corporate</v>
      </c>
      <c r="L137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37" s="7">
        <f>INDEX(tblAttributable[],MATCH(tblCalculation[[#This Row],[Level3]],tblAttributable[Level3],0),2)</f>
        <v>1</v>
      </c>
      <c r="N137" s="16">
        <f>tblBOneExport[[#This Row],[PTF_WEIGHT]]</f>
        <v>1.3963678300000001E-2</v>
      </c>
      <c r="O137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0.19472120055667269</v>
      </c>
      <c r="P137" s="48">
        <f>tblCalculation[[#This Row],[PtfDTS]]/SUM(tblCalculation[PtfDTS])</f>
        <v>2.3614284414436592E-2</v>
      </c>
      <c r="Q137" s="16">
        <f>tblBOneExport[[#This Row],[PTF_CONTRIBUTION]]</f>
        <v>4.1616039999999997E-4</v>
      </c>
      <c r="R137" s="16">
        <f>tblCalculation[[#This Row],[PtfContributionBase]]-tblCalculation[[#This Row],[PtfCurrencyReturn]]</f>
        <v>4.1616039999999997E-4</v>
      </c>
      <c r="S137" s="16">
        <f>IF(tblBOneExport[[#This Row],[LEVEL1]]="Bonds",tblBOneExport[[#This Row],[PTF_GOV_CARRY]],"")</f>
        <v>2.0171899999999999E-5</v>
      </c>
      <c r="T137" s="16">
        <f>tblCalculation[[#This Row],[FIAttributable]]*tblBOneExport[[#This Row],[PTF_CREDIT_CARRY]]</f>
        <v>7.6637000000000008E-6</v>
      </c>
      <c r="U137" s="16">
        <f>tblCalculation[[#This Row],[FIAttributable]]*tblBOneExport[[#This Row],[PTF_TOTAL_CURVE]]</f>
        <v>2.7442690000000001E-4</v>
      </c>
      <c r="V137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1.108392E-4</v>
      </c>
      <c r="W137" s="16">
        <f>IF(AND(tblCalculation[[#This Row],[Level3]]="Forward Contracts",tblBOneExport[[#This Row],[PTF_COST_OF_CARRY]]=0),tblBOneExport[[#This Row],[PTF_VALUATION]],0)</f>
        <v>0</v>
      </c>
      <c r="X137" s="16">
        <f>SUM(tblCalculation[[#This Row],[PtfTrading]:[PtfModelRes]])</f>
        <v>3.0585999999999998E-6</v>
      </c>
      <c r="Y137" s="16">
        <f>tblCalculation[[#This Row],[FIAttributable]]*tblBOneExport[[#This Row],[PTF_TRADING]]</f>
        <v>0</v>
      </c>
      <c r="Z137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37" s="16">
        <f>tblCalculation[[#This Row],[FIAttributable]]*tblBOneExport[[#This Row],[PTF_MODEL_RESIDUAL]]-PTF_Credit_Adj*tblCalculation[[#This Row],[PtfDTSWeight]]</f>
        <v>3.0585999999999998E-6</v>
      </c>
      <c r="AB137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37" s="16">
        <f>tblBOneExport[[#This Row],[BMK_WEIGHT]]</f>
        <v>0</v>
      </c>
      <c r="AD137" s="78">
        <f>tblCalculation[[#This Row],[FIAttributable]]*SUMIFS(tblDTS[DTSContribution_BM],tblDTS[ISIN],tblCalculation[[#This Row],[ISIN]])</f>
        <v>0.22512914572144579</v>
      </c>
      <c r="AE137" s="16">
        <f>IF(SUM(tblCalculation[BMKDTS])=0,0,tblCalculation[[#This Row],[BMKDTS]]/SUM(tblCalculation[BMKDTS]))</f>
        <v>2.6756662245215133E-2</v>
      </c>
      <c r="AF137" s="16">
        <f>tblBOneExport[[#This Row],[BMK_CONTRIBUTION]]</f>
        <v>0</v>
      </c>
      <c r="AG137" s="16">
        <f>tblCalculation[[#This Row],[BMKContributionBase]]-tblBOneExport[BMK_SPOT_CCY_RETURN]-tblBOneExport[[#This Row],[BMK_CROSS_EFFECT]]</f>
        <v>0</v>
      </c>
      <c r="AH137" s="16">
        <f>tblCalculation[[#This Row],[FIAttributable]]*(tblBOneExport[[#This Row],[BMK_RETURN_GOV_CARRY]])</f>
        <v>0</v>
      </c>
      <c r="AI137" s="16">
        <f>tblCalculation[[#This Row],[FIAttributable]]*tblBOneExport[[#This Row],[BMK_CREDIT_CARRY]]</f>
        <v>0</v>
      </c>
      <c r="AJ137" s="16">
        <f>tblCalculation[[#This Row],[FIAttributable]]*tblBOneExport[[#This Row],[BMK_TOTAL_CURVE]]</f>
        <v>0</v>
      </c>
      <c r="AK137" s="16">
        <f>tblCalculation[[#This Row],[FIAttributable]]*(tblBOneExport[[#This Row],[BMK_TOTAL_SPREAD]]+BMK_Credit_Adj*tblCalculation[[#This Row],[BmkDTSWeight]])</f>
        <v>0</v>
      </c>
      <c r="AL137" s="16">
        <f>tblCalculation[[#This Row],[FIAttributable]]*tblBOneExport[[#This Row],[BMK_MODEL_RESIDUAL]]-BMK_Credit_Adj*tblCalculation[[#This Row],[BmkDTSWeight]]</f>
        <v>0</v>
      </c>
      <c r="AM137" s="16">
        <f>IF(tblCalculation[[#This Row],[Level3]]="Forward Contracts",tblCalculation[[#This Row],[BMKContributionLocal]],0)</f>
        <v>0</v>
      </c>
      <c r="AN137" s="16">
        <f>tblBOneExport[[#This Row],[BMK_SPOT_CCY_RETURN]]+tblBOneExport[[#This Row],[BMK_CROSS_EFFECT]]</f>
        <v>0</v>
      </c>
    </row>
    <row r="138" spans="5:40" x14ac:dyDescent="0.25">
      <c r="E138" s="7" t="str">
        <f>tblBOneExport[[#This Row],[INSTRUMENT_CODE]]</f>
        <v>S00955096</v>
      </c>
      <c r="F138" s="7" t="str">
        <f>tblBOneExport[[#This Row],[INSTRUMENT]]</f>
        <v>MOTABILITY OPER 5.625 29/11/30 EMTN</v>
      </c>
      <c r="G138" s="7" t="str">
        <f>IF(tblBOneExport[[#This Row],[ISIN]]&lt;&gt;"", tblBOneExport[[#This Row],[ISIN]],"")</f>
        <v>XS0561876003</v>
      </c>
      <c r="H138" s="7" t="str">
        <f>IF(tblCalculation[[#This Row],[B1Level2]]="CDS",tblBOneExport[[#This Row],[B1_TICKER]],IF(tblCalculation[[#This Row],[ISIN]]="","",INDEX(tblGetStaticData[Ticker],MATCH(tblCalculation[[#This Row],[ISIN]],tblGetStaticData[ISIN],0))))</f>
        <v>MOTOPG</v>
      </c>
      <c r="I138" s="7" t="str">
        <f>IF(tblBOneExport[[#This Row],[INSTRUMENT_TYPE]]="Forward Contract","Forward Contract",tblBOneExport[LEVEL2])</f>
        <v>Corporates</v>
      </c>
      <c r="J138" s="7" t="str">
        <f>IF(tblBOneExport[[#This Row],[INSTRUMENT_TYPE]]="Forward Contract","Forward Contract",tblBOneExport[[#This Row],[LEVEL3]])</f>
        <v>Industrials</v>
      </c>
      <c r="K138" s="7" t="str">
        <f>INDEX(tblLvl2Mapping[],MATCH(tblCalculation[[#This Row],[B1Level2]]&amp;"_"&amp;tblCalculation[[#This Row],[B1Level3]],tblLvl2Mapping[B1Level2_B1Level3],0),2)</f>
        <v>Corporate</v>
      </c>
      <c r="L138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38" s="7">
        <f>INDEX(tblAttributable[],MATCH(tblCalculation[[#This Row],[Level3]],tblAttributable[Level3],0),2)</f>
        <v>1</v>
      </c>
      <c r="N138" s="16">
        <f>tblBOneExport[[#This Row],[PTF_WEIGHT]]</f>
        <v>4.8862119000000004E-3</v>
      </c>
      <c r="O138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4.508304646018603E-2</v>
      </c>
      <c r="P138" s="48">
        <f>tblCalculation[[#This Row],[PtfDTS]]/SUM(tblCalculation[PtfDTS])</f>
        <v>5.4673239397486344E-3</v>
      </c>
      <c r="Q138" s="16">
        <f>tblBOneExport[[#This Row],[PTF_CONTRIBUTION]]</f>
        <v>9.5869400000000001E-5</v>
      </c>
      <c r="R138" s="16">
        <f>tblCalculation[[#This Row],[PtfContributionBase]]-tblCalculation[[#This Row],[PtfCurrencyReturn]]</f>
        <v>9.5869400000000001E-5</v>
      </c>
      <c r="S138" s="16">
        <f>IF(tblBOneExport[[#This Row],[LEVEL1]]="Bonds",tblBOneExport[[#This Row],[PTF_GOV_CARRY]],"")</f>
        <v>5.789E-6</v>
      </c>
      <c r="T138" s="16">
        <f>tblCalculation[[#This Row],[FIAttributable]]*tblBOneExport[[#This Row],[PTF_CREDIT_CARRY]]</f>
        <v>3.2729E-6</v>
      </c>
      <c r="U138" s="16">
        <f>tblCalculation[[#This Row],[FIAttributable]]*tblBOneExport[[#This Row],[PTF_TOTAL_CURVE]]</f>
        <v>9.1367500000000002E-5</v>
      </c>
      <c r="V138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-3.7911999999999998E-6</v>
      </c>
      <c r="W138" s="16">
        <f>IF(AND(tblCalculation[[#This Row],[Level3]]="Forward Contracts",tblBOneExport[[#This Row],[PTF_COST_OF_CARRY]]=0),tblBOneExport[[#This Row],[PTF_VALUATION]],0)</f>
        <v>0</v>
      </c>
      <c r="X138" s="16">
        <f>SUM(tblCalculation[[#This Row],[PtfTrading]:[PtfModelRes]])</f>
        <v>-7.6879999999999995E-7</v>
      </c>
      <c r="Y138" s="16">
        <f>tblCalculation[[#This Row],[FIAttributable]]*tblBOneExport[[#This Row],[PTF_TRADING]]</f>
        <v>0</v>
      </c>
      <c r="Z138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38" s="16">
        <f>tblCalculation[[#This Row],[FIAttributable]]*tblBOneExport[[#This Row],[PTF_MODEL_RESIDUAL]]-PTF_Credit_Adj*tblCalculation[[#This Row],[PtfDTSWeight]]</f>
        <v>-7.6879999999999995E-7</v>
      </c>
      <c r="AB138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38" s="16">
        <f>tblBOneExport[[#This Row],[BMK_WEIGHT]]</f>
        <v>0</v>
      </c>
      <c r="AD138" s="78">
        <f>tblCalculation[[#This Row],[FIAttributable]]*SUMIFS(tblDTS[DTSContribution_BM],tblDTS[ISIN],tblCalculation[[#This Row],[ISIN]])</f>
        <v>5.9502213545058635E-2</v>
      </c>
      <c r="AE138" s="16">
        <f>IF(SUM(tblCalculation[BMKDTS])=0,0,tblCalculation[[#This Row],[BMKDTS]]/SUM(tblCalculation[BMKDTS]))</f>
        <v>7.0718548038986202E-3</v>
      </c>
      <c r="AF138" s="16">
        <f>tblBOneExport[[#This Row],[BMK_CONTRIBUTION]]</f>
        <v>0</v>
      </c>
      <c r="AG138" s="16">
        <f>tblCalculation[[#This Row],[BMKContributionBase]]-tblBOneExport[BMK_SPOT_CCY_RETURN]-tblBOneExport[[#This Row],[BMK_CROSS_EFFECT]]</f>
        <v>0</v>
      </c>
      <c r="AH138" s="16">
        <f>tblCalculation[[#This Row],[FIAttributable]]*(tblBOneExport[[#This Row],[BMK_RETURN_GOV_CARRY]])</f>
        <v>0</v>
      </c>
      <c r="AI138" s="16">
        <f>tblCalculation[[#This Row],[FIAttributable]]*tblBOneExport[[#This Row],[BMK_CREDIT_CARRY]]</f>
        <v>0</v>
      </c>
      <c r="AJ138" s="16">
        <f>tblCalculation[[#This Row],[FIAttributable]]*tblBOneExport[[#This Row],[BMK_TOTAL_CURVE]]</f>
        <v>0</v>
      </c>
      <c r="AK138" s="16">
        <f>tblCalculation[[#This Row],[FIAttributable]]*(tblBOneExport[[#This Row],[BMK_TOTAL_SPREAD]]+BMK_Credit_Adj*tblCalculation[[#This Row],[BmkDTSWeight]])</f>
        <v>0</v>
      </c>
      <c r="AL138" s="16">
        <f>tblCalculation[[#This Row],[FIAttributable]]*tblBOneExport[[#This Row],[BMK_MODEL_RESIDUAL]]-BMK_Credit_Adj*tblCalculation[[#This Row],[BmkDTSWeight]]</f>
        <v>0</v>
      </c>
      <c r="AM138" s="16">
        <f>IF(tblCalculation[[#This Row],[Level3]]="Forward Contracts",tblCalculation[[#This Row],[BMKContributionLocal]],0)</f>
        <v>0</v>
      </c>
      <c r="AN138" s="16">
        <f>tblBOneExport[[#This Row],[BMK_SPOT_CCY_RETURN]]+tblBOneExport[[#This Row],[BMK_CROSS_EFFECT]]</f>
        <v>0</v>
      </c>
    </row>
    <row r="139" spans="5:40" x14ac:dyDescent="0.25">
      <c r="E139" s="7" t="str">
        <f>tblBOneExport[[#This Row],[INSTRUMENT_CODE]]</f>
        <v>S00956951</v>
      </c>
      <c r="F139" s="7" t="str">
        <f>tblBOneExport[[#This Row],[INSTRUMENT]]</f>
        <v>BG ENERGY CAP 5.125 01/12/25 EMTN</v>
      </c>
      <c r="G139" s="7" t="str">
        <f>IF(tblBOneExport[[#This Row],[ISIN]]&lt;&gt;"", tblBOneExport[[#This Row],[ISIN]],"")</f>
        <v>XS0564485273</v>
      </c>
      <c r="H139" s="7" t="str">
        <f>IF(tblCalculation[[#This Row],[B1Level2]]="CDS",tblBOneExport[[#This Row],[B1_TICKER]],IF(tblCalculation[[#This Row],[ISIN]]="","",INDEX(tblGetStaticData[Ticker],MATCH(tblCalculation[[#This Row],[ISIN]],tblGetStaticData[ISIN],0))))</f>
        <v>BGGRP</v>
      </c>
      <c r="I139" s="7" t="str">
        <f>IF(tblBOneExport[[#This Row],[INSTRUMENT_TYPE]]="Forward Contract","Forward Contract",tblBOneExport[LEVEL2])</f>
        <v>Corporates</v>
      </c>
      <c r="J139" s="7" t="str">
        <f>IF(tblBOneExport[[#This Row],[INSTRUMENT_TYPE]]="Forward Contract","Forward Contract",tblBOneExport[[#This Row],[LEVEL3]])</f>
        <v>Industrials</v>
      </c>
      <c r="K139" s="7" t="str">
        <f>INDEX(tblLvl2Mapping[],MATCH(tblCalculation[[#This Row],[B1Level2]]&amp;"_"&amp;tblCalculation[[#This Row],[B1Level3]],tblLvl2Mapping[B1Level2_B1Level3],0),2)</f>
        <v>Corporate</v>
      </c>
      <c r="L139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39" s="7">
        <f>INDEX(tblAttributable[],MATCH(tblCalculation[[#This Row],[Level3]],tblAttributable[Level3],0),2)</f>
        <v>1</v>
      </c>
      <c r="N139" s="16">
        <f>tblBOneExport[[#This Row],[PTF_WEIGHT]]</f>
        <v>1.9461719000000001E-3</v>
      </c>
      <c r="O139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9.7723925117703218E-3</v>
      </c>
      <c r="P139" s="48">
        <f>tblCalculation[[#This Row],[PtfDTS]]/SUM(tblCalculation[PtfDTS])</f>
        <v>1.1851203439724623E-3</v>
      </c>
      <c r="Q139" s="16">
        <f>tblBOneExport[[#This Row],[PTF_CONTRIBUTION]]</f>
        <v>2.52854E-5</v>
      </c>
      <c r="R139" s="16">
        <f>tblCalculation[[#This Row],[PtfContributionBase]]-tblCalculation[[#This Row],[PtfCurrencyReturn]]</f>
        <v>2.52854E-5</v>
      </c>
      <c r="S139" s="16">
        <f>IF(tblBOneExport[[#This Row],[LEVEL1]]="Bonds",tblBOneExport[[#This Row],[PTF_GOV_CARRY]],"")</f>
        <v>1.4839999999999999E-6</v>
      </c>
      <c r="T139" s="16">
        <f>tblCalculation[[#This Row],[FIAttributable]]*tblBOneExport[[#This Row],[PTF_CREDIT_CARRY]]</f>
        <v>1.4334999999999999E-6</v>
      </c>
      <c r="U139" s="16">
        <f>tblCalculation[[#This Row],[FIAttributable]]*tblBOneExport[[#This Row],[PTF_TOTAL_CURVE]]</f>
        <v>2.6546500000000001E-5</v>
      </c>
      <c r="V139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-5.1246E-6</v>
      </c>
      <c r="W139" s="16">
        <f>IF(AND(tblCalculation[[#This Row],[Level3]]="Forward Contracts",tblBOneExport[[#This Row],[PTF_COST_OF_CARRY]]=0),tblBOneExport[[#This Row],[PTF_VALUATION]],0)</f>
        <v>0</v>
      </c>
      <c r="X139" s="16">
        <f>SUM(tblCalculation[[#This Row],[PtfTrading]:[PtfModelRes]])</f>
        <v>9.4600000000000003E-7</v>
      </c>
      <c r="Y139" s="16">
        <f>tblCalculation[[#This Row],[FIAttributable]]*tblBOneExport[[#This Row],[PTF_TRADING]]</f>
        <v>0</v>
      </c>
      <c r="Z139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39" s="16">
        <f>tblCalculation[[#This Row],[FIAttributable]]*tblBOneExport[[#This Row],[PTF_MODEL_RESIDUAL]]-PTF_Credit_Adj*tblCalculation[[#This Row],[PtfDTSWeight]]</f>
        <v>9.4600000000000003E-7</v>
      </c>
      <c r="AB139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39" s="16">
        <f>tblBOneExport[[#This Row],[BMK_WEIGHT]]</f>
        <v>0</v>
      </c>
      <c r="AD139" s="78">
        <f>tblCalculation[[#This Row],[FIAttributable]]*SUMIFS(tblDTS[DTSContribution_BM],tblDTS[ISIN],tblCalculation[[#This Row],[ISIN]])</f>
        <v>1.2900110121800401E-2</v>
      </c>
      <c r="AE139" s="16">
        <f>IF(SUM(tblCalculation[BMKDTS])=0,0,tblCalculation[[#This Row],[BMKDTS]]/SUM(tblCalculation[BMKDTS]))</f>
        <v>1.5331817137625024E-3</v>
      </c>
      <c r="AF139" s="16">
        <f>tblBOneExport[[#This Row],[BMK_CONTRIBUTION]]</f>
        <v>0</v>
      </c>
      <c r="AG139" s="16">
        <f>tblCalculation[[#This Row],[BMKContributionBase]]-tblBOneExport[BMK_SPOT_CCY_RETURN]-tblBOneExport[[#This Row],[BMK_CROSS_EFFECT]]</f>
        <v>0</v>
      </c>
      <c r="AH139" s="16">
        <f>tblCalculation[[#This Row],[FIAttributable]]*(tblBOneExport[[#This Row],[BMK_RETURN_GOV_CARRY]])</f>
        <v>0</v>
      </c>
      <c r="AI139" s="16">
        <f>tblCalculation[[#This Row],[FIAttributable]]*tblBOneExport[[#This Row],[BMK_CREDIT_CARRY]]</f>
        <v>0</v>
      </c>
      <c r="AJ139" s="16">
        <f>tblCalculation[[#This Row],[FIAttributable]]*tblBOneExport[[#This Row],[BMK_TOTAL_CURVE]]</f>
        <v>0</v>
      </c>
      <c r="AK139" s="16">
        <f>tblCalculation[[#This Row],[FIAttributable]]*(tblBOneExport[[#This Row],[BMK_TOTAL_SPREAD]]+BMK_Credit_Adj*tblCalculation[[#This Row],[BmkDTSWeight]])</f>
        <v>0</v>
      </c>
      <c r="AL139" s="16">
        <f>tblCalculation[[#This Row],[FIAttributable]]*tblBOneExport[[#This Row],[BMK_MODEL_RESIDUAL]]-BMK_Credit_Adj*tblCalculation[[#This Row],[BmkDTSWeight]]</f>
        <v>0</v>
      </c>
      <c r="AM139" s="16">
        <f>IF(tblCalculation[[#This Row],[Level3]]="Forward Contracts",tblCalculation[[#This Row],[BMKContributionLocal]],0)</f>
        <v>0</v>
      </c>
      <c r="AN139" s="16">
        <f>tblBOneExport[[#This Row],[BMK_SPOT_CCY_RETURN]]+tblBOneExport[[#This Row],[BMK_CROSS_EFFECT]]</f>
        <v>0</v>
      </c>
    </row>
    <row r="140" spans="5:40" x14ac:dyDescent="0.25">
      <c r="E140" s="7" t="str">
        <f>tblBOneExport[[#This Row],[INSTRUMENT_CODE]]</f>
        <v>S00959458</v>
      </c>
      <c r="F140" s="7" t="str">
        <f>tblBOneExport[[#This Row],[INSTRUMENT]]</f>
        <v>WEST PWR DISTR 6 09/05/25 EMTN</v>
      </c>
      <c r="G140" s="7" t="str">
        <f>IF(tblBOneExport[[#This Row],[ISIN]]&lt;&gt;"", tblBOneExport[[#This Row],[ISIN]],"")</f>
        <v>XS0568142052</v>
      </c>
      <c r="H140" s="7" t="str">
        <f>IF(tblCalculation[[#This Row],[B1Level2]]="CDS",tblBOneExport[[#This Row],[B1_TICKER]],IF(tblCalculation[[#This Row],[ISIN]]="","",INDEX(tblGetStaticData[Ticker],MATCH(tblCalculation[[#This Row],[ISIN]],tblGetStaticData[ISIN],0))))</f>
        <v>PPL</v>
      </c>
      <c r="I140" s="7" t="str">
        <f>IF(tblBOneExport[[#This Row],[INSTRUMENT_TYPE]]="Forward Contract","Forward Contract",tblBOneExport[LEVEL2])</f>
        <v>Corporates</v>
      </c>
      <c r="J140" s="7" t="str">
        <f>IF(tblBOneExport[[#This Row],[INSTRUMENT_TYPE]]="Forward Contract","Forward Contract",tblBOneExport[[#This Row],[LEVEL3]])</f>
        <v>Utilities</v>
      </c>
      <c r="K140" s="7" t="str">
        <f>INDEX(tblLvl2Mapping[],MATCH(tblCalculation[[#This Row],[B1Level2]]&amp;"_"&amp;tblCalculation[[#This Row],[B1Level3]],tblLvl2Mapping[B1Level2_B1Level3],0),2)</f>
        <v>Corporate</v>
      </c>
      <c r="L140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40" s="7">
        <f>INDEX(tblAttributable[],MATCH(tblCalculation[[#This Row],[Level3]],tblAttributable[Level3],0),2)</f>
        <v>1</v>
      </c>
      <c r="N140" s="16">
        <f>tblBOneExport[[#This Row],[PTF_WEIGHT]]</f>
        <v>1.5267948E-3</v>
      </c>
      <c r="O140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7.8718310822703079E-3</v>
      </c>
      <c r="P140" s="48">
        <f>tblCalculation[[#This Row],[PtfDTS]]/SUM(tblCalculation[PtfDTS])</f>
        <v>9.546349216608878E-4</v>
      </c>
      <c r="Q140" s="16">
        <f>tblBOneExport[[#This Row],[PTF_CONTRIBUTION]]</f>
        <v>1.8428899999999999E-5</v>
      </c>
      <c r="R140" s="16">
        <f>tblCalculation[[#This Row],[PtfContributionBase]]-tblCalculation[[#This Row],[PtfCurrencyReturn]]</f>
        <v>1.8428899999999999E-5</v>
      </c>
      <c r="S140" s="16">
        <f>IF(tblBOneExport[[#This Row],[LEVEL1]]="Bonds",tblBOneExport[[#This Row],[PTF_GOV_CARRY]],"")</f>
        <v>1.071E-6</v>
      </c>
      <c r="T140" s="16">
        <f>tblCalculation[[#This Row],[FIAttributable]]*tblBOneExport[[#This Row],[PTF_CREDIT_CARRY]]</f>
        <v>1.2546E-6</v>
      </c>
      <c r="U140" s="16">
        <f>tblCalculation[[#This Row],[FIAttributable]]*tblBOneExport[[#This Row],[PTF_TOTAL_CURVE]]</f>
        <v>1.90105E-5</v>
      </c>
      <c r="V140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-3.4435999999999999E-6</v>
      </c>
      <c r="W140" s="16">
        <f>IF(AND(tblCalculation[[#This Row],[Level3]]="Forward Contracts",tblBOneExport[[#This Row],[PTF_COST_OF_CARRY]]=0),tblBOneExport[[#This Row],[PTF_VALUATION]],0)</f>
        <v>0</v>
      </c>
      <c r="X140" s="16">
        <f>SUM(tblCalculation[[#This Row],[PtfTrading]:[PtfModelRes]])</f>
        <v>5.3629999999999995E-7</v>
      </c>
      <c r="Y140" s="16">
        <f>tblCalculation[[#This Row],[FIAttributable]]*tblBOneExport[[#This Row],[PTF_TRADING]]</f>
        <v>0</v>
      </c>
      <c r="Z140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40" s="16">
        <f>tblCalculation[[#This Row],[FIAttributable]]*tblBOneExport[[#This Row],[PTF_MODEL_RESIDUAL]]-PTF_Credit_Adj*tblCalculation[[#This Row],[PtfDTSWeight]]</f>
        <v>5.3629999999999995E-7</v>
      </c>
      <c r="AB140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40" s="16">
        <f>tblBOneExport[[#This Row],[BMK_WEIGHT]]</f>
        <v>0</v>
      </c>
      <c r="AD140" s="78">
        <f>tblCalculation[[#This Row],[FIAttributable]]*SUMIFS(tblDTS[DTSContribution_BM],tblDTS[ISIN],tblCalculation[[#This Row],[ISIN]])</f>
        <v>1.0391497256921131E-2</v>
      </c>
      <c r="AE140" s="16">
        <f>IF(SUM(tblCalculation[BMKDTS])=0,0,tblCalculation[[#This Row],[BMKDTS]]/SUM(tblCalculation[BMKDTS]))</f>
        <v>1.2350323696850062E-3</v>
      </c>
      <c r="AF140" s="16">
        <f>tblBOneExport[[#This Row],[BMK_CONTRIBUTION]]</f>
        <v>0</v>
      </c>
      <c r="AG140" s="16">
        <f>tblCalculation[[#This Row],[BMKContributionBase]]-tblBOneExport[BMK_SPOT_CCY_RETURN]-tblBOneExport[[#This Row],[BMK_CROSS_EFFECT]]</f>
        <v>0</v>
      </c>
      <c r="AH140" s="16">
        <f>tblCalculation[[#This Row],[FIAttributable]]*(tblBOneExport[[#This Row],[BMK_RETURN_GOV_CARRY]])</f>
        <v>0</v>
      </c>
      <c r="AI140" s="16">
        <f>tblCalculation[[#This Row],[FIAttributable]]*tblBOneExport[[#This Row],[BMK_CREDIT_CARRY]]</f>
        <v>0</v>
      </c>
      <c r="AJ140" s="16">
        <f>tblCalculation[[#This Row],[FIAttributable]]*tblBOneExport[[#This Row],[BMK_TOTAL_CURVE]]</f>
        <v>0</v>
      </c>
      <c r="AK140" s="16">
        <f>tblCalculation[[#This Row],[FIAttributable]]*(tblBOneExport[[#This Row],[BMK_TOTAL_SPREAD]]+BMK_Credit_Adj*tblCalculation[[#This Row],[BmkDTSWeight]])</f>
        <v>0</v>
      </c>
      <c r="AL140" s="16">
        <f>tblCalculation[[#This Row],[FIAttributable]]*tblBOneExport[[#This Row],[BMK_MODEL_RESIDUAL]]-BMK_Credit_Adj*tblCalculation[[#This Row],[BmkDTSWeight]]</f>
        <v>0</v>
      </c>
      <c r="AM140" s="16">
        <f>IF(tblCalculation[[#This Row],[Level3]]="Forward Contracts",tblCalculation[[#This Row],[BMKContributionLocal]],0)</f>
        <v>0</v>
      </c>
      <c r="AN140" s="16">
        <f>tblBOneExport[[#This Row],[BMK_SPOT_CCY_RETURN]]+tblBOneExport[[#This Row],[BMK_CROSS_EFFECT]]</f>
        <v>0</v>
      </c>
    </row>
    <row r="141" spans="5:40" x14ac:dyDescent="0.25">
      <c r="E141" s="7" t="str">
        <f>tblBOneExport[[#This Row],[INSTRUMENT_CODE]]</f>
        <v>S00959538</v>
      </c>
      <c r="F141" s="7" t="str">
        <f>tblBOneExport[[#This Row],[INSTRUMENT]]</f>
        <v>CENTRAL NETWORKS 6.25 10/12/40 EMTN</v>
      </c>
      <c r="G141" s="7" t="str">
        <f>IF(tblBOneExport[[#This Row],[ISIN]]&lt;&gt;"", tblBOneExport[[#This Row],[ISIN]],"")</f>
        <v>XS0568142482</v>
      </c>
      <c r="H141" s="7" t="str">
        <f>IF(tblCalculation[[#This Row],[B1Level2]]="CDS",tblBOneExport[[#This Row],[B1_TICKER]],IF(tblCalculation[[#This Row],[ISIN]]="","",INDEX(tblGetStaticData[Ticker],MATCH(tblCalculation[[#This Row],[ISIN]],tblGetStaticData[ISIN],0))))</f>
        <v>PPL</v>
      </c>
      <c r="I141" s="7" t="str">
        <f>IF(tblBOneExport[[#This Row],[INSTRUMENT_TYPE]]="Forward Contract","Forward Contract",tblBOneExport[LEVEL2])</f>
        <v>Corporates</v>
      </c>
      <c r="J141" s="7" t="str">
        <f>IF(tblBOneExport[[#This Row],[INSTRUMENT_TYPE]]="Forward Contract","Forward Contract",tblBOneExport[[#This Row],[LEVEL3]])</f>
        <v>Utilities</v>
      </c>
      <c r="K141" s="7" t="str">
        <f>INDEX(tblLvl2Mapping[],MATCH(tblCalculation[[#This Row],[B1Level2]]&amp;"_"&amp;tblCalculation[[#This Row],[B1Level3]],tblLvl2Mapping[B1Level2_B1Level3],0),2)</f>
        <v>Corporate</v>
      </c>
      <c r="L141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41" s="7">
        <f>INDEX(tblAttributable[],MATCH(tblCalculation[[#This Row],[Level3]],tblAttributable[Level3],0),2)</f>
        <v>1</v>
      </c>
      <c r="N141" s="16">
        <f>tblBOneExport[[#This Row],[PTF_WEIGHT]]</f>
        <v>4.7376223999999996E-3</v>
      </c>
      <c r="O141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9.2031688378778093E-2</v>
      </c>
      <c r="P141" s="48">
        <f>tblCalculation[[#This Row],[PtfDTS]]/SUM(tblCalculation[PtfDTS])</f>
        <v>1.1160892898689512E-2</v>
      </c>
      <c r="Q141" s="16">
        <f>tblBOneExport[[#This Row],[PTF_CONTRIBUTION]]</f>
        <v>1.087033E-4</v>
      </c>
      <c r="R141" s="16">
        <f>tblCalculation[[#This Row],[PtfContributionBase]]-tblCalculation[[#This Row],[PtfCurrencyReturn]]</f>
        <v>1.087033E-4</v>
      </c>
      <c r="S141" s="16">
        <f>IF(tblBOneExport[[#This Row],[LEVEL1]]="Bonds",tblBOneExport[[#This Row],[PTF_GOV_CARRY]],"")</f>
        <v>6.849E-6</v>
      </c>
      <c r="T141" s="16">
        <f>tblCalculation[[#This Row],[FIAttributable]]*tblBOneExport[[#This Row],[PTF_CREDIT_CARRY]]</f>
        <v>4.3018E-6</v>
      </c>
      <c r="U141" s="16">
        <f>tblCalculation[[#This Row],[FIAttributable]]*tblBOneExport[[#This Row],[PTF_TOTAL_CURVE]]</f>
        <v>9.1384400000000005E-5</v>
      </c>
      <c r="V141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2.0686E-6</v>
      </c>
      <c r="W141" s="16">
        <f>IF(AND(tblCalculation[[#This Row],[Level3]]="Forward Contracts",tblBOneExport[[#This Row],[PTF_COST_OF_CARRY]]=0),tblBOneExport[[#This Row],[PTF_VALUATION]],0)</f>
        <v>0</v>
      </c>
      <c r="X141" s="16">
        <f>SUM(tblCalculation[[#This Row],[PtfTrading]:[PtfModelRes]])</f>
        <v>4.0995000000000003E-6</v>
      </c>
      <c r="Y141" s="16">
        <f>tblCalculation[[#This Row],[FIAttributable]]*tblBOneExport[[#This Row],[PTF_TRADING]]</f>
        <v>0</v>
      </c>
      <c r="Z141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41" s="16">
        <f>tblCalculation[[#This Row],[FIAttributable]]*tblBOneExport[[#This Row],[PTF_MODEL_RESIDUAL]]-PTF_Credit_Adj*tblCalculation[[#This Row],[PtfDTSWeight]]</f>
        <v>4.0995000000000003E-6</v>
      </c>
      <c r="AB141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41" s="16">
        <f>tblBOneExport[[#This Row],[BMK_WEIGHT]]</f>
        <v>0</v>
      </c>
      <c r="AD141" s="78">
        <f>tblCalculation[[#This Row],[FIAttributable]]*SUMIFS(tblDTS[DTSContribution_BM],tblDTS[ISIN],tblCalculation[[#This Row],[ISIN]])</f>
        <v>0.12147198782983132</v>
      </c>
      <c r="AE141" s="16">
        <f>IF(SUM(tblCalculation[BMKDTS])=0,0,tblCalculation[[#This Row],[BMKDTS]]/SUM(tblCalculation[BMKDTS]))</f>
        <v>1.4436979895260481E-2</v>
      </c>
      <c r="AF141" s="16">
        <f>tblBOneExport[[#This Row],[BMK_CONTRIBUTION]]</f>
        <v>0</v>
      </c>
      <c r="AG141" s="16">
        <f>tblCalculation[[#This Row],[BMKContributionBase]]-tblBOneExport[BMK_SPOT_CCY_RETURN]-tblBOneExport[[#This Row],[BMK_CROSS_EFFECT]]</f>
        <v>0</v>
      </c>
      <c r="AH141" s="16">
        <f>tblCalculation[[#This Row],[FIAttributable]]*(tblBOneExport[[#This Row],[BMK_RETURN_GOV_CARRY]])</f>
        <v>0</v>
      </c>
      <c r="AI141" s="16">
        <f>tblCalculation[[#This Row],[FIAttributable]]*tblBOneExport[[#This Row],[BMK_CREDIT_CARRY]]</f>
        <v>0</v>
      </c>
      <c r="AJ141" s="16">
        <f>tblCalculation[[#This Row],[FIAttributable]]*tblBOneExport[[#This Row],[BMK_TOTAL_CURVE]]</f>
        <v>0</v>
      </c>
      <c r="AK141" s="16">
        <f>tblCalculation[[#This Row],[FIAttributable]]*(tblBOneExport[[#This Row],[BMK_TOTAL_SPREAD]]+BMK_Credit_Adj*tblCalculation[[#This Row],[BmkDTSWeight]])</f>
        <v>0</v>
      </c>
      <c r="AL141" s="16">
        <f>tblCalculation[[#This Row],[FIAttributable]]*tblBOneExport[[#This Row],[BMK_MODEL_RESIDUAL]]-BMK_Credit_Adj*tblCalculation[[#This Row],[BmkDTSWeight]]</f>
        <v>0</v>
      </c>
      <c r="AM141" s="16">
        <f>IF(tblCalculation[[#This Row],[Level3]]="Forward Contracts",tblCalculation[[#This Row],[BMKContributionLocal]],0)</f>
        <v>0</v>
      </c>
      <c r="AN141" s="16">
        <f>tblBOneExport[[#This Row],[BMK_SPOT_CCY_RETURN]]+tblBOneExport[[#This Row],[BMK_CROSS_EFFECT]]</f>
        <v>0</v>
      </c>
    </row>
    <row r="142" spans="5:40" x14ac:dyDescent="0.25">
      <c r="E142" s="7" t="str">
        <f>tblBOneExport[[#This Row],[INSTRUMENT_CODE]]</f>
        <v>S00967314</v>
      </c>
      <c r="F142" s="7" t="str">
        <f>tblBOneExport[[#This Row],[INSTRUMENT]]</f>
        <v>TOTAL CAPITAL 3.875 14/12/18 EMTN</v>
      </c>
      <c r="G142" s="7" t="str">
        <f>IF(tblBOneExport[[#This Row],[ISIN]]&lt;&gt;"", tblBOneExport[[#This Row],[ISIN]],"")</f>
        <v>XS0578264870</v>
      </c>
      <c r="H142" s="7" t="str">
        <f>IF(tblCalculation[[#This Row],[B1Level2]]="CDS",tblBOneExport[[#This Row],[B1_TICKER]],IF(tblCalculation[[#This Row],[ISIN]]="","",INDEX(tblGetStaticData[Ticker],MATCH(tblCalculation[[#This Row],[ISIN]],tblGetStaticData[ISIN],0))))</f>
        <v>TOTAL</v>
      </c>
      <c r="I142" s="7" t="str">
        <f>IF(tblBOneExport[[#This Row],[INSTRUMENT_TYPE]]="Forward Contract","Forward Contract",tblBOneExport[LEVEL2])</f>
        <v>Corporates</v>
      </c>
      <c r="J142" s="7" t="str">
        <f>IF(tblBOneExport[[#This Row],[INSTRUMENT_TYPE]]="Forward Contract","Forward Contract",tblBOneExport[[#This Row],[LEVEL3]])</f>
        <v>Industrials</v>
      </c>
      <c r="K142" s="7" t="str">
        <f>INDEX(tblLvl2Mapping[],MATCH(tblCalculation[[#This Row],[B1Level2]]&amp;"_"&amp;tblCalculation[[#This Row],[B1Level3]],tblLvl2Mapping[B1Level2_B1Level3],0),2)</f>
        <v>Corporate</v>
      </c>
      <c r="L142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42" s="7">
        <f>INDEX(tblAttributable[],MATCH(tblCalculation[[#This Row],[Level3]],tblAttributable[Level3],0),2)</f>
        <v>1</v>
      </c>
      <c r="N142" s="16">
        <f>tblBOneExport[[#This Row],[PTF_WEIGHT]]</f>
        <v>1.4812915E-3</v>
      </c>
      <c r="O142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6.3628771892545012E-4</v>
      </c>
      <c r="P142" s="48">
        <f>tblCalculation[[#This Row],[PtfDTS]]/SUM(tblCalculation[PtfDTS])</f>
        <v>7.7164063908621866E-5</v>
      </c>
      <c r="Q142" s="16">
        <f>tblBOneExport[[#This Row],[PTF_CONTRIBUTION]]</f>
        <v>3.7635999999999998E-6</v>
      </c>
      <c r="R142" s="16">
        <f>tblCalculation[[#This Row],[PtfContributionBase]]-tblCalculation[[#This Row],[PtfCurrencyReturn]]</f>
        <v>3.7635999999999998E-6</v>
      </c>
      <c r="S142" s="16">
        <f>IF(tblBOneExport[[#This Row],[LEVEL1]]="Bonds",tblBOneExport[[#This Row],[PTF_GOV_CARRY]],"")</f>
        <v>2.6950000000000002E-7</v>
      </c>
      <c r="T142" s="16">
        <f>tblCalculation[[#This Row],[FIAttributable]]*tblBOneExport[[#This Row],[PTF_CREDIT_CARRY]]</f>
        <v>6.5970000000000001E-7</v>
      </c>
      <c r="U142" s="16">
        <f>tblCalculation[[#This Row],[FIAttributable]]*tblBOneExport[[#This Row],[PTF_TOTAL_CURVE]]</f>
        <v>2.5295000000000001E-6</v>
      </c>
      <c r="V142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5.454E-7</v>
      </c>
      <c r="W142" s="16">
        <f>IF(AND(tblCalculation[[#This Row],[Level3]]="Forward Contracts",tblBOneExport[[#This Row],[PTF_COST_OF_CARRY]]=0),tblBOneExport[[#This Row],[PTF_VALUATION]],0)</f>
        <v>0</v>
      </c>
      <c r="X142" s="16">
        <f>SUM(tblCalculation[[#This Row],[PtfTrading]:[PtfModelRes]])</f>
        <v>-2.4040000000000001E-7</v>
      </c>
      <c r="Y142" s="16">
        <f>tblCalculation[[#This Row],[FIAttributable]]*tblBOneExport[[#This Row],[PTF_TRADING]]</f>
        <v>0</v>
      </c>
      <c r="Z142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42" s="16">
        <f>tblCalculation[[#This Row],[FIAttributable]]*tblBOneExport[[#This Row],[PTF_MODEL_RESIDUAL]]-PTF_Credit_Adj*tblCalculation[[#This Row],[PtfDTSWeight]]</f>
        <v>-2.4040000000000001E-7</v>
      </c>
      <c r="AB142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42" s="16">
        <f>tblBOneExport[[#This Row],[BMK_WEIGHT]]</f>
        <v>0</v>
      </c>
      <c r="AD142" s="78">
        <f>tblCalculation[[#This Row],[FIAttributable]]*SUMIFS(tblDTS[DTSContribution_BM],tblDTS[ISIN],tblCalculation[[#This Row],[ISIN]])</f>
        <v>8.3965064154082247E-4</v>
      </c>
      <c r="AE142" s="16">
        <f>IF(SUM(tblCalculation[BMKDTS])=0,0,tblCalculation[[#This Row],[BMKDTS]]/SUM(tblCalculation[BMKDTS]))</f>
        <v>9.9792714744645599E-5</v>
      </c>
      <c r="AF142" s="16">
        <f>tblBOneExport[[#This Row],[BMK_CONTRIBUTION]]</f>
        <v>0</v>
      </c>
      <c r="AG142" s="16">
        <f>tblCalculation[[#This Row],[BMKContributionBase]]-tblBOneExport[BMK_SPOT_CCY_RETURN]-tblBOneExport[[#This Row],[BMK_CROSS_EFFECT]]</f>
        <v>0</v>
      </c>
      <c r="AH142" s="16">
        <f>tblCalculation[[#This Row],[FIAttributable]]*(tblBOneExport[[#This Row],[BMK_RETURN_GOV_CARRY]])</f>
        <v>0</v>
      </c>
      <c r="AI142" s="16">
        <f>tblCalculation[[#This Row],[FIAttributable]]*tblBOneExport[[#This Row],[BMK_CREDIT_CARRY]]</f>
        <v>0</v>
      </c>
      <c r="AJ142" s="16">
        <f>tblCalculation[[#This Row],[FIAttributable]]*tblBOneExport[[#This Row],[BMK_TOTAL_CURVE]]</f>
        <v>0</v>
      </c>
      <c r="AK142" s="16">
        <f>tblCalculation[[#This Row],[FIAttributable]]*(tblBOneExport[[#This Row],[BMK_TOTAL_SPREAD]]+BMK_Credit_Adj*tblCalculation[[#This Row],[BmkDTSWeight]])</f>
        <v>0</v>
      </c>
      <c r="AL142" s="16">
        <f>tblCalculation[[#This Row],[FIAttributable]]*tblBOneExport[[#This Row],[BMK_MODEL_RESIDUAL]]-BMK_Credit_Adj*tblCalculation[[#This Row],[BmkDTSWeight]]</f>
        <v>0</v>
      </c>
      <c r="AM142" s="16">
        <f>IF(tblCalculation[[#This Row],[Level3]]="Forward Contracts",tblCalculation[[#This Row],[BMKContributionLocal]],0)</f>
        <v>0</v>
      </c>
      <c r="AN142" s="16">
        <f>tblBOneExport[[#This Row],[BMK_SPOT_CCY_RETURN]]+tblBOneExport[[#This Row],[BMK_CROSS_EFFECT]]</f>
        <v>0</v>
      </c>
    </row>
    <row r="143" spans="5:40" x14ac:dyDescent="0.25">
      <c r="E143" s="7" t="str">
        <f>tblBOneExport[[#This Row],[INSTRUMENT_CODE]]</f>
        <v>S00971925</v>
      </c>
      <c r="F143" s="7" t="str">
        <f>tblBOneExport[[#This Row],[INSTRUMENT]]</f>
        <v>EXPERIAN FINANCE 4.75 23/11/18 EMTN</v>
      </c>
      <c r="G143" s="7" t="str">
        <f>IF(tblBOneExport[[#This Row],[ISIN]]&lt;&gt;"", tblBOneExport[[#This Row],[ISIN]],"")</f>
        <v>XS0585243289</v>
      </c>
      <c r="H143" s="7" t="str">
        <f>IF(tblCalculation[[#This Row],[B1Level2]]="CDS",tblBOneExport[[#This Row],[B1_TICKER]],IF(tblCalculation[[#This Row],[ISIN]]="","",INDEX(tblGetStaticData[Ticker],MATCH(tblCalculation[[#This Row],[ISIN]],tblGetStaticData[ISIN],0))))</f>
        <v>EXPNLN</v>
      </c>
      <c r="I143" s="7" t="str">
        <f>IF(tblBOneExport[[#This Row],[INSTRUMENT_TYPE]]="Forward Contract","Forward Contract",tblBOneExport[LEVEL2])</f>
        <v>Corporates</v>
      </c>
      <c r="J143" s="7" t="str">
        <f>IF(tblBOneExport[[#This Row],[INSTRUMENT_TYPE]]="Forward Contract","Forward Contract",tblBOneExport[[#This Row],[LEVEL3]])</f>
        <v>Industrials</v>
      </c>
      <c r="K143" s="7" t="str">
        <f>INDEX(tblLvl2Mapping[],MATCH(tblCalculation[[#This Row],[B1Level2]]&amp;"_"&amp;tblCalculation[[#This Row],[B1Level3]],tblLvl2Mapping[B1Level2_B1Level3],0),2)</f>
        <v>Corporate</v>
      </c>
      <c r="L143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43" s="7">
        <f>INDEX(tblAttributable[],MATCH(tblCalculation[[#This Row],[Level3]],tblAttributable[Level3],0),2)</f>
        <v>1</v>
      </c>
      <c r="N143" s="16">
        <f>tblBOneExport[[#This Row],[PTF_WEIGHT]]</f>
        <v>3.3803593E-3</v>
      </c>
      <c r="O143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2.2806418247029352E-3</v>
      </c>
      <c r="P143" s="48">
        <f>tblCalculation[[#This Row],[PtfDTS]]/SUM(tblCalculation[PtfDTS])</f>
        <v>2.7657863931626847E-4</v>
      </c>
      <c r="Q143" s="16">
        <f>tblBOneExport[[#This Row],[PTF_CONTRIBUTION]]</f>
        <v>7.7556000000000008E-6</v>
      </c>
      <c r="R143" s="16">
        <f>tblCalculation[[#This Row],[PtfContributionBase]]-tblCalculation[[#This Row],[PtfCurrencyReturn]]</f>
        <v>7.7556000000000008E-6</v>
      </c>
      <c r="S143" s="16">
        <f>IF(tblBOneExport[[#This Row],[LEVEL1]]="Bonds",tblBOneExport[[#This Row],[PTF_GOV_CARRY]],"")</f>
        <v>6.1429999999999999E-7</v>
      </c>
      <c r="T143" s="16">
        <f>tblCalculation[[#This Row],[FIAttributable]]*tblBOneExport[[#This Row],[PTF_CREDIT_CARRY]]</f>
        <v>2.0955000000000001E-6</v>
      </c>
      <c r="U143" s="16">
        <f>tblCalculation[[#This Row],[FIAttributable]]*tblBOneExport[[#This Row],[PTF_TOTAL_CURVE]]</f>
        <v>5.6065999999999998E-6</v>
      </c>
      <c r="V143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-2.1759999999999999E-7</v>
      </c>
      <c r="W143" s="16">
        <f>IF(AND(tblCalculation[[#This Row],[Level3]]="Forward Contracts",tblBOneExport[[#This Row],[PTF_COST_OF_CARRY]]=0),tblBOneExport[[#This Row],[PTF_VALUATION]],0)</f>
        <v>0</v>
      </c>
      <c r="X143" s="16">
        <f>SUM(tblCalculation[[#This Row],[PtfTrading]:[PtfModelRes]])</f>
        <v>-3.431E-7</v>
      </c>
      <c r="Y143" s="16">
        <f>tblCalculation[[#This Row],[FIAttributable]]*tblBOneExport[[#This Row],[PTF_TRADING]]</f>
        <v>0</v>
      </c>
      <c r="Z143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43" s="16">
        <f>tblCalculation[[#This Row],[FIAttributable]]*tblBOneExport[[#This Row],[PTF_MODEL_RESIDUAL]]-PTF_Credit_Adj*tblCalculation[[#This Row],[PtfDTSWeight]]</f>
        <v>-3.431E-7</v>
      </c>
      <c r="AB143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43" s="16">
        <f>tblBOneExport[[#This Row],[BMK_WEIGHT]]</f>
        <v>0</v>
      </c>
      <c r="AD143" s="78">
        <f>tblCalculation[[#This Row],[FIAttributable]]*SUMIFS(tblDTS[DTSContribution_BM],tblDTS[ISIN],tblCalculation[[#This Row],[ISIN]])</f>
        <v>3.009966124401014E-3</v>
      </c>
      <c r="AE143" s="16">
        <f>IF(SUM(tblCalculation[BMKDTS])=0,0,tblCalculation[[#This Row],[BMKDTS]]/SUM(tblCalculation[BMKDTS]))</f>
        <v>3.5773531988517296E-4</v>
      </c>
      <c r="AF143" s="16">
        <f>tblBOneExport[[#This Row],[BMK_CONTRIBUTION]]</f>
        <v>0</v>
      </c>
      <c r="AG143" s="16">
        <f>tblCalculation[[#This Row],[BMKContributionBase]]-tblBOneExport[BMK_SPOT_CCY_RETURN]-tblBOneExport[[#This Row],[BMK_CROSS_EFFECT]]</f>
        <v>0</v>
      </c>
      <c r="AH143" s="16">
        <f>tblCalculation[[#This Row],[FIAttributable]]*(tblBOneExport[[#This Row],[BMK_RETURN_GOV_CARRY]])</f>
        <v>0</v>
      </c>
      <c r="AI143" s="16">
        <f>tblCalculation[[#This Row],[FIAttributable]]*tblBOneExport[[#This Row],[BMK_CREDIT_CARRY]]</f>
        <v>0</v>
      </c>
      <c r="AJ143" s="16">
        <f>tblCalculation[[#This Row],[FIAttributable]]*tblBOneExport[[#This Row],[BMK_TOTAL_CURVE]]</f>
        <v>0</v>
      </c>
      <c r="AK143" s="16">
        <f>tblCalculation[[#This Row],[FIAttributable]]*(tblBOneExport[[#This Row],[BMK_TOTAL_SPREAD]]+BMK_Credit_Adj*tblCalculation[[#This Row],[BmkDTSWeight]])</f>
        <v>0</v>
      </c>
      <c r="AL143" s="16">
        <f>tblCalculation[[#This Row],[FIAttributable]]*tblBOneExport[[#This Row],[BMK_MODEL_RESIDUAL]]-BMK_Credit_Adj*tblCalculation[[#This Row],[BmkDTSWeight]]</f>
        <v>0</v>
      </c>
      <c r="AM143" s="16">
        <f>IF(tblCalculation[[#This Row],[Level3]]="Forward Contracts",tblCalculation[[#This Row],[BMKContributionLocal]],0)</f>
        <v>0</v>
      </c>
      <c r="AN143" s="16">
        <f>tblBOneExport[[#This Row],[BMK_SPOT_CCY_RETURN]]+tblBOneExport[[#This Row],[BMK_CROSS_EFFECT]]</f>
        <v>0</v>
      </c>
    </row>
    <row r="144" spans="5:40" x14ac:dyDescent="0.25">
      <c r="E144" s="7" t="str">
        <f>tblBOneExport[[#This Row],[INSTRUMENT_CODE]]</f>
        <v>S00976233</v>
      </c>
      <c r="F144" s="7" t="str">
        <f>tblBOneExport[[#This Row],[INSTRUMENT]]</f>
        <v>THAMES WATER UTC 5.5 11/02/41 EMTN</v>
      </c>
      <c r="G144" s="7" t="str">
        <f>IF(tblBOneExport[[#This Row],[ISIN]]&lt;&gt;"", tblBOneExport[[#This Row],[ISIN]],"")</f>
        <v>XS0590171103</v>
      </c>
      <c r="H144" s="7" t="str">
        <f>IF(tblCalculation[[#This Row],[B1Level2]]="CDS",tblBOneExport[[#This Row],[B1_TICKER]],IF(tblCalculation[[#This Row],[ISIN]]="","",INDEX(tblGetStaticData[Ticker],MATCH(tblCalculation[[#This Row],[ISIN]],tblGetStaticData[ISIN],0))))</f>
        <v>THAMES</v>
      </c>
      <c r="I144" s="7" t="str">
        <f>IF(tblBOneExport[[#This Row],[INSTRUMENT_TYPE]]="Forward Contract","Forward Contract",tblBOneExport[LEVEL2])</f>
        <v>Corporates</v>
      </c>
      <c r="J144" s="7" t="str">
        <f>IF(tblBOneExport[[#This Row],[INSTRUMENT_TYPE]]="Forward Contract","Forward Contract",tblBOneExport[[#This Row],[LEVEL3]])</f>
        <v>Utilities</v>
      </c>
      <c r="K144" s="7" t="str">
        <f>INDEX(tblLvl2Mapping[],MATCH(tblCalculation[[#This Row],[B1Level2]]&amp;"_"&amp;tblCalculation[[#This Row],[B1Level3]],tblLvl2Mapping[B1Level2_B1Level3],0),2)</f>
        <v>Corporate</v>
      </c>
      <c r="L144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44" s="7">
        <f>INDEX(tblAttributable[],MATCH(tblCalculation[[#This Row],[Level3]],tblAttributable[Level3],0),2)</f>
        <v>1</v>
      </c>
      <c r="N144" s="16">
        <f>tblBOneExport[[#This Row],[PTF_WEIGHT]]</f>
        <v>2.5602937000000002E-3</v>
      </c>
      <c r="O144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5.4462984706352538E-2</v>
      </c>
      <c r="P144" s="48">
        <f>tblCalculation[[#This Row],[PtfDTS]]/SUM(tblCalculation[PtfDTS])</f>
        <v>6.6048504592113198E-3</v>
      </c>
      <c r="Q144" s="16">
        <f>tblBOneExport[[#This Row],[PTF_CONTRIBUTION]]</f>
        <v>3.6249199999999998E-5</v>
      </c>
      <c r="R144" s="16">
        <f>tblCalculation[[#This Row],[PtfContributionBase]]-tblCalculation[[#This Row],[PtfCurrencyReturn]]</f>
        <v>3.6249199999999998E-5</v>
      </c>
      <c r="S144" s="16">
        <f>IF(tblBOneExport[[#This Row],[LEVEL1]]="Bonds",tblBOneExport[[#This Row],[PTF_GOV_CARRY]],"")</f>
        <v>3.7050000000000001E-6</v>
      </c>
      <c r="T144" s="16">
        <f>tblCalculation[[#This Row],[FIAttributable]]*tblBOneExport[[#This Row],[PTF_CREDIT_CARRY]]</f>
        <v>2.5245000000000001E-6</v>
      </c>
      <c r="U144" s="16">
        <f>tblCalculation[[#This Row],[FIAttributable]]*tblBOneExport[[#This Row],[PTF_TOTAL_CURVE]]</f>
        <v>5.2446800000000001E-5</v>
      </c>
      <c r="V144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-2.4535199999999998E-5</v>
      </c>
      <c r="W144" s="16">
        <f>IF(AND(tblCalculation[[#This Row],[Level3]]="Forward Contracts",tblBOneExport[[#This Row],[PTF_COST_OF_CARRY]]=0),tblBOneExport[[#This Row],[PTF_VALUATION]],0)</f>
        <v>0</v>
      </c>
      <c r="X144" s="16">
        <f>SUM(tblCalculation[[#This Row],[PtfTrading]:[PtfModelRes]])</f>
        <v>2.108E-6</v>
      </c>
      <c r="Y144" s="16">
        <f>tblCalculation[[#This Row],[FIAttributable]]*tblBOneExport[[#This Row],[PTF_TRADING]]</f>
        <v>0</v>
      </c>
      <c r="Z144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44" s="16">
        <f>tblCalculation[[#This Row],[FIAttributable]]*tblBOneExport[[#This Row],[PTF_MODEL_RESIDUAL]]-PTF_Credit_Adj*tblCalculation[[#This Row],[PtfDTSWeight]]</f>
        <v>2.108E-6</v>
      </c>
      <c r="AB144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44" s="16">
        <f>tblBOneExport[[#This Row],[BMK_WEIGHT]]</f>
        <v>0</v>
      </c>
      <c r="AD144" s="78">
        <f>tblCalculation[[#This Row],[FIAttributable]]*SUMIFS(tblDTS[DTSContribution_BM],tblDTS[ISIN],tblCalculation[[#This Row],[ISIN]])</f>
        <v>7.1883151180794719E-2</v>
      </c>
      <c r="AE144" s="16">
        <f>IF(SUM(tblCalculation[BMKDTS])=0,0,tblCalculation[[#This Row],[BMKDTS]]/SUM(tblCalculation[BMKDTS]))</f>
        <v>8.5433327217704774E-3</v>
      </c>
      <c r="AF144" s="16">
        <f>tblBOneExport[[#This Row],[BMK_CONTRIBUTION]]</f>
        <v>0</v>
      </c>
      <c r="AG144" s="16">
        <f>tblCalculation[[#This Row],[BMKContributionBase]]-tblBOneExport[BMK_SPOT_CCY_RETURN]-tblBOneExport[[#This Row],[BMK_CROSS_EFFECT]]</f>
        <v>0</v>
      </c>
      <c r="AH144" s="16">
        <f>tblCalculation[[#This Row],[FIAttributable]]*(tblBOneExport[[#This Row],[BMK_RETURN_GOV_CARRY]])</f>
        <v>0</v>
      </c>
      <c r="AI144" s="16">
        <f>tblCalculation[[#This Row],[FIAttributable]]*tblBOneExport[[#This Row],[BMK_CREDIT_CARRY]]</f>
        <v>0</v>
      </c>
      <c r="AJ144" s="16">
        <f>tblCalculation[[#This Row],[FIAttributable]]*tblBOneExport[[#This Row],[BMK_TOTAL_CURVE]]</f>
        <v>0</v>
      </c>
      <c r="AK144" s="16">
        <f>tblCalculation[[#This Row],[FIAttributable]]*(tblBOneExport[[#This Row],[BMK_TOTAL_SPREAD]]+BMK_Credit_Adj*tblCalculation[[#This Row],[BmkDTSWeight]])</f>
        <v>0</v>
      </c>
      <c r="AL144" s="16">
        <f>tblCalculation[[#This Row],[FIAttributable]]*tblBOneExport[[#This Row],[BMK_MODEL_RESIDUAL]]-BMK_Credit_Adj*tblCalculation[[#This Row],[BmkDTSWeight]]</f>
        <v>0</v>
      </c>
      <c r="AM144" s="16">
        <f>IF(tblCalculation[[#This Row],[Level3]]="Forward Contracts",tblCalculation[[#This Row],[BMKContributionLocal]],0)</f>
        <v>0</v>
      </c>
      <c r="AN144" s="16">
        <f>tblBOneExport[[#This Row],[BMK_SPOT_CCY_RETURN]]+tblBOneExport[[#This Row],[BMK_CROSS_EFFECT]]</f>
        <v>0</v>
      </c>
    </row>
    <row r="145" spans="5:40" x14ac:dyDescent="0.25">
      <c r="E145" s="7" t="str">
        <f>tblBOneExport[[#This Row],[INSTRUMENT_CODE]]</f>
        <v>S00978704</v>
      </c>
      <c r="F145" s="7" t="str">
        <f>tblBOneExport[[#This Row],[INSTRUMENT]]</f>
        <v>TOYOTA MTR CRED 4 07/12/17 EMTN</v>
      </c>
      <c r="G145" s="7" t="str">
        <f>IF(tblBOneExport[[#This Row],[ISIN]]&lt;&gt;"", tblBOneExport[[#This Row],[ISIN]],"")</f>
        <v>XS0595707570</v>
      </c>
      <c r="H145" s="7" t="str">
        <f>IF(tblCalculation[[#This Row],[B1Level2]]="CDS",tblBOneExport[[#This Row],[B1_TICKER]],IF(tblCalculation[[#This Row],[ISIN]]="","",INDEX(tblGetStaticData[Ticker],MATCH(tblCalculation[[#This Row],[ISIN]],tblGetStaticData[ISIN],0))))</f>
        <v>TOYOTA</v>
      </c>
      <c r="I145" s="7" t="str">
        <f>IF(tblBOneExport[[#This Row],[INSTRUMENT_TYPE]]="Forward Contract","Forward Contract",tblBOneExport[LEVEL2])</f>
        <v>Corporates</v>
      </c>
      <c r="J145" s="7" t="str">
        <f>IF(tblBOneExport[[#This Row],[INSTRUMENT_TYPE]]="Forward Contract","Forward Contract",tblBOneExport[[#This Row],[LEVEL3]])</f>
        <v>Industrials</v>
      </c>
      <c r="K145" s="7" t="str">
        <f>INDEX(tblLvl2Mapping[],MATCH(tblCalculation[[#This Row],[B1Level2]]&amp;"_"&amp;tblCalculation[[#This Row],[B1Level3]],tblLvl2Mapping[B1Level2_B1Level3],0),2)</f>
        <v>Corporate</v>
      </c>
      <c r="L145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45" s="7">
        <f>INDEX(tblAttributable[],MATCH(tblCalculation[[#This Row],[Level3]],tblAttributable[Level3],0),2)</f>
        <v>1</v>
      </c>
      <c r="N145" s="16">
        <f>tblBOneExport[[#This Row],[PTF_WEIGHT]]</f>
        <v>7.1983590000000003E-4</v>
      </c>
      <c r="O145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1.0922960602701565E-4</v>
      </c>
      <c r="P145" s="48">
        <f>tblCalculation[[#This Row],[PtfDTS]]/SUM(tblCalculation[PtfDTS])</f>
        <v>1.3246523623646663E-5</v>
      </c>
      <c r="Q145" s="16">
        <f>tblBOneExport[[#This Row],[PTF_CONTRIBUTION]]</f>
        <v>2.213E-7</v>
      </c>
      <c r="R145" s="16">
        <f>tblCalculation[[#This Row],[PtfContributionBase]]-tblCalculation[[#This Row],[PtfCurrencyReturn]]</f>
        <v>2.213E-7</v>
      </c>
      <c r="S145" s="16">
        <f>IF(tblBOneExport[[#This Row],[LEVEL1]]="Bonds",tblBOneExport[[#This Row],[PTF_GOV_CARRY]],"")</f>
        <v>1.02E-7</v>
      </c>
      <c r="T145" s="16">
        <f>tblCalculation[[#This Row],[FIAttributable]]*tblBOneExport[[#This Row],[PTF_CREDIT_CARRY]]</f>
        <v>3.3939999999999998E-7</v>
      </c>
      <c r="U145" s="16">
        <f>tblCalculation[[#This Row],[FIAttributable]]*tblBOneExport[[#This Row],[PTF_TOTAL_CURVE]]</f>
        <v>-3.2800000000000003E-8</v>
      </c>
      <c r="V145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-4.5690000000000002E-7</v>
      </c>
      <c r="W145" s="16">
        <f>IF(AND(tblCalculation[[#This Row],[Level3]]="Forward Contracts",tblBOneExport[[#This Row],[PTF_COST_OF_CARRY]]=0),tblBOneExport[[#This Row],[PTF_VALUATION]],0)</f>
        <v>0</v>
      </c>
      <c r="X145" s="16">
        <f>SUM(tblCalculation[[#This Row],[PtfTrading]:[PtfModelRes]])</f>
        <v>2.6959999999999998E-7</v>
      </c>
      <c r="Y145" s="16">
        <f>tblCalculation[[#This Row],[FIAttributable]]*tblBOneExport[[#This Row],[PTF_TRADING]]</f>
        <v>0</v>
      </c>
      <c r="Z145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45" s="16">
        <f>tblCalculation[[#This Row],[FIAttributable]]*tblBOneExport[[#This Row],[PTF_MODEL_RESIDUAL]]-PTF_Credit_Adj*tblCalculation[[#This Row],[PtfDTSWeight]]</f>
        <v>2.6959999999999998E-7</v>
      </c>
      <c r="AB145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45" s="16">
        <f>tblBOneExport[[#This Row],[BMK_WEIGHT]]</f>
        <v>0</v>
      </c>
      <c r="AD145" s="78">
        <f>tblCalculation[[#This Row],[FIAttributable]]*SUMIFS(tblDTS[DTSContribution_BM],tblDTS[ISIN],tblCalculation[[#This Row],[ISIN]])</f>
        <v>1.4416621655282644E-4</v>
      </c>
      <c r="AE145" s="16">
        <f>IF(SUM(tblCalculation[BMKDTS])=0,0,tblCalculation[[#This Row],[BMKDTS]]/SUM(tblCalculation[BMKDTS]))</f>
        <v>1.7134195357571881E-5</v>
      </c>
      <c r="AF145" s="16">
        <f>tblBOneExport[[#This Row],[BMK_CONTRIBUTION]]</f>
        <v>0</v>
      </c>
      <c r="AG145" s="16">
        <f>tblCalculation[[#This Row],[BMKContributionBase]]-tblBOneExport[BMK_SPOT_CCY_RETURN]-tblBOneExport[[#This Row],[BMK_CROSS_EFFECT]]</f>
        <v>0</v>
      </c>
      <c r="AH145" s="16">
        <f>tblCalculation[[#This Row],[FIAttributable]]*(tblBOneExport[[#This Row],[BMK_RETURN_GOV_CARRY]])</f>
        <v>0</v>
      </c>
      <c r="AI145" s="16">
        <f>tblCalculation[[#This Row],[FIAttributable]]*tblBOneExport[[#This Row],[BMK_CREDIT_CARRY]]</f>
        <v>0</v>
      </c>
      <c r="AJ145" s="16">
        <f>tblCalculation[[#This Row],[FIAttributable]]*tblBOneExport[[#This Row],[BMK_TOTAL_CURVE]]</f>
        <v>0</v>
      </c>
      <c r="AK145" s="16">
        <f>tblCalculation[[#This Row],[FIAttributable]]*(tblBOneExport[[#This Row],[BMK_TOTAL_SPREAD]]+BMK_Credit_Adj*tblCalculation[[#This Row],[BmkDTSWeight]])</f>
        <v>0</v>
      </c>
      <c r="AL145" s="16">
        <f>tblCalculation[[#This Row],[FIAttributable]]*tblBOneExport[[#This Row],[BMK_MODEL_RESIDUAL]]-BMK_Credit_Adj*tblCalculation[[#This Row],[BmkDTSWeight]]</f>
        <v>0</v>
      </c>
      <c r="AM145" s="16">
        <f>IF(tblCalculation[[#This Row],[Level3]]="Forward Contracts",tblCalculation[[#This Row],[BMKContributionLocal]],0)</f>
        <v>0</v>
      </c>
      <c r="AN145" s="16">
        <f>tblBOneExport[[#This Row],[BMK_SPOT_CCY_RETURN]]+tblBOneExport[[#This Row],[BMK_CROSS_EFFECT]]</f>
        <v>0</v>
      </c>
    </row>
    <row r="146" spans="5:40" x14ac:dyDescent="0.25">
      <c r="E146" s="7" t="str">
        <f>tblBOneExport[[#This Row],[INSTRUMENT_CODE]]</f>
        <v>S00979365</v>
      </c>
      <c r="F146" s="7" t="str">
        <f>tblBOneExport[[#This Row],[INSTRUMENT]]</f>
        <v>GATWICK FND LTD 6.5 02/03/41 EMTN</v>
      </c>
      <c r="G146" s="7" t="str">
        <f>IF(tblBOneExport[[#This Row],[ISIN]]&lt;&gt;"", tblBOneExport[[#This Row],[ISIN]],"")</f>
        <v>XS0596919539</v>
      </c>
      <c r="H146" s="7" t="str">
        <f>IF(tblCalculation[[#This Row],[B1Level2]]="CDS",tblBOneExport[[#This Row],[B1_TICKER]],IF(tblCalculation[[#This Row],[ISIN]]="","",INDEX(tblGetStaticData[Ticker],MATCH(tblCalculation[[#This Row],[ISIN]],tblGetStaticData[ISIN],0))))</f>
        <v>GATAIR</v>
      </c>
      <c r="I146" s="7" t="str">
        <f>IF(tblBOneExport[[#This Row],[INSTRUMENT_TYPE]]="Forward Contract","Forward Contract",tblBOneExport[LEVEL2])</f>
        <v>Corporates</v>
      </c>
      <c r="J146" s="7" t="str">
        <f>IF(tblBOneExport[[#This Row],[INSTRUMENT_TYPE]]="Forward Contract","Forward Contract",tblBOneExport[[#This Row],[LEVEL3]])</f>
        <v>Industrials</v>
      </c>
      <c r="K146" s="7" t="str">
        <f>INDEX(tblLvl2Mapping[],MATCH(tblCalculation[[#This Row],[B1Level2]]&amp;"_"&amp;tblCalculation[[#This Row],[B1Level3]],tblLvl2Mapping[B1Level2_B1Level3],0),2)</f>
        <v>Corporate</v>
      </c>
      <c r="L146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46" s="7">
        <f>INDEX(tblAttributable[],MATCH(tblCalculation[[#This Row],[Level3]],tblAttributable[Level3],0),2)</f>
        <v>1</v>
      </c>
      <c r="N146" s="16">
        <f>tblBOneExport[[#This Row],[PTF_WEIGHT]]</f>
        <v>3.4109263E-3</v>
      </c>
      <c r="O146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7.2782865598298038E-2</v>
      </c>
      <c r="P146" s="48">
        <f>tblCalculation[[#This Row],[PtfDTS]]/SUM(tblCalculation[PtfDTS])</f>
        <v>8.8265442274514869E-3</v>
      </c>
      <c r="Q146" s="16">
        <f>tblBOneExport[[#This Row],[PTF_CONTRIBUTION]]</f>
        <v>7.7101700000000001E-5</v>
      </c>
      <c r="R146" s="16">
        <f>tblCalculation[[#This Row],[PtfContributionBase]]-tblCalculation[[#This Row],[PtfCurrencyReturn]]</f>
        <v>7.7101700000000001E-5</v>
      </c>
      <c r="S146" s="16">
        <f>IF(tblBOneExport[[#This Row],[LEVEL1]]="Bonds",tblBOneExport[[#This Row],[PTF_GOV_CARRY]],"")</f>
        <v>4.9388E-6</v>
      </c>
      <c r="T146" s="16">
        <f>tblCalculation[[#This Row],[FIAttributable]]*tblBOneExport[[#This Row],[PTF_CREDIT_CARRY]]</f>
        <v>3.4481999999999999E-6</v>
      </c>
      <c r="U146" s="16">
        <f>tblCalculation[[#This Row],[FIAttributable]]*tblBOneExport[[#This Row],[PTF_TOTAL_CURVE]]</f>
        <v>6.8092500000000006E-5</v>
      </c>
      <c r="V146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-1.7991000000000001E-6</v>
      </c>
      <c r="W146" s="16">
        <f>IF(AND(tblCalculation[[#This Row],[Level3]]="Forward Contracts",tblBOneExport[[#This Row],[PTF_COST_OF_CARRY]]=0),tblBOneExport[[#This Row],[PTF_VALUATION]],0)</f>
        <v>0</v>
      </c>
      <c r="X146" s="16">
        <f>SUM(tblCalculation[[#This Row],[PtfTrading]:[PtfModelRes]])</f>
        <v>2.4213999999999998E-6</v>
      </c>
      <c r="Y146" s="16">
        <f>tblCalculation[[#This Row],[FIAttributable]]*tblBOneExport[[#This Row],[PTF_TRADING]]</f>
        <v>0</v>
      </c>
      <c r="Z146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46" s="16">
        <f>tblCalculation[[#This Row],[FIAttributable]]*tblBOneExport[[#This Row],[PTF_MODEL_RESIDUAL]]-PTF_Credit_Adj*tblCalculation[[#This Row],[PtfDTSWeight]]</f>
        <v>2.4213999999999998E-6</v>
      </c>
      <c r="AB146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46" s="16">
        <f>tblBOneExport[[#This Row],[BMK_WEIGHT]]</f>
        <v>0</v>
      </c>
      <c r="AD146" s="78">
        <f>tblCalculation[[#This Row],[FIAttributable]]*SUMIFS(tblDTS[DTSContribution_BM],tblDTS[ISIN],tblCalculation[[#This Row],[ISIN]])</f>
        <v>5.3373325644545846E-2</v>
      </c>
      <c r="AE146" s="16">
        <f>IF(SUM(tblCalculation[BMKDTS])=0,0,tblCalculation[[#This Row],[BMKDTS]]/SUM(tblCalculation[BMKDTS]))</f>
        <v>6.3434347542986862E-3</v>
      </c>
      <c r="AF146" s="16">
        <f>tblBOneExport[[#This Row],[BMK_CONTRIBUTION]]</f>
        <v>0</v>
      </c>
      <c r="AG146" s="16">
        <f>tblCalculation[[#This Row],[BMKContributionBase]]-tblBOneExport[BMK_SPOT_CCY_RETURN]-tblBOneExport[[#This Row],[BMK_CROSS_EFFECT]]</f>
        <v>0</v>
      </c>
      <c r="AH146" s="16">
        <f>tblCalculation[[#This Row],[FIAttributable]]*(tblBOneExport[[#This Row],[BMK_RETURN_GOV_CARRY]])</f>
        <v>0</v>
      </c>
      <c r="AI146" s="16">
        <f>tblCalculation[[#This Row],[FIAttributable]]*tblBOneExport[[#This Row],[BMK_CREDIT_CARRY]]</f>
        <v>0</v>
      </c>
      <c r="AJ146" s="16">
        <f>tblCalculation[[#This Row],[FIAttributable]]*tblBOneExport[[#This Row],[BMK_TOTAL_CURVE]]</f>
        <v>0</v>
      </c>
      <c r="AK146" s="16">
        <f>tblCalculation[[#This Row],[FIAttributable]]*(tblBOneExport[[#This Row],[BMK_TOTAL_SPREAD]]+BMK_Credit_Adj*tblCalculation[[#This Row],[BmkDTSWeight]])</f>
        <v>0</v>
      </c>
      <c r="AL146" s="16">
        <f>tblCalculation[[#This Row],[FIAttributable]]*tblBOneExport[[#This Row],[BMK_MODEL_RESIDUAL]]-BMK_Credit_Adj*tblCalculation[[#This Row],[BmkDTSWeight]]</f>
        <v>0</v>
      </c>
      <c r="AM146" s="16">
        <f>IF(tblCalculation[[#This Row],[Level3]]="Forward Contracts",tblCalculation[[#This Row],[BMKContributionLocal]],0)</f>
        <v>0</v>
      </c>
      <c r="AN146" s="16">
        <f>tblBOneExport[[#This Row],[BMK_SPOT_CCY_RETURN]]+tblBOneExport[[#This Row],[BMK_CROSS_EFFECT]]</f>
        <v>0</v>
      </c>
    </row>
    <row r="147" spans="5:40" x14ac:dyDescent="0.25">
      <c r="E147" s="7" t="str">
        <f>tblBOneExport[[#This Row],[INSTRUMENT_CODE]]</f>
        <v>S00982673</v>
      </c>
      <c r="F147" s="7" t="str">
        <f>tblBOneExport[[#This Row],[INSTRUMENT]]</f>
        <v>BP CAPITAL PLC 4.325 10/12/18 EMTN</v>
      </c>
      <c r="G147" s="7" t="str">
        <f>IF(tblBOneExport[[#This Row],[ISIN]]&lt;&gt;"", tblBOneExport[[#This Row],[ISIN]],"")</f>
        <v>XS0604380724</v>
      </c>
      <c r="H147" s="7" t="str">
        <f>IF(tblCalculation[[#This Row],[B1Level2]]="CDS",tblBOneExport[[#This Row],[B1_TICKER]],IF(tblCalculation[[#This Row],[ISIN]]="","",INDEX(tblGetStaticData[Ticker],MATCH(tblCalculation[[#This Row],[ISIN]],tblGetStaticData[ISIN],0))))</f>
        <v>BPLN</v>
      </c>
      <c r="I147" s="7" t="str">
        <f>IF(tblBOneExport[[#This Row],[INSTRUMENT_TYPE]]="Forward Contract","Forward Contract",tblBOneExport[LEVEL2])</f>
        <v>Corporates</v>
      </c>
      <c r="J147" s="7" t="str">
        <f>IF(tblBOneExport[[#This Row],[INSTRUMENT_TYPE]]="Forward Contract","Forward Contract",tblBOneExport[[#This Row],[LEVEL3]])</f>
        <v>Industrials</v>
      </c>
      <c r="K147" s="7" t="str">
        <f>INDEX(tblLvl2Mapping[],MATCH(tblCalculation[[#This Row],[B1Level2]]&amp;"_"&amp;tblCalculation[[#This Row],[B1Level3]],tblLvl2Mapping[B1Level2_B1Level3],0),2)</f>
        <v>Corporate</v>
      </c>
      <c r="L147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47" s="7">
        <f>INDEX(tblAttributable[],MATCH(tblCalculation[[#This Row],[Level3]],tblAttributable[Level3],0),2)</f>
        <v>1</v>
      </c>
      <c r="N147" s="16">
        <f>tblBOneExport[[#This Row],[PTF_WEIGHT]]</f>
        <v>1.2433453E-3</v>
      </c>
      <c r="O147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6.5945781327198384E-4</v>
      </c>
      <c r="P147" s="48">
        <f>tblCalculation[[#This Row],[PtfDTS]]/SUM(tblCalculation[PtfDTS])</f>
        <v>7.9973954132409449E-5</v>
      </c>
      <c r="Q147" s="16">
        <f>tblBOneExport[[#This Row],[PTF_CONTRIBUTION]]</f>
        <v>2.8986999999999999E-6</v>
      </c>
      <c r="R147" s="16">
        <f>tblCalculation[[#This Row],[PtfContributionBase]]-tblCalculation[[#This Row],[PtfCurrencyReturn]]</f>
        <v>2.8986999999999999E-6</v>
      </c>
      <c r="S147" s="16">
        <f>IF(tblBOneExport[[#This Row],[LEVEL1]]="Bonds",tblBOneExport[[#This Row],[PTF_GOV_CARRY]],"")</f>
        <v>2.2609999999999999E-7</v>
      </c>
      <c r="T147" s="16">
        <f>tblCalculation[[#This Row],[FIAttributable]]*tblBOneExport[[#This Row],[PTF_CREDIT_CARRY]]</f>
        <v>6.4209999999999996E-7</v>
      </c>
      <c r="U147" s="16">
        <f>tblCalculation[[#This Row],[FIAttributable]]*tblBOneExport[[#This Row],[PTF_TOTAL_CURVE]]</f>
        <v>2.1069999999999999E-6</v>
      </c>
      <c r="V147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1.3610000000000001E-7</v>
      </c>
      <c r="W147" s="16">
        <f>IF(AND(tblCalculation[[#This Row],[Level3]]="Forward Contracts",tblBOneExport[[#This Row],[PTF_COST_OF_CARRY]]=0),tblBOneExport[[#This Row],[PTF_VALUATION]],0)</f>
        <v>0</v>
      </c>
      <c r="X147" s="16">
        <f>SUM(tblCalculation[[#This Row],[PtfTrading]:[PtfModelRes]])</f>
        <v>-2.125E-7</v>
      </c>
      <c r="Y147" s="16">
        <f>tblCalculation[[#This Row],[FIAttributable]]*tblBOneExport[[#This Row],[PTF_TRADING]]</f>
        <v>0</v>
      </c>
      <c r="Z147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47" s="16">
        <f>tblCalculation[[#This Row],[FIAttributable]]*tblBOneExport[[#This Row],[PTF_MODEL_RESIDUAL]]-PTF_Credit_Adj*tblCalculation[[#This Row],[PtfDTSWeight]]</f>
        <v>-2.125E-7</v>
      </c>
      <c r="AB147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47" s="16">
        <f>tblBOneExport[[#This Row],[BMK_WEIGHT]]</f>
        <v>0</v>
      </c>
      <c r="AD147" s="78">
        <f>tblCalculation[[#This Row],[FIAttributable]]*SUMIFS(tblDTS[DTSContribution_BM],tblDTS[ISIN],tblCalculation[[#This Row],[ISIN]])</f>
        <v>8.7021471244296195E-4</v>
      </c>
      <c r="AE147" s="16">
        <f>IF(SUM(tblCalculation[BMKDTS])=0,0,tblCalculation[[#This Row],[BMKDTS]]/SUM(tblCalculation[BMKDTS]))</f>
        <v>1.0342526316189591E-4</v>
      </c>
      <c r="AF147" s="16">
        <f>tblBOneExport[[#This Row],[BMK_CONTRIBUTION]]</f>
        <v>0</v>
      </c>
      <c r="AG147" s="16">
        <f>tblCalculation[[#This Row],[BMKContributionBase]]-tblBOneExport[BMK_SPOT_CCY_RETURN]-tblBOneExport[[#This Row],[BMK_CROSS_EFFECT]]</f>
        <v>0</v>
      </c>
      <c r="AH147" s="16">
        <f>tblCalculation[[#This Row],[FIAttributable]]*(tblBOneExport[[#This Row],[BMK_RETURN_GOV_CARRY]])</f>
        <v>0</v>
      </c>
      <c r="AI147" s="16">
        <f>tblCalculation[[#This Row],[FIAttributable]]*tblBOneExport[[#This Row],[BMK_CREDIT_CARRY]]</f>
        <v>0</v>
      </c>
      <c r="AJ147" s="16">
        <f>tblCalculation[[#This Row],[FIAttributable]]*tblBOneExport[[#This Row],[BMK_TOTAL_CURVE]]</f>
        <v>0</v>
      </c>
      <c r="AK147" s="16">
        <f>tblCalculation[[#This Row],[FIAttributable]]*(tblBOneExport[[#This Row],[BMK_TOTAL_SPREAD]]+BMK_Credit_Adj*tblCalculation[[#This Row],[BmkDTSWeight]])</f>
        <v>0</v>
      </c>
      <c r="AL147" s="16">
        <f>tblCalculation[[#This Row],[FIAttributable]]*tblBOneExport[[#This Row],[BMK_MODEL_RESIDUAL]]-BMK_Credit_Adj*tblCalculation[[#This Row],[BmkDTSWeight]]</f>
        <v>0</v>
      </c>
      <c r="AM147" s="16">
        <f>IF(tblCalculation[[#This Row],[Level3]]="Forward Contracts",tblCalculation[[#This Row],[BMKContributionLocal]],0)</f>
        <v>0</v>
      </c>
      <c r="AN147" s="16">
        <f>tblBOneExport[[#This Row],[BMK_SPOT_CCY_RETURN]]+tblBOneExport[[#This Row],[BMK_CROSS_EFFECT]]</f>
        <v>0</v>
      </c>
    </row>
    <row r="148" spans="5:40" x14ac:dyDescent="0.25">
      <c r="E148" s="7" t="str">
        <f>tblBOneExport[[#This Row],[INSTRUMENT_CODE]]</f>
        <v>S00984297</v>
      </c>
      <c r="F148" s="7" t="str">
        <f>tblBOneExport[[#This Row],[INSTRUMENT]]</f>
        <v>IPIC GMTN LTD 6.875 14/03/26 EMTN</v>
      </c>
      <c r="G148" s="7" t="str">
        <f>IF(tblBOneExport[[#This Row],[ISIN]]&lt;&gt;"", tblBOneExport[[#This Row],[ISIN]],"")</f>
        <v>XS0605560084</v>
      </c>
      <c r="H148" s="7" t="str">
        <f>IF(tblCalculation[[#This Row],[B1Level2]]="CDS",tblBOneExport[[#This Row],[B1_TICKER]],IF(tblCalculation[[#This Row],[ISIN]]="","",INDEX(tblGetStaticData[Ticker],MATCH(tblCalculation[[#This Row],[ISIN]],tblGetStaticData[ISIN],0))))</f>
        <v>INTPET</v>
      </c>
      <c r="I148" s="7" t="str">
        <f>IF(tblBOneExport[[#This Row],[INSTRUMENT_TYPE]]="Forward Contract","Forward Contract",tblBOneExport[LEVEL2])</f>
        <v>Non-Corporate</v>
      </c>
      <c r="J148" s="7" t="str">
        <f>IF(tblBOneExport[[#This Row],[INSTRUMENT_TYPE]]="Forward Contract","Forward Contract",tblBOneExport[[#This Row],[LEVEL3]])</f>
        <v>Foreign Agency</v>
      </c>
      <c r="K148" s="7" t="str">
        <f>INDEX(tblLvl2Mapping[],MATCH(tblCalculation[[#This Row],[B1Level2]]&amp;"_"&amp;tblCalculation[[#This Row],[B1Level3]],tblLvl2Mapping[B1Level2_B1Level3],0),2)</f>
        <v>Corporate</v>
      </c>
      <c r="L148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48" s="7">
        <f>INDEX(tblAttributable[],MATCH(tblCalculation[[#This Row],[Level3]],tblAttributable[Level3],0),2)</f>
        <v>1</v>
      </c>
      <c r="N148" s="16">
        <f>tblBOneExport[[#This Row],[PTF_WEIGHT]]</f>
        <v>1.6039366E-3</v>
      </c>
      <c r="O148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1.3317146093161892E-2</v>
      </c>
      <c r="P148" s="48">
        <f>tblCalculation[[#This Row],[PtfDTS]]/SUM(tblCalculation[PtfDTS])</f>
        <v>1.6150007011743006E-3</v>
      </c>
      <c r="Q148" s="16">
        <f>tblBOneExport[[#This Row],[PTF_CONTRIBUTION]]</f>
        <v>3.2983900000000001E-5</v>
      </c>
      <c r="R148" s="16">
        <f>tblCalculation[[#This Row],[PtfContributionBase]]-tblCalculation[[#This Row],[PtfCurrencyReturn]]</f>
        <v>3.2983900000000001E-5</v>
      </c>
      <c r="S148" s="16">
        <f>IF(tblBOneExport[[#This Row],[LEVEL1]]="Bonds",tblBOneExport[[#This Row],[PTF_GOV_CARRY]],"")</f>
        <v>1.268E-6</v>
      </c>
      <c r="T148" s="16">
        <f>tblCalculation[[#This Row],[FIAttributable]]*tblBOneExport[[#This Row],[PTF_CREDIT_CARRY]]</f>
        <v>1.8317E-6</v>
      </c>
      <c r="U148" s="16">
        <f>tblCalculation[[#This Row],[FIAttributable]]*tblBOneExport[[#This Row],[PTF_TOTAL_CURVE]]</f>
        <v>2.1671900000000002E-5</v>
      </c>
      <c r="V148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6.9531999999999998E-6</v>
      </c>
      <c r="W148" s="16">
        <f>IF(AND(tblCalculation[[#This Row],[Level3]]="Forward Contracts",tblBOneExport[[#This Row],[PTF_COST_OF_CARRY]]=0),tblBOneExport[[#This Row],[PTF_VALUATION]],0)</f>
        <v>0</v>
      </c>
      <c r="X148" s="16">
        <f>SUM(tblCalculation[[#This Row],[PtfTrading]:[PtfModelRes]])</f>
        <v>1.2590999999999999E-6</v>
      </c>
      <c r="Y148" s="16">
        <f>tblCalculation[[#This Row],[FIAttributable]]*tblBOneExport[[#This Row],[PTF_TRADING]]</f>
        <v>0</v>
      </c>
      <c r="Z148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48" s="16">
        <f>tblCalculation[[#This Row],[FIAttributable]]*tblBOneExport[[#This Row],[PTF_MODEL_RESIDUAL]]-PTF_Credit_Adj*tblCalculation[[#This Row],[PtfDTSWeight]]</f>
        <v>1.2590999999999999E-6</v>
      </c>
      <c r="AB148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48" s="16">
        <f>tblBOneExport[[#This Row],[BMK_WEIGHT]]</f>
        <v>0</v>
      </c>
      <c r="AD148" s="78">
        <f>tblCalculation[[#This Row],[FIAttributable]]*SUMIFS(tblDTS[DTSContribution_BM],tblDTS[ISIN],tblCalculation[[#This Row],[ISIN]])</f>
        <v>1.7571275629996195E-2</v>
      </c>
      <c r="AE148" s="16">
        <f>IF(SUM(tblCalculation[BMKDTS])=0,0,tblCalculation[[#This Row],[BMKDTS]]/SUM(tblCalculation[BMKDTS]))</f>
        <v>2.0883510473188884E-3</v>
      </c>
      <c r="AF148" s="16">
        <f>tblBOneExport[[#This Row],[BMK_CONTRIBUTION]]</f>
        <v>0</v>
      </c>
      <c r="AG148" s="16">
        <f>tblCalculation[[#This Row],[BMKContributionBase]]-tblBOneExport[BMK_SPOT_CCY_RETURN]-tblBOneExport[[#This Row],[BMK_CROSS_EFFECT]]</f>
        <v>0</v>
      </c>
      <c r="AH148" s="16">
        <f>tblCalculation[[#This Row],[FIAttributable]]*(tblBOneExport[[#This Row],[BMK_RETURN_GOV_CARRY]])</f>
        <v>0</v>
      </c>
      <c r="AI148" s="16">
        <f>tblCalculation[[#This Row],[FIAttributable]]*tblBOneExport[[#This Row],[BMK_CREDIT_CARRY]]</f>
        <v>0</v>
      </c>
      <c r="AJ148" s="16">
        <f>tblCalculation[[#This Row],[FIAttributable]]*tblBOneExport[[#This Row],[BMK_TOTAL_CURVE]]</f>
        <v>0</v>
      </c>
      <c r="AK148" s="16">
        <f>tblCalculation[[#This Row],[FIAttributable]]*(tblBOneExport[[#This Row],[BMK_TOTAL_SPREAD]]+BMK_Credit_Adj*tblCalculation[[#This Row],[BmkDTSWeight]])</f>
        <v>0</v>
      </c>
      <c r="AL148" s="16">
        <f>tblCalculation[[#This Row],[FIAttributable]]*tblBOneExport[[#This Row],[BMK_MODEL_RESIDUAL]]-BMK_Credit_Adj*tblCalculation[[#This Row],[BmkDTSWeight]]</f>
        <v>0</v>
      </c>
      <c r="AM148" s="16">
        <f>IF(tblCalculation[[#This Row],[Level3]]="Forward Contracts",tblCalculation[[#This Row],[BMKContributionLocal]],0)</f>
        <v>0</v>
      </c>
      <c r="AN148" s="16">
        <f>tblBOneExport[[#This Row],[BMK_SPOT_CCY_RETURN]]+tblBOneExport[[#This Row],[BMK_CROSS_EFFECT]]</f>
        <v>0</v>
      </c>
    </row>
    <row r="149" spans="5:40" x14ac:dyDescent="0.25">
      <c r="E149" s="7" t="str">
        <f>tblBOneExport[[#This Row],[INSTRUMENT_CODE]]</f>
        <v>S00998264</v>
      </c>
      <c r="F149" s="7" t="str">
        <f>tblBOneExport[[#This Row],[INSTRUMENT]]</f>
        <v>BAA FUNDING LTD 5.875 13/05/41 EMTN</v>
      </c>
      <c r="G149" s="7" t="str">
        <f>IF(tblBOneExport[[#This Row],[ISIN]]&lt;&gt;"", tblBOneExport[[#This Row],[ISIN]],"")</f>
        <v>XS0625276257</v>
      </c>
      <c r="H149" s="7" t="str">
        <f>IF(tblCalculation[[#This Row],[B1Level2]]="CDS",tblBOneExport[[#This Row],[B1_TICKER]],IF(tblCalculation[[#This Row],[ISIN]]="","",INDEX(tblGetStaticData[Ticker],MATCH(tblCalculation[[#This Row],[ISIN]],tblGetStaticData[ISIN],0))))</f>
        <v>HTHROW</v>
      </c>
      <c r="I149" s="7" t="str">
        <f>IF(tblBOneExport[[#This Row],[INSTRUMENT_TYPE]]="Forward Contract","Forward Contract",tblBOneExport[LEVEL2])</f>
        <v>Corporates</v>
      </c>
      <c r="J149" s="7" t="str">
        <f>IF(tblBOneExport[[#This Row],[INSTRUMENT_TYPE]]="Forward Contract","Forward Contract",tblBOneExport[[#This Row],[LEVEL3]])</f>
        <v>Industrials</v>
      </c>
      <c r="K149" s="7" t="str">
        <f>INDEX(tblLvl2Mapping[],MATCH(tblCalculation[[#This Row],[B1Level2]]&amp;"_"&amp;tblCalculation[[#This Row],[B1Level3]],tblLvl2Mapping[B1Level2_B1Level3],0),2)</f>
        <v>Corporate</v>
      </c>
      <c r="L149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49" s="7">
        <f>INDEX(tblAttributable[],MATCH(tblCalculation[[#This Row],[Level3]],tblAttributable[Level3],0),2)</f>
        <v>1</v>
      </c>
      <c r="N149" s="16">
        <f>tblBOneExport[[#This Row],[PTF_WEIGHT]]</f>
        <v>2.6437725000000001E-3</v>
      </c>
      <c r="O149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5.7588329118209623E-2</v>
      </c>
      <c r="P149" s="48">
        <f>tblCalculation[[#This Row],[PtfDTS]]/SUM(tblCalculation[PtfDTS])</f>
        <v>6.9838681091830461E-3</v>
      </c>
      <c r="Q149" s="16">
        <f>tblBOneExport[[#This Row],[PTF_CONTRIBUTION]]</f>
        <v>6.1593499999999999E-5</v>
      </c>
      <c r="R149" s="16">
        <f>tblCalculation[[#This Row],[PtfContributionBase]]-tblCalculation[[#This Row],[PtfCurrencyReturn]]</f>
        <v>6.1593499999999999E-5</v>
      </c>
      <c r="S149" s="16">
        <f>IF(tblBOneExport[[#This Row],[LEVEL1]]="Bonds",tblBOneExport[[#This Row],[PTF_GOV_CARRY]],"")</f>
        <v>3.8384000000000004E-6</v>
      </c>
      <c r="T149" s="16">
        <f>tblCalculation[[#This Row],[FIAttributable]]*tblBOneExport[[#This Row],[PTF_CREDIT_CARRY]]</f>
        <v>2.6307999999999999E-6</v>
      </c>
      <c r="U149" s="16">
        <f>tblCalculation[[#This Row],[FIAttributable]]*tblBOneExport[[#This Row],[PTF_TOTAL_CURVE]]</f>
        <v>5.58642E-5</v>
      </c>
      <c r="V149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5.7700000000000001E-8</v>
      </c>
      <c r="W149" s="16">
        <f>IF(AND(tblCalculation[[#This Row],[Level3]]="Forward Contracts",tblBOneExport[[#This Row],[PTF_COST_OF_CARRY]]=0),tblBOneExport[[#This Row],[PTF_VALUATION]],0)</f>
        <v>0</v>
      </c>
      <c r="X149" s="16">
        <f>SUM(tblCalculation[[#This Row],[PtfTrading]:[PtfModelRes]])</f>
        <v>-7.976E-7</v>
      </c>
      <c r="Y149" s="16">
        <f>tblCalculation[[#This Row],[FIAttributable]]*tblBOneExport[[#This Row],[PTF_TRADING]]</f>
        <v>0</v>
      </c>
      <c r="Z149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49" s="16">
        <f>tblCalculation[[#This Row],[FIAttributable]]*tblBOneExport[[#This Row],[PTF_MODEL_RESIDUAL]]-PTF_Credit_Adj*tblCalculation[[#This Row],[PtfDTSWeight]]</f>
        <v>-7.976E-7</v>
      </c>
      <c r="AB149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49" s="16">
        <f>tblBOneExport[[#This Row],[BMK_WEIGHT]]</f>
        <v>0</v>
      </c>
      <c r="AD149" s="78">
        <f>tblCalculation[[#This Row],[FIAttributable]]*SUMIFS(tblDTS[DTSContribution_BM],tblDTS[ISIN],tblCalculation[[#This Row],[ISIN]])</f>
        <v>7.6003523966113914E-2</v>
      </c>
      <c r="AE149" s="16">
        <f>IF(SUM(tblCalculation[BMKDTS])=0,0,tblCalculation[[#This Row],[BMKDTS]]/SUM(tblCalculation[BMKDTS]))</f>
        <v>9.0330401854036933E-3</v>
      </c>
      <c r="AF149" s="16">
        <f>tblBOneExport[[#This Row],[BMK_CONTRIBUTION]]</f>
        <v>0</v>
      </c>
      <c r="AG149" s="16">
        <f>tblCalculation[[#This Row],[BMKContributionBase]]-tblBOneExport[BMK_SPOT_CCY_RETURN]-tblBOneExport[[#This Row],[BMK_CROSS_EFFECT]]</f>
        <v>0</v>
      </c>
      <c r="AH149" s="16">
        <f>tblCalculation[[#This Row],[FIAttributable]]*(tblBOneExport[[#This Row],[BMK_RETURN_GOV_CARRY]])</f>
        <v>0</v>
      </c>
      <c r="AI149" s="16">
        <f>tblCalculation[[#This Row],[FIAttributable]]*tblBOneExport[[#This Row],[BMK_CREDIT_CARRY]]</f>
        <v>0</v>
      </c>
      <c r="AJ149" s="16">
        <f>tblCalculation[[#This Row],[FIAttributable]]*tblBOneExport[[#This Row],[BMK_TOTAL_CURVE]]</f>
        <v>0</v>
      </c>
      <c r="AK149" s="16">
        <f>tblCalculation[[#This Row],[FIAttributable]]*(tblBOneExport[[#This Row],[BMK_TOTAL_SPREAD]]+BMK_Credit_Adj*tblCalculation[[#This Row],[BmkDTSWeight]])</f>
        <v>0</v>
      </c>
      <c r="AL149" s="16">
        <f>tblCalculation[[#This Row],[FIAttributable]]*tblBOneExport[[#This Row],[BMK_MODEL_RESIDUAL]]-BMK_Credit_Adj*tblCalculation[[#This Row],[BmkDTSWeight]]</f>
        <v>0</v>
      </c>
      <c r="AM149" s="16">
        <f>IF(tblCalculation[[#This Row],[Level3]]="Forward Contracts",tblCalculation[[#This Row],[BMKContributionLocal]],0)</f>
        <v>0</v>
      </c>
      <c r="AN149" s="16">
        <f>tblBOneExport[[#This Row],[BMK_SPOT_CCY_RETURN]]+tblBOneExport[[#This Row],[BMK_CROSS_EFFECT]]</f>
        <v>0</v>
      </c>
    </row>
    <row r="150" spans="5:40" x14ac:dyDescent="0.25">
      <c r="E150" s="7" t="str">
        <f>tblBOneExport[[#This Row],[INSTRUMENT_CODE]]</f>
        <v>B4VRH62</v>
      </c>
      <c r="F150" s="7" t="str">
        <f>tblBOneExport[[#This Row],[INSTRUMENT]]</f>
        <v>WESTERN POWER 5.75 16/04/32 EMTN</v>
      </c>
      <c r="G150" s="7" t="str">
        <f>IF(tblBOneExport[[#This Row],[ISIN]]&lt;&gt;"", tblBOneExport[[#This Row],[ISIN]],"")</f>
        <v>XS0627336323</v>
      </c>
      <c r="H150" s="7" t="str">
        <f>IF(tblCalculation[[#This Row],[B1Level2]]="CDS",tblBOneExport[[#This Row],[B1_TICKER]],IF(tblCalculation[[#This Row],[ISIN]]="","",INDEX(tblGetStaticData[Ticker],MATCH(tblCalculation[[#This Row],[ISIN]],tblGetStaticData[ISIN],0))))</f>
        <v>PPL</v>
      </c>
      <c r="I150" s="7" t="str">
        <f>IF(tblBOneExport[[#This Row],[INSTRUMENT_TYPE]]="Forward Contract","Forward Contract",tblBOneExport[LEVEL2])</f>
        <v>Corporates</v>
      </c>
      <c r="J150" s="7" t="str">
        <f>IF(tblBOneExport[[#This Row],[INSTRUMENT_TYPE]]="Forward Contract","Forward Contract",tblBOneExport[[#This Row],[LEVEL3]])</f>
        <v>Utilities</v>
      </c>
      <c r="K150" s="7" t="str">
        <f>INDEX(tblLvl2Mapping[],MATCH(tblCalculation[[#This Row],[B1Level2]]&amp;"_"&amp;tblCalculation[[#This Row],[B1Level3]],tblLvl2Mapping[B1Level2_B1Level3],0),2)</f>
        <v>Corporate</v>
      </c>
      <c r="L150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50" s="7">
        <f>INDEX(tblAttributable[],MATCH(tblCalculation[[#This Row],[Level3]],tblAttributable[Level3],0),2)</f>
        <v>1</v>
      </c>
      <c r="N150" s="16">
        <f>tblBOneExport[[#This Row],[PTF_WEIGHT]]</f>
        <v>1.4699308E-3</v>
      </c>
      <c r="O150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1.8987091335796753E-2</v>
      </c>
      <c r="P150" s="48">
        <f>tblCalculation[[#This Row],[PtfDTS]]/SUM(tblCalculation[PtfDTS])</f>
        <v>2.30260790157718E-3</v>
      </c>
      <c r="Q150" s="16">
        <f>tblBOneExport[[#This Row],[PTF_CONTRIBUTION]]</f>
        <v>2.8269600000000001E-5</v>
      </c>
      <c r="R150" s="16">
        <f>tblCalculation[[#This Row],[PtfContributionBase]]-tblCalculation[[#This Row],[PtfCurrencyReturn]]</f>
        <v>2.8269600000000001E-5</v>
      </c>
      <c r="S150" s="16">
        <f>IF(tblBOneExport[[#This Row],[LEVEL1]]="Bonds",tblBOneExport[[#This Row],[PTF_GOV_CARRY]],"")</f>
        <v>1.8014E-6</v>
      </c>
      <c r="T150" s="16">
        <f>tblCalculation[[#This Row],[FIAttributable]]*tblBOneExport[[#This Row],[PTF_CREDIT_CARRY]]</f>
        <v>1.3475E-6</v>
      </c>
      <c r="U150" s="16">
        <f>tblCalculation[[#This Row],[FIAttributable]]*tblBOneExport[[#This Row],[PTF_TOTAL_CURVE]]</f>
        <v>2.8249700000000002E-5</v>
      </c>
      <c r="V150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-4.8486999999999998E-6</v>
      </c>
      <c r="W150" s="16">
        <f>IF(AND(tblCalculation[[#This Row],[Level3]]="Forward Contracts",tblBOneExport[[#This Row],[PTF_COST_OF_CARRY]]=0),tblBOneExport[[#This Row],[PTF_VALUATION]],0)</f>
        <v>0</v>
      </c>
      <c r="X150" s="16">
        <f>SUM(tblCalculation[[#This Row],[PtfTrading]:[PtfModelRes]])</f>
        <v>1.7198E-6</v>
      </c>
      <c r="Y150" s="16">
        <f>tblCalculation[[#This Row],[FIAttributable]]*tblBOneExport[[#This Row],[PTF_TRADING]]</f>
        <v>0</v>
      </c>
      <c r="Z150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50" s="16">
        <f>tblCalculation[[#This Row],[FIAttributable]]*tblBOneExport[[#This Row],[PTF_MODEL_RESIDUAL]]-PTF_Credit_Adj*tblCalculation[[#This Row],[PtfDTSWeight]]</f>
        <v>1.7198E-6</v>
      </c>
      <c r="AB150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50" s="16">
        <f>tblBOneExport[[#This Row],[BMK_WEIGHT]]</f>
        <v>0</v>
      </c>
      <c r="AD150" s="78">
        <f>tblCalculation[[#This Row],[FIAttributable]]*SUMIFS(tblDTS[DTSContribution_BM],tblDTS[ISIN],tblCalculation[[#This Row],[ISIN]])</f>
        <v>0</v>
      </c>
      <c r="AE150" s="16">
        <f>IF(SUM(tblCalculation[BMKDTS])=0,0,tblCalculation[[#This Row],[BMKDTS]]/SUM(tblCalculation[BMKDTS]))</f>
        <v>0</v>
      </c>
      <c r="AF150" s="16">
        <f>tblBOneExport[[#This Row],[BMK_CONTRIBUTION]]</f>
        <v>0</v>
      </c>
      <c r="AG150" s="16">
        <f>tblCalculation[[#This Row],[BMKContributionBase]]-tblBOneExport[BMK_SPOT_CCY_RETURN]-tblBOneExport[[#This Row],[BMK_CROSS_EFFECT]]</f>
        <v>0</v>
      </c>
      <c r="AH150" s="16">
        <f>tblCalculation[[#This Row],[FIAttributable]]*(tblBOneExport[[#This Row],[BMK_RETURN_GOV_CARRY]])</f>
        <v>0</v>
      </c>
      <c r="AI150" s="16">
        <f>tblCalculation[[#This Row],[FIAttributable]]*tblBOneExport[[#This Row],[BMK_CREDIT_CARRY]]</f>
        <v>0</v>
      </c>
      <c r="AJ150" s="16">
        <f>tblCalculation[[#This Row],[FIAttributable]]*tblBOneExport[[#This Row],[BMK_TOTAL_CURVE]]</f>
        <v>0</v>
      </c>
      <c r="AK150" s="16">
        <f>tblCalculation[[#This Row],[FIAttributable]]*(tblBOneExport[[#This Row],[BMK_TOTAL_SPREAD]]+BMK_Credit_Adj*tblCalculation[[#This Row],[BmkDTSWeight]])</f>
        <v>0</v>
      </c>
      <c r="AL150" s="16">
        <f>tblCalculation[[#This Row],[FIAttributable]]*tblBOneExport[[#This Row],[BMK_MODEL_RESIDUAL]]-BMK_Credit_Adj*tblCalculation[[#This Row],[BmkDTSWeight]]</f>
        <v>0</v>
      </c>
      <c r="AM150" s="16">
        <f>IF(tblCalculation[[#This Row],[Level3]]="Forward Contracts",tblCalculation[[#This Row],[BMKContributionLocal]],0)</f>
        <v>0</v>
      </c>
      <c r="AN150" s="16">
        <f>tblBOneExport[[#This Row],[BMK_SPOT_CCY_RETURN]]+tblBOneExport[[#This Row],[BMK_CROSS_EFFECT]]</f>
        <v>0</v>
      </c>
    </row>
    <row r="151" spans="5:40" x14ac:dyDescent="0.25">
      <c r="E151" s="7" t="str">
        <f>tblBOneExport[[#This Row],[INSTRUMENT_CODE]]</f>
        <v>B42DRZ8</v>
      </c>
      <c r="F151" s="7" t="str">
        <f>tblBOneExport[[#This Row],[INSTRUMENT]]</f>
        <v>NEXT PLC 5.375 26/10/21</v>
      </c>
      <c r="G151" s="7" t="str">
        <f>IF(tblBOneExport[[#This Row],[ISIN]]&lt;&gt;"", tblBOneExport[[#This Row],[ISIN]],"")</f>
        <v>XS0630204351</v>
      </c>
      <c r="H151" s="7" t="str">
        <f>IF(tblCalculation[[#This Row],[B1Level2]]="CDS",tblBOneExport[[#This Row],[B1_TICKER]],IF(tblCalculation[[#This Row],[ISIN]]="","",INDEX(tblGetStaticData[Ticker],MATCH(tblCalculation[[#This Row],[ISIN]],tblGetStaticData[ISIN],0))))</f>
        <v>NXTLN</v>
      </c>
      <c r="I151" s="7" t="str">
        <f>IF(tblBOneExport[[#This Row],[INSTRUMENT_TYPE]]="Forward Contract","Forward Contract",tblBOneExport[LEVEL2])</f>
        <v>Corporates</v>
      </c>
      <c r="J151" s="7" t="str">
        <f>IF(tblBOneExport[[#This Row],[INSTRUMENT_TYPE]]="Forward Contract","Forward Contract",tblBOneExport[[#This Row],[LEVEL3]])</f>
        <v>Industrials</v>
      </c>
      <c r="K151" s="7" t="str">
        <f>INDEX(tblLvl2Mapping[],MATCH(tblCalculation[[#This Row],[B1Level2]]&amp;"_"&amp;tblCalculation[[#This Row],[B1Level3]],tblLvl2Mapping[B1Level2_B1Level3],0),2)</f>
        <v>Corporate</v>
      </c>
      <c r="L151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51" s="7">
        <f>INDEX(tblAttributable[],MATCH(tblCalculation[[#This Row],[Level3]],tblAttributable[Level3],0),2)</f>
        <v>1</v>
      </c>
      <c r="N151" s="16">
        <f>tblBOneExport[[#This Row],[PTF_WEIGHT]]</f>
        <v>3.0374307000000001E-3</v>
      </c>
      <c r="O151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1.0414852979412005E-2</v>
      </c>
      <c r="P151" s="48">
        <f>tblCalculation[[#This Row],[PtfDTS]]/SUM(tblCalculation[PtfDTS])</f>
        <v>1.2630329912063064E-3</v>
      </c>
      <c r="Q151" s="16">
        <f>tblBOneExport[[#This Row],[PTF_CONTRIBUTION]]</f>
        <v>2.22785E-5</v>
      </c>
      <c r="R151" s="16">
        <f>tblCalculation[[#This Row],[PtfContributionBase]]-tblCalculation[[#This Row],[PtfCurrencyReturn]]</f>
        <v>2.22785E-5</v>
      </c>
      <c r="S151" s="16">
        <f>IF(tblBOneExport[[#This Row],[LEVEL1]]="Bonds",tblBOneExport[[#This Row],[PTF_GOV_CARRY]],"")</f>
        <v>8.8579999999999995E-7</v>
      </c>
      <c r="T151" s="16">
        <f>tblCalculation[[#This Row],[FIAttributable]]*tblBOneExport[[#This Row],[PTF_CREDIT_CARRY]]</f>
        <v>3.3988E-6</v>
      </c>
      <c r="U151" s="16">
        <f>tblCalculation[[#This Row],[FIAttributable]]*tblBOneExport[[#This Row],[PTF_TOTAL_CURVE]]</f>
        <v>1.6612E-5</v>
      </c>
      <c r="V151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3.6984999999999998E-6</v>
      </c>
      <c r="W151" s="16">
        <f>IF(AND(tblCalculation[[#This Row],[Level3]]="Forward Contracts",tblBOneExport[[#This Row],[PTF_COST_OF_CARRY]]=0),tblBOneExport[[#This Row],[PTF_VALUATION]],0)</f>
        <v>0</v>
      </c>
      <c r="X151" s="16">
        <f>SUM(tblCalculation[[#This Row],[PtfTrading]:[PtfModelRes]])</f>
        <v>-2.3166E-6</v>
      </c>
      <c r="Y151" s="16">
        <f>tblCalculation[[#This Row],[FIAttributable]]*tblBOneExport[[#This Row],[PTF_TRADING]]</f>
        <v>0</v>
      </c>
      <c r="Z151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51" s="16">
        <f>tblCalculation[[#This Row],[FIAttributable]]*tblBOneExport[[#This Row],[PTF_MODEL_RESIDUAL]]-PTF_Credit_Adj*tblCalculation[[#This Row],[PtfDTSWeight]]</f>
        <v>-2.3166E-6</v>
      </c>
      <c r="AB151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51" s="16">
        <f>tblBOneExport[[#This Row],[BMK_WEIGHT]]</f>
        <v>0</v>
      </c>
      <c r="AD151" s="78">
        <f>tblCalculation[[#This Row],[FIAttributable]]*SUMIFS(tblDTS[DTSContribution_BM],tblDTS[ISIN],tblCalculation[[#This Row],[ISIN]])</f>
        <v>1.3744746283341882E-2</v>
      </c>
      <c r="AE151" s="16">
        <f>IF(SUM(tblCalculation[BMKDTS])=0,0,tblCalculation[[#This Row],[BMKDTS]]/SUM(tblCalculation[BMKDTS]))</f>
        <v>1.633566958960488E-3</v>
      </c>
      <c r="AF151" s="16">
        <f>tblBOneExport[[#This Row],[BMK_CONTRIBUTION]]</f>
        <v>0</v>
      </c>
      <c r="AG151" s="16">
        <f>tblCalculation[[#This Row],[BMKContributionBase]]-tblBOneExport[BMK_SPOT_CCY_RETURN]-tblBOneExport[[#This Row],[BMK_CROSS_EFFECT]]</f>
        <v>0</v>
      </c>
      <c r="AH151" s="16">
        <f>tblCalculation[[#This Row],[FIAttributable]]*(tblBOneExport[[#This Row],[BMK_RETURN_GOV_CARRY]])</f>
        <v>0</v>
      </c>
      <c r="AI151" s="16">
        <f>tblCalculation[[#This Row],[FIAttributable]]*tblBOneExport[[#This Row],[BMK_CREDIT_CARRY]]</f>
        <v>0</v>
      </c>
      <c r="AJ151" s="16">
        <f>tblCalculation[[#This Row],[FIAttributable]]*tblBOneExport[[#This Row],[BMK_TOTAL_CURVE]]</f>
        <v>0</v>
      </c>
      <c r="AK151" s="16">
        <f>tblCalculation[[#This Row],[FIAttributable]]*(tblBOneExport[[#This Row],[BMK_TOTAL_SPREAD]]+BMK_Credit_Adj*tblCalculation[[#This Row],[BmkDTSWeight]])</f>
        <v>0</v>
      </c>
      <c r="AL151" s="16">
        <f>tblCalculation[[#This Row],[FIAttributable]]*tblBOneExport[[#This Row],[BMK_MODEL_RESIDUAL]]-BMK_Credit_Adj*tblCalculation[[#This Row],[BmkDTSWeight]]</f>
        <v>0</v>
      </c>
      <c r="AM151" s="16">
        <f>IF(tblCalculation[[#This Row],[Level3]]="Forward Contracts",tblCalculation[[#This Row],[BMKContributionLocal]],0)</f>
        <v>0</v>
      </c>
      <c r="AN151" s="16">
        <f>tblBOneExport[[#This Row],[BMK_SPOT_CCY_RETURN]]+tblBOneExport[[#This Row],[BMK_CROSS_EFFECT]]</f>
        <v>0</v>
      </c>
    </row>
    <row r="152" spans="5:40" x14ac:dyDescent="0.25">
      <c r="E152" s="7" t="str">
        <f>tblBOneExport[[#This Row],[INSTRUMENT_CODE]]</f>
        <v>B6785R0</v>
      </c>
      <c r="F152" s="7" t="str">
        <f>tblBOneExport[[#This Row],[INSTRUMENT]]</f>
        <v>PORTERBROOK RAIL 5.5 20/04/19 EMTN</v>
      </c>
      <c r="G152" s="7" t="str">
        <f>IF(tblBOneExport[[#This Row],[ISIN]]&lt;&gt;"", tblBOneExport[[#This Row],[ISIN]],"")</f>
        <v>XS0638544840</v>
      </c>
      <c r="H152" s="7" t="str">
        <f>IF(tblCalculation[[#This Row],[B1Level2]]="CDS",tblBOneExport[[#This Row],[B1_TICKER]],IF(tblCalculation[[#This Row],[ISIN]]="","",INDEX(tblGetStaticData[Ticker],MATCH(tblCalculation[[#This Row],[ISIN]],tblGetStaticData[ISIN],0))))</f>
        <v>PORTER</v>
      </c>
      <c r="I152" s="7" t="str">
        <f>IF(tblBOneExport[[#This Row],[INSTRUMENT_TYPE]]="Forward Contract","Forward Contract",tblBOneExport[LEVEL2])</f>
        <v>Corporates</v>
      </c>
      <c r="J152" s="7" t="str">
        <f>IF(tblBOneExport[[#This Row],[INSTRUMENT_TYPE]]="Forward Contract","Forward Contract",tblBOneExport[[#This Row],[LEVEL3]])</f>
        <v>Industrials</v>
      </c>
      <c r="K152" s="7" t="str">
        <f>INDEX(tblLvl2Mapping[],MATCH(tblCalculation[[#This Row],[B1Level2]]&amp;"_"&amp;tblCalculation[[#This Row],[B1Level3]],tblLvl2Mapping[B1Level2_B1Level3],0),2)</f>
        <v>Corporate</v>
      </c>
      <c r="L152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52" s="7">
        <f>INDEX(tblAttributable[],MATCH(tblCalculation[[#This Row],[Level3]],tblAttributable[Level3],0),2)</f>
        <v>1</v>
      </c>
      <c r="N152" s="16">
        <f>tblBOneExport[[#This Row],[PTF_WEIGHT]]</f>
        <v>2.5181429999999999E-4</v>
      </c>
      <c r="O152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3.0893317818658268E-4</v>
      </c>
      <c r="P152" s="48">
        <f>tblCalculation[[#This Row],[PtfDTS]]/SUM(tblCalculation[PtfDTS])</f>
        <v>3.7465031613907585E-5</v>
      </c>
      <c r="Q152" s="16">
        <f>tblBOneExport[[#This Row],[PTF_CONTRIBUTION]]</f>
        <v>6.2760000000000003E-7</v>
      </c>
      <c r="R152" s="16">
        <f>tblCalculation[[#This Row],[PtfContributionBase]]-tblCalculation[[#This Row],[PtfCurrencyReturn]]</f>
        <v>6.2760000000000003E-7</v>
      </c>
      <c r="S152" s="16">
        <f>IF(tblBOneExport[[#This Row],[LEVEL1]]="Bonds",tblBOneExport[[#This Row],[PTF_GOV_CARRY]],"")</f>
        <v>4.5400000000000003E-8</v>
      </c>
      <c r="T152" s="16">
        <f>tblCalculation[[#This Row],[FIAttributable]]*tblBOneExport[[#This Row],[PTF_CREDIT_CARRY]]</f>
        <v>2.1710000000000001E-7</v>
      </c>
      <c r="U152" s="16">
        <f>tblCalculation[[#This Row],[FIAttributable]]*tblBOneExport[[#This Row],[PTF_TOTAL_CURVE]]</f>
        <v>4.5320000000000001E-7</v>
      </c>
      <c r="V152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-1.0560000000000001E-7</v>
      </c>
      <c r="W152" s="16">
        <f>IF(AND(tblCalculation[[#This Row],[Level3]]="Forward Contracts",tblBOneExport[[#This Row],[PTF_COST_OF_CARRY]]=0),tblBOneExport[[#This Row],[PTF_VALUATION]],0)</f>
        <v>0</v>
      </c>
      <c r="X152" s="16">
        <f>SUM(tblCalculation[[#This Row],[PtfTrading]:[PtfModelRes]])</f>
        <v>1.7500000000000001E-8</v>
      </c>
      <c r="Y152" s="16">
        <f>tblCalculation[[#This Row],[FIAttributable]]*tblBOneExport[[#This Row],[PTF_TRADING]]</f>
        <v>0</v>
      </c>
      <c r="Z152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52" s="16">
        <f>tblCalculation[[#This Row],[FIAttributable]]*tblBOneExport[[#This Row],[PTF_MODEL_RESIDUAL]]-PTF_Credit_Adj*tblCalculation[[#This Row],[PtfDTSWeight]]</f>
        <v>1.7500000000000001E-8</v>
      </c>
      <c r="AB152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52" s="16">
        <f>tblBOneExport[[#This Row],[BMK_WEIGHT]]</f>
        <v>0</v>
      </c>
      <c r="AD152" s="78">
        <f>tblCalculation[[#This Row],[FIAttributable]]*SUMIFS(tblDTS[DTSContribution_BM],tblDTS[ISIN],tblCalculation[[#This Row],[ISIN]])</f>
        <v>0</v>
      </c>
      <c r="AE152" s="16">
        <f>IF(SUM(tblCalculation[BMKDTS])=0,0,tblCalculation[[#This Row],[BMKDTS]]/SUM(tblCalculation[BMKDTS]))</f>
        <v>0</v>
      </c>
      <c r="AF152" s="16">
        <f>tblBOneExport[[#This Row],[BMK_CONTRIBUTION]]</f>
        <v>0</v>
      </c>
      <c r="AG152" s="16">
        <f>tblCalculation[[#This Row],[BMKContributionBase]]-tblBOneExport[BMK_SPOT_CCY_RETURN]-tblBOneExport[[#This Row],[BMK_CROSS_EFFECT]]</f>
        <v>0</v>
      </c>
      <c r="AH152" s="16">
        <f>tblCalculation[[#This Row],[FIAttributable]]*(tblBOneExport[[#This Row],[BMK_RETURN_GOV_CARRY]])</f>
        <v>0</v>
      </c>
      <c r="AI152" s="16">
        <f>tblCalculation[[#This Row],[FIAttributable]]*tblBOneExport[[#This Row],[BMK_CREDIT_CARRY]]</f>
        <v>0</v>
      </c>
      <c r="AJ152" s="16">
        <f>tblCalculation[[#This Row],[FIAttributable]]*tblBOneExport[[#This Row],[BMK_TOTAL_CURVE]]</f>
        <v>0</v>
      </c>
      <c r="AK152" s="16">
        <f>tblCalculation[[#This Row],[FIAttributable]]*(tblBOneExport[[#This Row],[BMK_TOTAL_SPREAD]]+BMK_Credit_Adj*tblCalculation[[#This Row],[BmkDTSWeight]])</f>
        <v>0</v>
      </c>
      <c r="AL152" s="16">
        <f>tblCalculation[[#This Row],[FIAttributable]]*tblBOneExport[[#This Row],[BMK_MODEL_RESIDUAL]]-BMK_Credit_Adj*tblCalculation[[#This Row],[BmkDTSWeight]]</f>
        <v>0</v>
      </c>
      <c r="AM152" s="16">
        <f>IF(tblCalculation[[#This Row],[Level3]]="Forward Contracts",tblCalculation[[#This Row],[BMKContributionLocal]],0)</f>
        <v>0</v>
      </c>
      <c r="AN152" s="16">
        <f>tblBOneExport[[#This Row],[BMK_SPOT_CCY_RETURN]]+tblBOneExport[[#This Row],[BMK_CROSS_EFFECT]]</f>
        <v>0</v>
      </c>
    </row>
    <row r="153" spans="5:40" x14ac:dyDescent="0.25">
      <c r="E153" s="7" t="str">
        <f>tblBOneExport[[#This Row],[INSTRUMENT_CODE]]</f>
        <v>S01011844</v>
      </c>
      <c r="F153" s="7" t="str">
        <f>tblBOneExport[[#This Row],[INSTRUMENT]]</f>
        <v>SPD FINANCE UK 5.875 17/07/26</v>
      </c>
      <c r="G153" s="7" t="str">
        <f>IF(tblBOneExport[[#This Row],[ISIN]]&lt;&gt;"", tblBOneExport[[#This Row],[ISIN]],"")</f>
        <v>XS0649291944</v>
      </c>
      <c r="H153" s="7" t="str">
        <f>IF(tblCalculation[[#This Row],[B1Level2]]="CDS",tblBOneExport[[#This Row],[B1_TICKER]],IF(tblCalculation[[#This Row],[ISIN]]="","",INDEX(tblGetStaticData[Ticker],MATCH(tblCalculation[[#This Row],[ISIN]],tblGetStaticData[ISIN],0))))</f>
        <v>SPDIST</v>
      </c>
      <c r="I153" s="7" t="str">
        <f>IF(tblBOneExport[[#This Row],[INSTRUMENT_TYPE]]="Forward Contract","Forward Contract",tblBOneExport[LEVEL2])</f>
        <v>Corporates</v>
      </c>
      <c r="J153" s="7" t="str">
        <f>IF(tblBOneExport[[#This Row],[INSTRUMENT_TYPE]]="Forward Contract","Forward Contract",tblBOneExport[[#This Row],[LEVEL3]])</f>
        <v>Utilities</v>
      </c>
      <c r="K153" s="7" t="str">
        <f>INDEX(tblLvl2Mapping[],MATCH(tblCalculation[[#This Row],[B1Level2]]&amp;"_"&amp;tblCalculation[[#This Row],[B1Level3]],tblLvl2Mapping[B1Level2_B1Level3],0),2)</f>
        <v>Corporate</v>
      </c>
      <c r="L153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53" s="7">
        <f>INDEX(tblAttributable[],MATCH(tblCalculation[[#This Row],[Level3]],tblAttributable[Level3],0),2)</f>
        <v>1</v>
      </c>
      <c r="N153" s="16">
        <f>tblBOneExport[[#This Row],[PTF_WEIGHT]]</f>
        <v>2.2789211999999998E-3</v>
      </c>
      <c r="O153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1.6637445705912871E-2</v>
      </c>
      <c r="P153" s="48">
        <f>tblCalculation[[#This Row],[PtfDTS]]/SUM(tblCalculation[PtfDTS])</f>
        <v>2.0176610133154299E-3</v>
      </c>
      <c r="Q153" s="16">
        <f>tblBOneExport[[#This Row],[PTF_CONTRIBUTION]]</f>
        <v>3.67198E-5</v>
      </c>
      <c r="R153" s="16">
        <f>tblCalculation[[#This Row],[PtfContributionBase]]-tblCalculation[[#This Row],[PtfCurrencyReturn]]</f>
        <v>3.67198E-5</v>
      </c>
      <c r="S153" s="16">
        <f>IF(tblBOneExport[[#This Row],[LEVEL1]]="Bonds",tblBOneExport[[#This Row],[PTF_GOV_CARRY]],"")</f>
        <v>1.8945E-6</v>
      </c>
      <c r="T153" s="16">
        <f>tblCalculation[[#This Row],[FIAttributable]]*tblBOneExport[[#This Row],[PTF_CREDIT_CARRY]]</f>
        <v>2.1167E-6</v>
      </c>
      <c r="U153" s="16">
        <f>tblCalculation[[#This Row],[FIAttributable]]*tblBOneExport[[#This Row],[PTF_TOTAL_CURVE]]</f>
        <v>3.28939E-5</v>
      </c>
      <c r="V153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-1.3708000000000001E-6</v>
      </c>
      <c r="W153" s="16">
        <f>IF(AND(tblCalculation[[#This Row],[Level3]]="Forward Contracts",tblBOneExport[[#This Row],[PTF_COST_OF_CARRY]]=0),tblBOneExport[[#This Row],[PTF_VALUATION]],0)</f>
        <v>0</v>
      </c>
      <c r="X153" s="16">
        <f>SUM(tblCalculation[[#This Row],[PtfTrading]:[PtfModelRes]])</f>
        <v>1.1854999999999999E-6</v>
      </c>
      <c r="Y153" s="16">
        <f>tblCalculation[[#This Row],[FIAttributable]]*tblBOneExport[[#This Row],[PTF_TRADING]]</f>
        <v>0</v>
      </c>
      <c r="Z153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53" s="16">
        <f>tblCalculation[[#This Row],[FIAttributable]]*tblBOneExport[[#This Row],[PTF_MODEL_RESIDUAL]]-PTF_Credit_Adj*tblCalculation[[#This Row],[PtfDTSWeight]]</f>
        <v>1.1854999999999999E-6</v>
      </c>
      <c r="AB153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53" s="16">
        <f>tblBOneExport[[#This Row],[BMK_WEIGHT]]</f>
        <v>0</v>
      </c>
      <c r="AD153" s="78">
        <f>tblCalculation[[#This Row],[FIAttributable]]*SUMIFS(tblDTS[DTSContribution_BM],tblDTS[ISIN],tblCalculation[[#This Row],[ISIN]])</f>
        <v>2.1959596862155456E-2</v>
      </c>
      <c r="AE153" s="16">
        <f>IF(SUM(tblCalculation[BMKDTS])=0,0,tblCalculation[[#This Row],[BMKDTS]]/SUM(tblCalculation[BMKDTS]))</f>
        <v>2.6099042591703316E-3</v>
      </c>
      <c r="AF153" s="16">
        <f>tblBOneExport[[#This Row],[BMK_CONTRIBUTION]]</f>
        <v>0</v>
      </c>
      <c r="AG153" s="16">
        <f>tblCalculation[[#This Row],[BMKContributionBase]]-tblBOneExport[BMK_SPOT_CCY_RETURN]-tblBOneExport[[#This Row],[BMK_CROSS_EFFECT]]</f>
        <v>0</v>
      </c>
      <c r="AH153" s="16">
        <f>tblCalculation[[#This Row],[FIAttributable]]*(tblBOneExport[[#This Row],[BMK_RETURN_GOV_CARRY]])</f>
        <v>0</v>
      </c>
      <c r="AI153" s="16">
        <f>tblCalculation[[#This Row],[FIAttributable]]*tblBOneExport[[#This Row],[BMK_CREDIT_CARRY]]</f>
        <v>0</v>
      </c>
      <c r="AJ153" s="16">
        <f>tblCalculation[[#This Row],[FIAttributable]]*tblBOneExport[[#This Row],[BMK_TOTAL_CURVE]]</f>
        <v>0</v>
      </c>
      <c r="AK153" s="16">
        <f>tblCalculation[[#This Row],[FIAttributable]]*(tblBOneExport[[#This Row],[BMK_TOTAL_SPREAD]]+BMK_Credit_Adj*tblCalculation[[#This Row],[BmkDTSWeight]])</f>
        <v>0</v>
      </c>
      <c r="AL153" s="16">
        <f>tblCalculation[[#This Row],[FIAttributable]]*tblBOneExport[[#This Row],[BMK_MODEL_RESIDUAL]]-BMK_Credit_Adj*tblCalculation[[#This Row],[BmkDTSWeight]]</f>
        <v>0</v>
      </c>
      <c r="AM153" s="16">
        <f>IF(tblCalculation[[#This Row],[Level3]]="Forward Contracts",tblCalculation[[#This Row],[BMKContributionLocal]],0)</f>
        <v>0</v>
      </c>
      <c r="AN153" s="16">
        <f>tblBOneExport[[#This Row],[BMK_SPOT_CCY_RETURN]]+tblBOneExport[[#This Row],[BMK_CROSS_EFFECT]]</f>
        <v>0</v>
      </c>
    </row>
    <row r="154" spans="5:40" x14ac:dyDescent="0.25">
      <c r="E154" s="7" t="str">
        <f>tblBOneExport[[#This Row],[INSTRUMENT_CODE]]</f>
        <v>B5TZ709</v>
      </c>
      <c r="F154" s="7" t="str">
        <f>tblBOneExport[[#This Row],[INSTRUMENT]]</f>
        <v>EDF NRG NET EPN 4.75 30/09/21 EMTN</v>
      </c>
      <c r="G154" s="7" t="str">
        <f>IF(tblBOneExport[[#This Row],[ISIN]]&lt;&gt;"", tblBOneExport[[#This Row],[ISIN]],"")</f>
        <v>XS0686172601</v>
      </c>
      <c r="H154" s="7" t="str">
        <f>IF(tblCalculation[[#This Row],[B1Level2]]="CDS",tblBOneExport[[#This Row],[B1_TICKER]],IF(tblCalculation[[#This Row],[ISIN]]="","",INDEX(tblGetStaticData[Ticker],MATCH(tblCalculation[[#This Row],[ISIN]],tblGetStaticData[ISIN],0))))</f>
        <v>UKPONE</v>
      </c>
      <c r="I154" s="7" t="str">
        <f>IF(tblBOneExport[[#This Row],[INSTRUMENT_TYPE]]="Forward Contract","Forward Contract",tblBOneExport[LEVEL2])</f>
        <v>Corporates</v>
      </c>
      <c r="J154" s="7" t="str">
        <f>IF(tblBOneExport[[#This Row],[INSTRUMENT_TYPE]]="Forward Contract","Forward Contract",tblBOneExport[[#This Row],[LEVEL3]])</f>
        <v>Utilities</v>
      </c>
      <c r="K154" s="7" t="str">
        <f>INDEX(tblLvl2Mapping[],MATCH(tblCalculation[[#This Row],[B1Level2]]&amp;"_"&amp;tblCalculation[[#This Row],[B1Level3]],tblLvl2Mapping[B1Level2_B1Level3],0),2)</f>
        <v>Corporate</v>
      </c>
      <c r="L154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54" s="7">
        <f>INDEX(tblAttributable[],MATCH(tblCalculation[[#This Row],[Level3]],tblAttributable[Level3],0),2)</f>
        <v>1</v>
      </c>
      <c r="N154" s="16">
        <f>tblBOneExport[[#This Row],[PTF_WEIGHT]]</f>
        <v>1.3736993E-3</v>
      </c>
      <c r="O154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1.9631534274692553E-3</v>
      </c>
      <c r="P154" s="48">
        <f>tblCalculation[[#This Row],[PtfDTS]]/SUM(tblCalculation[PtfDTS])</f>
        <v>2.3807609676247142E-4</v>
      </c>
      <c r="Q154" s="16">
        <f>tblBOneExport[[#This Row],[PTF_CONTRIBUTION]]</f>
        <v>7.2328999999999998E-6</v>
      </c>
      <c r="R154" s="16">
        <f>tblCalculation[[#This Row],[PtfContributionBase]]-tblCalculation[[#This Row],[PtfCurrencyReturn]]</f>
        <v>7.2328999999999998E-6</v>
      </c>
      <c r="S154" s="16">
        <f>IF(tblBOneExport[[#This Row],[LEVEL1]]="Bonds",tblBOneExport[[#This Row],[PTF_GOV_CARRY]],"")</f>
        <v>3.8700000000000001E-7</v>
      </c>
      <c r="T154" s="16">
        <f>tblCalculation[[#This Row],[FIAttributable]]*tblBOneExport[[#This Row],[PTF_CREDIT_CARRY]]</f>
        <v>9.3070000000000004E-7</v>
      </c>
      <c r="U154" s="16">
        <f>tblCalculation[[#This Row],[FIAttributable]]*tblBOneExport[[#This Row],[PTF_TOTAL_CURVE]]</f>
        <v>7.4178000000000004E-6</v>
      </c>
      <c r="V154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-1.4839000000000001E-6</v>
      </c>
      <c r="W154" s="16">
        <f>IF(AND(tblCalculation[[#This Row],[Level3]]="Forward Contracts",tblBOneExport[[#This Row],[PTF_COST_OF_CARRY]]=0),tblBOneExport[[#This Row],[PTF_VALUATION]],0)</f>
        <v>0</v>
      </c>
      <c r="X154" s="16">
        <f>SUM(tblCalculation[[#This Row],[PtfTrading]:[PtfModelRes]])</f>
        <v>-1.8699999999999999E-8</v>
      </c>
      <c r="Y154" s="16">
        <f>tblCalculation[[#This Row],[FIAttributable]]*tblBOneExport[[#This Row],[PTF_TRADING]]</f>
        <v>0</v>
      </c>
      <c r="Z154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54" s="16">
        <f>tblCalculation[[#This Row],[FIAttributable]]*tblBOneExport[[#This Row],[PTF_MODEL_RESIDUAL]]-PTF_Credit_Adj*tblCalculation[[#This Row],[PtfDTSWeight]]</f>
        <v>-1.8699999999999999E-8</v>
      </c>
      <c r="AB154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54" s="16">
        <f>tblBOneExport[[#This Row],[BMK_WEIGHT]]</f>
        <v>0</v>
      </c>
      <c r="AD154" s="78">
        <f>tblCalculation[[#This Row],[FIAttributable]]*SUMIFS(tblDTS[DTSContribution_BM],tblDTS[ISIN],tblCalculation[[#This Row],[ISIN]])</f>
        <v>2.591179646996419E-3</v>
      </c>
      <c r="AE154" s="16">
        <f>IF(SUM(tblCalculation[BMKDTS])=0,0,tblCalculation[[#This Row],[BMKDTS]]/SUM(tblCalculation[BMKDTS]))</f>
        <v>3.0796242933886134E-4</v>
      </c>
      <c r="AF154" s="16">
        <f>tblBOneExport[[#This Row],[BMK_CONTRIBUTION]]</f>
        <v>0</v>
      </c>
      <c r="AG154" s="16">
        <f>tblCalculation[[#This Row],[BMKContributionBase]]-tblBOneExport[BMK_SPOT_CCY_RETURN]-tblBOneExport[[#This Row],[BMK_CROSS_EFFECT]]</f>
        <v>0</v>
      </c>
      <c r="AH154" s="16">
        <f>tblCalculation[[#This Row],[FIAttributable]]*(tblBOneExport[[#This Row],[BMK_RETURN_GOV_CARRY]])</f>
        <v>0</v>
      </c>
      <c r="AI154" s="16">
        <f>tblCalculation[[#This Row],[FIAttributable]]*tblBOneExport[[#This Row],[BMK_CREDIT_CARRY]]</f>
        <v>0</v>
      </c>
      <c r="AJ154" s="16">
        <f>tblCalculation[[#This Row],[FIAttributable]]*tblBOneExport[[#This Row],[BMK_TOTAL_CURVE]]</f>
        <v>0</v>
      </c>
      <c r="AK154" s="16">
        <f>tblCalculation[[#This Row],[FIAttributable]]*(tblBOneExport[[#This Row],[BMK_TOTAL_SPREAD]]+BMK_Credit_Adj*tblCalculation[[#This Row],[BmkDTSWeight]])</f>
        <v>0</v>
      </c>
      <c r="AL154" s="16">
        <f>tblCalculation[[#This Row],[FIAttributable]]*tblBOneExport[[#This Row],[BMK_MODEL_RESIDUAL]]-BMK_Credit_Adj*tblCalculation[[#This Row],[BmkDTSWeight]]</f>
        <v>0</v>
      </c>
      <c r="AM154" s="16">
        <f>IF(tblCalculation[[#This Row],[Level3]]="Forward Contracts",tblCalculation[[#This Row],[BMKContributionLocal]],0)</f>
        <v>0</v>
      </c>
      <c r="AN154" s="16">
        <f>tblBOneExport[[#This Row],[BMK_SPOT_CCY_RETURN]]+tblBOneExport[[#This Row],[BMK_CROSS_EFFECT]]</f>
        <v>0</v>
      </c>
    </row>
    <row r="155" spans="5:40" x14ac:dyDescent="0.25">
      <c r="E155" s="7" t="str">
        <f>tblBOneExport[[#This Row],[INSTRUMENT_CODE]]</f>
        <v>B41N3F1</v>
      </c>
      <c r="F155" s="7" t="str">
        <f>tblBOneExport[[#This Row],[INSTRUMENT]]</f>
        <v>AMERICA MOVIL SA 5 27/10/26</v>
      </c>
      <c r="G155" s="7" t="str">
        <f>IF(tblBOneExport[[#This Row],[ISIN]]&lt;&gt;"", tblBOneExport[[#This Row],[ISIN]],"")</f>
        <v>XS0699618350</v>
      </c>
      <c r="H155" s="7" t="str">
        <f>IF(tblCalculation[[#This Row],[B1Level2]]="CDS",tblBOneExport[[#This Row],[B1_TICKER]],IF(tblCalculation[[#This Row],[ISIN]]="","",INDEX(tblGetStaticData[Ticker],MATCH(tblCalculation[[#This Row],[ISIN]],tblGetStaticData[ISIN],0))))</f>
        <v>AMXLMM</v>
      </c>
      <c r="I155" s="7" t="str">
        <f>IF(tblBOneExport[[#This Row],[INSTRUMENT_TYPE]]="Forward Contract","Forward Contract",tblBOneExport[LEVEL2])</f>
        <v>Corporates</v>
      </c>
      <c r="J155" s="7" t="str">
        <f>IF(tblBOneExport[[#This Row],[INSTRUMENT_TYPE]]="Forward Contract","Forward Contract",tblBOneExport[[#This Row],[LEVEL3]])</f>
        <v>Industrials</v>
      </c>
      <c r="K155" s="7" t="str">
        <f>INDEX(tblLvl2Mapping[],MATCH(tblCalculation[[#This Row],[B1Level2]]&amp;"_"&amp;tblCalculation[[#This Row],[B1Level3]],tblLvl2Mapping[B1Level2_B1Level3],0),2)</f>
        <v>Corporate</v>
      </c>
      <c r="L155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55" s="7">
        <f>INDEX(tblAttributable[],MATCH(tblCalculation[[#This Row],[Level3]],tblAttributable[Level3],0),2)</f>
        <v>1</v>
      </c>
      <c r="N155" s="16">
        <f>tblBOneExport[[#This Row],[PTF_WEIGHT]]</f>
        <v>4.2381531999999998E-3</v>
      </c>
      <c r="O155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3.7970173213080501E-2</v>
      </c>
      <c r="P155" s="48">
        <f>tblCalculation[[#This Row],[PtfDTS]]/SUM(tblCalculation[PtfDTS])</f>
        <v>4.6047295669694793E-3</v>
      </c>
      <c r="Q155" s="16">
        <f>tblBOneExport[[#This Row],[PTF_CONTRIBUTION]]</f>
        <v>7.1794799999999999E-5</v>
      </c>
      <c r="R155" s="16">
        <f>tblCalculation[[#This Row],[PtfContributionBase]]-tblCalculation[[#This Row],[PtfCurrencyReturn]]</f>
        <v>7.1794799999999999E-5</v>
      </c>
      <c r="S155" s="16">
        <f>IF(tblBOneExport[[#This Row],[LEVEL1]]="Bonds",tblBOneExport[[#This Row],[PTF_GOV_CARRY]],"")</f>
        <v>3.6275E-6</v>
      </c>
      <c r="T155" s="16">
        <f>tblCalculation[[#This Row],[FIAttributable]]*tblBOneExport[[#This Row],[PTF_CREDIT_CARRY]]</f>
        <v>4.6464000000000001E-6</v>
      </c>
      <c r="U155" s="16">
        <f>tblCalculation[[#This Row],[FIAttributable]]*tblBOneExport[[#This Row],[PTF_TOTAL_CURVE]]</f>
        <v>6.1596900000000007E-5</v>
      </c>
      <c r="V155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3.5109999999999999E-6</v>
      </c>
      <c r="W155" s="16">
        <f>IF(AND(tblCalculation[[#This Row],[Level3]]="Forward Contracts",tblBOneExport[[#This Row],[PTF_COST_OF_CARRY]]=0),tblBOneExport[[#This Row],[PTF_VALUATION]],0)</f>
        <v>0</v>
      </c>
      <c r="X155" s="16">
        <f>SUM(tblCalculation[[#This Row],[PtfTrading]:[PtfModelRes]])</f>
        <v>-1.587E-6</v>
      </c>
      <c r="Y155" s="16">
        <f>tblCalculation[[#This Row],[FIAttributable]]*tblBOneExport[[#This Row],[PTF_TRADING]]</f>
        <v>0</v>
      </c>
      <c r="Z155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55" s="16">
        <f>tblCalculation[[#This Row],[FIAttributable]]*tblBOneExport[[#This Row],[PTF_MODEL_RESIDUAL]]-PTF_Credit_Adj*tblCalculation[[#This Row],[PtfDTSWeight]]</f>
        <v>-1.587E-6</v>
      </c>
      <c r="AB155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55" s="16">
        <f>tblBOneExport[[#This Row],[BMK_WEIGHT]]</f>
        <v>0</v>
      </c>
      <c r="AD155" s="78">
        <f>tblCalculation[[#This Row],[FIAttributable]]*SUMIFS(tblDTS[DTSContribution_BM],tblDTS[ISIN],tblCalculation[[#This Row],[ISIN]])</f>
        <v>2.5922846295134638E-2</v>
      </c>
      <c r="AE155" s="16">
        <f>IF(SUM(tblCalculation[BMKDTS])=0,0,tblCalculation[[#This Row],[BMKDTS]]/SUM(tblCalculation[BMKDTS]))</f>
        <v>3.0809375682158547E-3</v>
      </c>
      <c r="AF155" s="16">
        <f>tblBOneExport[[#This Row],[BMK_CONTRIBUTION]]</f>
        <v>0</v>
      </c>
      <c r="AG155" s="16">
        <f>tblCalculation[[#This Row],[BMKContributionBase]]-tblBOneExport[BMK_SPOT_CCY_RETURN]-tblBOneExport[[#This Row],[BMK_CROSS_EFFECT]]</f>
        <v>0</v>
      </c>
      <c r="AH155" s="16">
        <f>tblCalculation[[#This Row],[FIAttributable]]*(tblBOneExport[[#This Row],[BMK_RETURN_GOV_CARRY]])</f>
        <v>0</v>
      </c>
      <c r="AI155" s="16">
        <f>tblCalculation[[#This Row],[FIAttributable]]*tblBOneExport[[#This Row],[BMK_CREDIT_CARRY]]</f>
        <v>0</v>
      </c>
      <c r="AJ155" s="16">
        <f>tblCalculation[[#This Row],[FIAttributable]]*tblBOneExport[[#This Row],[BMK_TOTAL_CURVE]]</f>
        <v>0</v>
      </c>
      <c r="AK155" s="16">
        <f>tblCalculation[[#This Row],[FIAttributable]]*(tblBOneExport[[#This Row],[BMK_TOTAL_SPREAD]]+BMK_Credit_Adj*tblCalculation[[#This Row],[BmkDTSWeight]])</f>
        <v>0</v>
      </c>
      <c r="AL155" s="16">
        <f>tblCalculation[[#This Row],[FIAttributable]]*tblBOneExport[[#This Row],[BMK_MODEL_RESIDUAL]]-BMK_Credit_Adj*tblCalculation[[#This Row],[BmkDTSWeight]]</f>
        <v>0</v>
      </c>
      <c r="AM155" s="16">
        <f>IF(tblCalculation[[#This Row],[Level3]]="Forward Contracts",tblCalculation[[#This Row],[BMKContributionLocal]],0)</f>
        <v>0</v>
      </c>
      <c r="AN155" s="16">
        <f>tblBOneExport[[#This Row],[BMK_SPOT_CCY_RETURN]]+tblBOneExport[[#This Row],[BMK_CROSS_EFFECT]]</f>
        <v>0</v>
      </c>
    </row>
    <row r="156" spans="5:40" x14ac:dyDescent="0.25">
      <c r="E156" s="7" t="str">
        <f>tblBOneExport[[#This Row],[INSTRUMENT_CODE]]</f>
        <v>B5BDN69</v>
      </c>
      <c r="F156" s="7" t="str">
        <f>tblBOneExport[[#This Row],[INSTRUMENT]]</f>
        <v>WALES &amp; WEST 5 07/03/28 EMTN</v>
      </c>
      <c r="G156" s="7" t="str">
        <f>IF(tblBOneExport[[#This Row],[ISIN]]&lt;&gt;"", tblBOneExport[[#This Row],[ISIN]],"")</f>
        <v>XS0702020933</v>
      </c>
      <c r="H156" s="7" t="str">
        <f>IF(tblCalculation[[#This Row],[B1Level2]]="CDS",tblBOneExport[[#This Row],[B1_TICKER]],IF(tblCalculation[[#This Row],[ISIN]]="","",INDEX(tblGetStaticData[Ticker],MATCH(tblCalculation[[#This Row],[ISIN]],tblGetStaticData[ISIN],0))))</f>
        <v>WWUF</v>
      </c>
      <c r="I156" s="7" t="str">
        <f>IF(tblBOneExport[[#This Row],[INSTRUMENT_TYPE]]="Forward Contract","Forward Contract",tblBOneExport[LEVEL2])</f>
        <v>Corporates</v>
      </c>
      <c r="J156" s="7" t="str">
        <f>IF(tblBOneExport[[#This Row],[INSTRUMENT_TYPE]]="Forward Contract","Forward Contract",tblBOneExport[[#This Row],[LEVEL3]])</f>
        <v>Utilities</v>
      </c>
      <c r="K156" s="7" t="str">
        <f>INDEX(tblLvl2Mapping[],MATCH(tblCalculation[[#This Row],[B1Level2]]&amp;"_"&amp;tblCalculation[[#This Row],[B1Level3]],tblLvl2Mapping[B1Level2_B1Level3],0),2)</f>
        <v>Corporate</v>
      </c>
      <c r="L156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56" s="7">
        <f>INDEX(tblAttributable[],MATCH(tblCalculation[[#This Row],[Level3]],tblAttributable[Level3],0),2)</f>
        <v>1</v>
      </c>
      <c r="N156" s="16">
        <f>tblBOneExport[[#This Row],[PTF_WEIGHT]]</f>
        <v>1.204526E-3</v>
      </c>
      <c r="O156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9.0506518117920692E-3</v>
      </c>
      <c r="P156" s="48">
        <f>tblCalculation[[#This Row],[PtfDTS]]/SUM(tblCalculation[PtfDTS])</f>
        <v>1.0975932020175184E-3</v>
      </c>
      <c r="Q156" s="16">
        <f>tblBOneExport[[#This Row],[PTF_CONTRIBUTION]]</f>
        <v>2.41819E-5</v>
      </c>
      <c r="R156" s="16">
        <f>tblCalculation[[#This Row],[PtfContributionBase]]-tblCalculation[[#This Row],[PtfCurrencyReturn]]</f>
        <v>2.41819E-5</v>
      </c>
      <c r="S156" s="16">
        <f>IF(tblBOneExport[[#This Row],[LEVEL1]]="Bonds",tblBOneExport[[#This Row],[PTF_GOV_CARRY]],"")</f>
        <v>1.1909999999999999E-6</v>
      </c>
      <c r="T156" s="16">
        <f>tblCalculation[[#This Row],[FIAttributable]]*tblBOneExport[[#This Row],[PTF_CREDIT_CARRY]]</f>
        <v>9.1429999999999997E-7</v>
      </c>
      <c r="U156" s="16">
        <f>tblCalculation[[#This Row],[FIAttributable]]*tblBOneExport[[#This Row],[PTF_TOTAL_CURVE]]</f>
        <v>2.0805299999999999E-5</v>
      </c>
      <c r="V156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3.1699999999999999E-7</v>
      </c>
      <c r="W156" s="16">
        <f>IF(AND(tblCalculation[[#This Row],[Level3]]="Forward Contracts",tblBOneExport[[#This Row],[PTF_COST_OF_CARRY]]=0),tblBOneExport[[#This Row],[PTF_VALUATION]],0)</f>
        <v>0</v>
      </c>
      <c r="X156" s="16">
        <f>SUM(tblCalculation[[#This Row],[PtfTrading]:[PtfModelRes]])</f>
        <v>9.541999999999999E-7</v>
      </c>
      <c r="Y156" s="16">
        <f>tblCalculation[[#This Row],[FIAttributable]]*tblBOneExport[[#This Row],[PTF_TRADING]]</f>
        <v>0</v>
      </c>
      <c r="Z156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56" s="16">
        <f>tblCalculation[[#This Row],[FIAttributable]]*tblBOneExport[[#This Row],[PTF_MODEL_RESIDUAL]]-PTF_Credit_Adj*tblCalculation[[#This Row],[PtfDTSWeight]]</f>
        <v>9.541999999999999E-7</v>
      </c>
      <c r="AB156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56" s="16">
        <f>tblBOneExport[[#This Row],[BMK_WEIGHT]]</f>
        <v>0</v>
      </c>
      <c r="AD156" s="78">
        <f>tblCalculation[[#This Row],[FIAttributable]]*SUMIFS(tblDTS[DTSContribution_BM],tblDTS[ISIN],tblCalculation[[#This Row],[ISIN]])</f>
        <v>0</v>
      </c>
      <c r="AE156" s="16">
        <f>IF(SUM(tblCalculation[BMKDTS])=0,0,tblCalculation[[#This Row],[BMKDTS]]/SUM(tblCalculation[BMKDTS]))</f>
        <v>0</v>
      </c>
      <c r="AF156" s="16">
        <f>tblBOneExport[[#This Row],[BMK_CONTRIBUTION]]</f>
        <v>0</v>
      </c>
      <c r="AG156" s="16">
        <f>tblCalculation[[#This Row],[BMKContributionBase]]-tblBOneExport[BMK_SPOT_CCY_RETURN]-tblBOneExport[[#This Row],[BMK_CROSS_EFFECT]]</f>
        <v>0</v>
      </c>
      <c r="AH156" s="16">
        <f>tblCalculation[[#This Row],[FIAttributable]]*(tblBOneExport[[#This Row],[BMK_RETURN_GOV_CARRY]])</f>
        <v>0</v>
      </c>
      <c r="AI156" s="16">
        <f>tblCalculation[[#This Row],[FIAttributable]]*tblBOneExport[[#This Row],[BMK_CREDIT_CARRY]]</f>
        <v>0</v>
      </c>
      <c r="AJ156" s="16">
        <f>tblCalculation[[#This Row],[FIAttributable]]*tblBOneExport[[#This Row],[BMK_TOTAL_CURVE]]</f>
        <v>0</v>
      </c>
      <c r="AK156" s="16">
        <f>tblCalculation[[#This Row],[FIAttributable]]*(tblBOneExport[[#This Row],[BMK_TOTAL_SPREAD]]+BMK_Credit_Adj*tblCalculation[[#This Row],[BmkDTSWeight]])</f>
        <v>0</v>
      </c>
      <c r="AL156" s="16">
        <f>tblCalculation[[#This Row],[FIAttributable]]*tblBOneExport[[#This Row],[BMK_MODEL_RESIDUAL]]-BMK_Credit_Adj*tblCalculation[[#This Row],[BmkDTSWeight]]</f>
        <v>0</v>
      </c>
      <c r="AM156" s="16">
        <f>IF(tblCalculation[[#This Row],[Level3]]="Forward Contracts",tblCalculation[[#This Row],[BMKContributionLocal]],0)</f>
        <v>0</v>
      </c>
      <c r="AN156" s="16">
        <f>tblBOneExport[[#This Row],[BMK_SPOT_CCY_RETURN]]+tblBOneExport[[#This Row],[BMK_CROSS_EFFECT]]</f>
        <v>0</v>
      </c>
    </row>
    <row r="157" spans="5:40" x14ac:dyDescent="0.25">
      <c r="E157" s="7" t="str">
        <f>tblBOneExport[[#This Row],[INSTRUMENT_CODE]]</f>
        <v>B6TV9M0</v>
      </c>
      <c r="F157" s="7" t="str">
        <f>tblBOneExport[[#This Row],[INSTRUMENT]]</f>
        <v>WALES &amp; WEST 4.625 13/12/23 EMTN</v>
      </c>
      <c r="G157" s="7" t="str">
        <f>IF(tblBOneExport[[#This Row],[ISIN]]&lt;&gt;"", tblBOneExport[[#This Row],[ISIN]],"")</f>
        <v>XS0702021311</v>
      </c>
      <c r="H157" s="7" t="str">
        <f>IF(tblCalculation[[#This Row],[B1Level2]]="CDS",tblBOneExport[[#This Row],[B1_TICKER]],IF(tblCalculation[[#This Row],[ISIN]]="","",INDEX(tblGetStaticData[Ticker],MATCH(tblCalculation[[#This Row],[ISIN]],tblGetStaticData[ISIN],0))))</f>
        <v>WWUF</v>
      </c>
      <c r="I157" s="7" t="str">
        <f>IF(tblBOneExport[[#This Row],[INSTRUMENT_TYPE]]="Forward Contract","Forward Contract",tblBOneExport[LEVEL2])</f>
        <v>Corporates</v>
      </c>
      <c r="J157" s="7" t="str">
        <f>IF(tblBOneExport[[#This Row],[INSTRUMENT_TYPE]]="Forward Contract","Forward Contract",tblBOneExport[[#This Row],[LEVEL3]])</f>
        <v>Utilities</v>
      </c>
      <c r="K157" s="7" t="str">
        <f>INDEX(tblLvl2Mapping[],MATCH(tblCalculation[[#This Row],[B1Level2]]&amp;"_"&amp;tblCalculation[[#This Row],[B1Level3]],tblLvl2Mapping[B1Level2_B1Level3],0),2)</f>
        <v>Corporate</v>
      </c>
      <c r="L157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57" s="7">
        <f>INDEX(tblAttributable[],MATCH(tblCalculation[[#This Row],[Level3]],tblAttributable[Level3],0),2)</f>
        <v>1</v>
      </c>
      <c r="N157" s="16">
        <f>tblBOneExport[[#This Row],[PTF_WEIGHT]]</f>
        <v>6.6041371999999996E-3</v>
      </c>
      <c r="O157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2.1611624648842732E-2</v>
      </c>
      <c r="P157" s="48">
        <f>tblCalculation[[#This Row],[PtfDTS]]/SUM(tblCalculation[PtfDTS])</f>
        <v>2.6208910465673084E-3</v>
      </c>
      <c r="Q157" s="16">
        <f>tblBOneExport[[#This Row],[PTF_CONTRIBUTION]]</f>
        <v>7.1598099999999995E-5</v>
      </c>
      <c r="R157" s="16">
        <f>tblCalculation[[#This Row],[PtfContributionBase]]-tblCalculation[[#This Row],[PtfCurrencyReturn]]</f>
        <v>7.1598099999999995E-5</v>
      </c>
      <c r="S157" s="16">
        <f>IF(tblBOneExport[[#This Row],[LEVEL1]]="Bonds",tblBOneExport[[#This Row],[PTF_GOV_CARRY]],"")</f>
        <v>3.7050000000000001E-6</v>
      </c>
      <c r="T157" s="16">
        <f>tblCalculation[[#This Row],[FIAttributable]]*tblBOneExport[[#This Row],[PTF_CREDIT_CARRY]]</f>
        <v>4.7737999999999999E-6</v>
      </c>
      <c r="U157" s="16">
        <f>tblCalculation[[#This Row],[FIAttributable]]*tblBOneExport[[#This Row],[PTF_TOTAL_CURVE]]</f>
        <v>5.3767300000000003E-5</v>
      </c>
      <c r="V157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1.22619E-5</v>
      </c>
      <c r="W157" s="16">
        <f>IF(AND(tblCalculation[[#This Row],[Level3]]="Forward Contracts",tblBOneExport[[#This Row],[PTF_COST_OF_CARRY]]=0),tblBOneExport[[#This Row],[PTF_VALUATION]],0)</f>
        <v>0</v>
      </c>
      <c r="X157" s="16">
        <f>SUM(tblCalculation[[#This Row],[PtfTrading]:[PtfModelRes]])</f>
        <v>-2.9098999999999999E-6</v>
      </c>
      <c r="Y157" s="16">
        <f>tblCalculation[[#This Row],[FIAttributable]]*tblBOneExport[[#This Row],[PTF_TRADING]]</f>
        <v>0</v>
      </c>
      <c r="Z157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57" s="16">
        <f>tblCalculation[[#This Row],[FIAttributable]]*tblBOneExport[[#This Row],[PTF_MODEL_RESIDUAL]]-PTF_Credit_Adj*tblCalculation[[#This Row],[PtfDTSWeight]]</f>
        <v>-2.9098999999999999E-6</v>
      </c>
      <c r="AB157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57" s="16">
        <f>tblBOneExport[[#This Row],[BMK_WEIGHT]]</f>
        <v>0</v>
      </c>
      <c r="AD157" s="78">
        <f>tblCalculation[[#This Row],[FIAttributable]]*SUMIFS(tblDTS[DTSContribution_BM],tblDTS[ISIN],tblCalculation[[#This Row],[ISIN]])</f>
        <v>2.4378325726548605E-2</v>
      </c>
      <c r="AE157" s="16">
        <f>IF(SUM(tblCalculation[BMKDTS])=0,0,tblCalculation[[#This Row],[BMKDTS]]/SUM(tblCalculation[BMKDTS]))</f>
        <v>2.897370864526687E-3</v>
      </c>
      <c r="AF157" s="16">
        <f>tblBOneExport[[#This Row],[BMK_CONTRIBUTION]]</f>
        <v>0</v>
      </c>
      <c r="AG157" s="16">
        <f>tblCalculation[[#This Row],[BMKContributionBase]]-tblBOneExport[BMK_SPOT_CCY_RETURN]-tblBOneExport[[#This Row],[BMK_CROSS_EFFECT]]</f>
        <v>0</v>
      </c>
      <c r="AH157" s="16">
        <f>tblCalculation[[#This Row],[FIAttributable]]*(tblBOneExport[[#This Row],[BMK_RETURN_GOV_CARRY]])</f>
        <v>0</v>
      </c>
      <c r="AI157" s="16">
        <f>tblCalculation[[#This Row],[FIAttributable]]*tblBOneExport[[#This Row],[BMK_CREDIT_CARRY]]</f>
        <v>0</v>
      </c>
      <c r="AJ157" s="16">
        <f>tblCalculation[[#This Row],[FIAttributable]]*tblBOneExport[[#This Row],[BMK_TOTAL_CURVE]]</f>
        <v>0</v>
      </c>
      <c r="AK157" s="16">
        <f>tblCalculation[[#This Row],[FIAttributable]]*(tblBOneExport[[#This Row],[BMK_TOTAL_SPREAD]]+BMK_Credit_Adj*tblCalculation[[#This Row],[BmkDTSWeight]])</f>
        <v>0</v>
      </c>
      <c r="AL157" s="16">
        <f>tblCalculation[[#This Row],[FIAttributable]]*tblBOneExport[[#This Row],[BMK_MODEL_RESIDUAL]]-BMK_Credit_Adj*tblCalculation[[#This Row],[BmkDTSWeight]]</f>
        <v>0</v>
      </c>
      <c r="AM157" s="16">
        <f>IF(tblCalculation[[#This Row],[Level3]]="Forward Contracts",tblCalculation[[#This Row],[BMKContributionLocal]],0)</f>
        <v>0</v>
      </c>
      <c r="AN157" s="16">
        <f>tblBOneExport[[#This Row],[BMK_SPOT_CCY_RETURN]]+tblBOneExport[[#This Row],[BMK_CROSS_EFFECT]]</f>
        <v>0</v>
      </c>
    </row>
    <row r="158" spans="5:40" x14ac:dyDescent="0.25">
      <c r="E158" s="7" t="str">
        <f>tblBOneExport[[#This Row],[INSTRUMENT_CODE]]</f>
        <v>B7581Q0</v>
      </c>
      <c r="F158" s="7" t="str">
        <f>tblBOneExport[[#This Row],[INSTRUMENT]]</f>
        <v>ABP FINANCE PLC 6.25 14/12/26 EMTN</v>
      </c>
      <c r="G158" s="7" t="str">
        <f>IF(tblBOneExport[[#This Row],[ISIN]]&lt;&gt;"", tblBOneExport[[#This Row],[ISIN]],"")</f>
        <v>XS0718981995</v>
      </c>
      <c r="H158" s="7" t="str">
        <f>IF(tblCalculation[[#This Row],[B1Level2]]="CDS",tblBOneExport[[#This Row],[B1_TICKER]],IF(tblCalculation[[#This Row],[ISIN]]="","",INDEX(tblGetStaticData[Ticker],MATCH(tblCalculation[[#This Row],[ISIN]],tblGetStaticData[ISIN],0))))</f>
        <v>ABPFIN</v>
      </c>
      <c r="I158" s="7" t="str">
        <f>IF(tblBOneExport[[#This Row],[INSTRUMENT_TYPE]]="Forward Contract","Forward Contract",tblBOneExport[LEVEL2])</f>
        <v>Corporates</v>
      </c>
      <c r="J158" s="7" t="str">
        <f>IF(tblBOneExport[[#This Row],[INSTRUMENT_TYPE]]="Forward Contract","Forward Contract",tblBOneExport[[#This Row],[LEVEL3]])</f>
        <v>Industrials</v>
      </c>
      <c r="K158" s="7" t="str">
        <f>INDEX(tblLvl2Mapping[],MATCH(tblCalculation[[#This Row],[B1Level2]]&amp;"_"&amp;tblCalculation[[#This Row],[B1Level3]],tblLvl2Mapping[B1Level2_B1Level3],0),2)</f>
        <v>Corporate</v>
      </c>
      <c r="L158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58" s="7">
        <f>INDEX(tblAttributable[],MATCH(tblCalculation[[#This Row],[Level3]],tblAttributable[Level3],0),2)</f>
        <v>1</v>
      </c>
      <c r="N158" s="16">
        <f>tblBOneExport[[#This Row],[PTF_WEIGHT]]</f>
        <v>6.3139536E-3</v>
      </c>
      <c r="O158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7.3639477957918031E-2</v>
      </c>
      <c r="P158" s="48">
        <f>tblCalculation[[#This Row],[PtfDTS]]/SUM(tblCalculation[PtfDTS])</f>
        <v>8.9304275633962076E-3</v>
      </c>
      <c r="Q158" s="16">
        <f>tblBOneExport[[#This Row],[PTF_CONTRIBUTION]]</f>
        <v>9.8828500000000004E-5</v>
      </c>
      <c r="R158" s="16">
        <f>tblCalculation[[#This Row],[PtfContributionBase]]-tblCalculation[[#This Row],[PtfCurrencyReturn]]</f>
        <v>9.8828500000000004E-5</v>
      </c>
      <c r="S158" s="16">
        <f>IF(tblBOneExport[[#This Row],[LEVEL1]]="Bonds",tblBOneExport[[#This Row],[PTF_GOV_CARRY]],"")</f>
        <v>5.4558999999999997E-6</v>
      </c>
      <c r="T158" s="16">
        <f>tblCalculation[[#This Row],[FIAttributable]]*tblBOneExport[[#This Row],[PTF_CREDIT_CARRY]]</f>
        <v>8.8655000000000001E-6</v>
      </c>
      <c r="U158" s="16">
        <f>tblCalculation[[#This Row],[FIAttributable]]*tblBOneExport[[#This Row],[PTF_TOTAL_CURVE]]</f>
        <v>9.2442199999999994E-5</v>
      </c>
      <c r="V158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-3.7463E-6</v>
      </c>
      <c r="W158" s="16">
        <f>IF(AND(tblCalculation[[#This Row],[Level3]]="Forward Contracts",tblBOneExport[[#This Row],[PTF_COST_OF_CARRY]]=0),tblBOneExport[[#This Row],[PTF_VALUATION]],0)</f>
        <v>0</v>
      </c>
      <c r="X158" s="16">
        <f>SUM(tblCalculation[[#This Row],[PtfTrading]:[PtfModelRes]])</f>
        <v>-4.1887999999999996E-6</v>
      </c>
      <c r="Y158" s="16">
        <f>tblCalculation[[#This Row],[FIAttributable]]*tblBOneExport[[#This Row],[PTF_TRADING]]</f>
        <v>0</v>
      </c>
      <c r="Z158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58" s="16">
        <f>tblCalculation[[#This Row],[FIAttributable]]*tblBOneExport[[#This Row],[PTF_MODEL_RESIDUAL]]-PTF_Credit_Adj*tblCalculation[[#This Row],[PtfDTSWeight]]</f>
        <v>-4.1887999999999996E-6</v>
      </c>
      <c r="AB158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58" s="16">
        <f>tblBOneExport[[#This Row],[BMK_WEIGHT]]</f>
        <v>0</v>
      </c>
      <c r="AD158" s="78">
        <f>tblCalculation[[#This Row],[FIAttributable]]*SUMIFS(tblDTS[DTSContribution_BM],tblDTS[ISIN],tblCalculation[[#This Row],[ISIN]])</f>
        <v>8.3223118348638381E-2</v>
      </c>
      <c r="AE158" s="16">
        <f>IF(SUM(tblCalculation[BMKDTS])=0,0,tblCalculation[[#This Row],[BMKDTS]]/SUM(tblCalculation[BMKDTS]))</f>
        <v>9.8910910069515759E-3</v>
      </c>
      <c r="AF158" s="16">
        <f>tblBOneExport[[#This Row],[BMK_CONTRIBUTION]]</f>
        <v>0</v>
      </c>
      <c r="AG158" s="16">
        <f>tblCalculation[[#This Row],[BMKContributionBase]]-tblBOneExport[BMK_SPOT_CCY_RETURN]-tblBOneExport[[#This Row],[BMK_CROSS_EFFECT]]</f>
        <v>0</v>
      </c>
      <c r="AH158" s="16">
        <f>tblCalculation[[#This Row],[FIAttributable]]*(tblBOneExport[[#This Row],[BMK_RETURN_GOV_CARRY]])</f>
        <v>0</v>
      </c>
      <c r="AI158" s="16">
        <f>tblCalculation[[#This Row],[FIAttributable]]*tblBOneExport[[#This Row],[BMK_CREDIT_CARRY]]</f>
        <v>0</v>
      </c>
      <c r="AJ158" s="16">
        <f>tblCalculation[[#This Row],[FIAttributable]]*tblBOneExport[[#This Row],[BMK_TOTAL_CURVE]]</f>
        <v>0</v>
      </c>
      <c r="AK158" s="16">
        <f>tblCalculation[[#This Row],[FIAttributable]]*(tblBOneExport[[#This Row],[BMK_TOTAL_SPREAD]]+BMK_Credit_Adj*tblCalculation[[#This Row],[BmkDTSWeight]])</f>
        <v>0</v>
      </c>
      <c r="AL158" s="16">
        <f>tblCalculation[[#This Row],[FIAttributable]]*tblBOneExport[[#This Row],[BMK_MODEL_RESIDUAL]]-BMK_Credit_Adj*tblCalculation[[#This Row],[BmkDTSWeight]]</f>
        <v>0</v>
      </c>
      <c r="AM158" s="16">
        <f>IF(tblCalculation[[#This Row],[Level3]]="Forward Contracts",tblCalculation[[#This Row],[BMKContributionLocal]],0)</f>
        <v>0</v>
      </c>
      <c r="AN158" s="16">
        <f>tblBOneExport[[#This Row],[BMK_SPOT_CCY_RETURN]]+tblBOneExport[[#This Row],[BMK_CROSS_EFFECT]]</f>
        <v>0</v>
      </c>
    </row>
    <row r="159" spans="5:40" x14ac:dyDescent="0.25">
      <c r="E159" s="7" t="str">
        <f>tblBOneExport[[#This Row],[INSTRUMENT_CODE]]</f>
        <v>B6TN2Y9</v>
      </c>
      <c r="F159" s="7" t="str">
        <f>tblBOneExport[[#This Row],[INSTRUMENT]]</f>
        <v>DONG A/S 4.875 12/01/32 EMTN</v>
      </c>
      <c r="G159" s="7" t="str">
        <f>IF(tblBOneExport[[#This Row],[ISIN]]&lt;&gt;"", tblBOneExport[[#This Row],[ISIN]],"")</f>
        <v>XS0730243150</v>
      </c>
      <c r="H159" s="7" t="str">
        <f>IF(tblCalculation[[#This Row],[B1Level2]]="CDS",tblBOneExport[[#This Row],[B1_TICKER]],IF(tblCalculation[[#This Row],[ISIN]]="","",INDEX(tblGetStaticData[Ticker],MATCH(tblCalculation[[#This Row],[ISIN]],tblGetStaticData[ISIN],0))))</f>
        <v>DONGAS</v>
      </c>
      <c r="I159" s="7" t="str">
        <f>IF(tblBOneExport[[#This Row],[INSTRUMENT_TYPE]]="Forward Contract","Forward Contract",tblBOneExport[LEVEL2])</f>
        <v>Non-Corporate</v>
      </c>
      <c r="J159" s="7" t="str">
        <f>IF(tblBOneExport[[#This Row],[INSTRUMENT_TYPE]]="Forward Contract","Forward Contract",tblBOneExport[[#This Row],[LEVEL3]])</f>
        <v>Foreign Agency</v>
      </c>
      <c r="K159" s="7" t="str">
        <f>INDEX(tblLvl2Mapping[],MATCH(tblCalculation[[#This Row],[B1Level2]]&amp;"_"&amp;tblCalculation[[#This Row],[B1Level3]],tblLvl2Mapping[B1Level2_B1Level3],0),2)</f>
        <v>Corporate</v>
      </c>
      <c r="L159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59" s="7">
        <f>INDEX(tblAttributable[],MATCH(tblCalculation[[#This Row],[Level3]],tblAttributable[Level3],0),2)</f>
        <v>1</v>
      </c>
      <c r="N159" s="16">
        <f>tblBOneExport[[#This Row],[PTF_WEIGHT]]</f>
        <v>6.6293695999999997E-3</v>
      </c>
      <c r="O159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9.089962946992472E-2</v>
      </c>
      <c r="P159" s="48">
        <f>tblCalculation[[#This Row],[PtfDTS]]/SUM(tblCalculation[PtfDTS])</f>
        <v>1.1023605531052418E-2</v>
      </c>
      <c r="Q159" s="16">
        <f>tblBOneExport[[#This Row],[PTF_CONTRIBUTION]]</f>
        <v>1.302105E-4</v>
      </c>
      <c r="R159" s="16">
        <f>tblCalculation[[#This Row],[PtfContributionBase]]-tblCalculation[[#This Row],[PtfCurrencyReturn]]</f>
        <v>1.302105E-4</v>
      </c>
      <c r="S159" s="16">
        <f>IF(tblBOneExport[[#This Row],[LEVEL1]]="Bonds",tblBOneExport[[#This Row],[PTF_GOV_CARRY]],"")</f>
        <v>8.0625999999999997E-6</v>
      </c>
      <c r="T159" s="16">
        <f>tblCalculation[[#This Row],[FIAttributable]]*tblBOneExport[[#This Row],[PTF_CREDIT_CARRY]]</f>
        <v>6.5169999999999996E-6</v>
      </c>
      <c r="U159" s="16">
        <f>tblCalculation[[#This Row],[FIAttributable]]*tblBOneExport[[#This Row],[PTF_TOTAL_CURVE]]</f>
        <v>1.285158E-4</v>
      </c>
      <c r="V159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-1.2534199999999999E-5</v>
      </c>
      <c r="W159" s="16">
        <f>IF(AND(tblCalculation[[#This Row],[Level3]]="Forward Contracts",tblBOneExport[[#This Row],[PTF_COST_OF_CARRY]]=0),tblBOneExport[[#This Row],[PTF_VALUATION]],0)</f>
        <v>0</v>
      </c>
      <c r="X159" s="16">
        <f>SUM(tblCalculation[[#This Row],[PtfTrading]:[PtfModelRes]])</f>
        <v>-3.5079999999999999E-7</v>
      </c>
      <c r="Y159" s="16">
        <f>tblCalculation[[#This Row],[FIAttributable]]*tblBOneExport[[#This Row],[PTF_TRADING]]</f>
        <v>0</v>
      </c>
      <c r="Z159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59" s="16">
        <f>tblCalculation[[#This Row],[FIAttributable]]*tblBOneExport[[#This Row],[PTF_MODEL_RESIDUAL]]-PTF_Credit_Adj*tblCalculation[[#This Row],[PtfDTSWeight]]</f>
        <v>-3.5079999999999999E-7</v>
      </c>
      <c r="AB159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59" s="16">
        <f>tblBOneExport[[#This Row],[BMK_WEIGHT]]</f>
        <v>0</v>
      </c>
      <c r="AD159" s="78">
        <f>tblCalculation[[#This Row],[FIAttributable]]*SUMIFS(tblDTS[DTSContribution_BM],tblDTS[ISIN],tblCalculation[[#This Row],[ISIN]])</f>
        <v>0.11997523662055547</v>
      </c>
      <c r="AE159" s="16">
        <f>IF(SUM(tblCalculation[BMKDTS])=0,0,tblCalculation[[#This Row],[BMKDTS]]/SUM(tblCalculation[BMKDTS]))</f>
        <v>1.4259090593351686E-2</v>
      </c>
      <c r="AF159" s="16">
        <f>tblBOneExport[[#This Row],[BMK_CONTRIBUTION]]</f>
        <v>0</v>
      </c>
      <c r="AG159" s="16">
        <f>tblCalculation[[#This Row],[BMKContributionBase]]-tblBOneExport[BMK_SPOT_CCY_RETURN]-tblBOneExport[[#This Row],[BMK_CROSS_EFFECT]]</f>
        <v>0</v>
      </c>
      <c r="AH159" s="16">
        <f>tblCalculation[[#This Row],[FIAttributable]]*(tblBOneExport[[#This Row],[BMK_RETURN_GOV_CARRY]])</f>
        <v>0</v>
      </c>
      <c r="AI159" s="16">
        <f>tblCalculation[[#This Row],[FIAttributable]]*tblBOneExport[[#This Row],[BMK_CREDIT_CARRY]]</f>
        <v>0</v>
      </c>
      <c r="AJ159" s="16">
        <f>tblCalculation[[#This Row],[FIAttributable]]*tblBOneExport[[#This Row],[BMK_TOTAL_CURVE]]</f>
        <v>0</v>
      </c>
      <c r="AK159" s="16">
        <f>tblCalculation[[#This Row],[FIAttributable]]*(tblBOneExport[[#This Row],[BMK_TOTAL_SPREAD]]+BMK_Credit_Adj*tblCalculation[[#This Row],[BmkDTSWeight]])</f>
        <v>0</v>
      </c>
      <c r="AL159" s="16">
        <f>tblCalculation[[#This Row],[FIAttributable]]*tblBOneExport[[#This Row],[BMK_MODEL_RESIDUAL]]-BMK_Credit_Adj*tblCalculation[[#This Row],[BmkDTSWeight]]</f>
        <v>0</v>
      </c>
      <c r="AM159" s="16">
        <f>IF(tblCalculation[[#This Row],[Level3]]="Forward Contracts",tblCalculation[[#This Row],[BMKContributionLocal]],0)</f>
        <v>0</v>
      </c>
      <c r="AN159" s="16">
        <f>tblBOneExport[[#This Row],[BMK_SPOT_CCY_RETURN]]+tblBOneExport[[#This Row],[BMK_CROSS_EFFECT]]</f>
        <v>0</v>
      </c>
    </row>
    <row r="160" spans="5:40" x14ac:dyDescent="0.25">
      <c r="E160" s="7" t="str">
        <f>tblBOneExport[[#This Row],[INSTRUMENT_CODE]]</f>
        <v>B7LNT65</v>
      </c>
      <c r="F160" s="7" t="str">
        <f>tblBOneExport[[#This Row],[INSTRUMENT]]</f>
        <v>NORTHUMBRIAN WTR 5.125 23/01/42</v>
      </c>
      <c r="G160" s="7" t="str">
        <f>IF(tblBOneExport[[#This Row],[ISIN]]&lt;&gt;"", tblBOneExport[[#This Row],[ISIN]],"")</f>
        <v>XS0733486848</v>
      </c>
      <c r="H160" s="7" t="str">
        <f>IF(tblCalculation[[#This Row],[B1Level2]]="CDS",tblBOneExport[[#This Row],[B1_TICKER]],IF(tblCalculation[[#This Row],[ISIN]]="","",INDEX(tblGetStaticData[Ticker],MATCH(tblCalculation[[#This Row],[ISIN]],tblGetStaticData[ISIN],0))))</f>
        <v>NWGLN</v>
      </c>
      <c r="I160" s="7" t="str">
        <f>IF(tblBOneExport[[#This Row],[INSTRUMENT_TYPE]]="Forward Contract","Forward Contract",tblBOneExport[LEVEL2])</f>
        <v>Corporates</v>
      </c>
      <c r="J160" s="7" t="str">
        <f>IF(tblBOneExport[[#This Row],[INSTRUMENT_TYPE]]="Forward Contract","Forward Contract",tblBOneExport[[#This Row],[LEVEL3]])</f>
        <v>Utilities</v>
      </c>
      <c r="K160" s="7" t="str">
        <f>INDEX(tblLvl2Mapping[],MATCH(tblCalculation[[#This Row],[B1Level2]]&amp;"_"&amp;tblCalculation[[#This Row],[B1Level3]],tblLvl2Mapping[B1Level2_B1Level3],0),2)</f>
        <v>Corporate</v>
      </c>
      <c r="L160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60" s="7">
        <f>INDEX(tblAttributable[],MATCH(tblCalculation[[#This Row],[Level3]],tblAttributable[Level3],0),2)</f>
        <v>1</v>
      </c>
      <c r="N160" s="16">
        <f>tblBOneExport[[#This Row],[PTF_WEIGHT]]</f>
        <v>6.7714688000000004E-3</v>
      </c>
      <c r="O160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0.13230574315882429</v>
      </c>
      <c r="P160" s="48">
        <f>tblCalculation[[#This Row],[PtfDTS]]/SUM(tblCalculation[PtfDTS])</f>
        <v>1.6045019441560809E-2</v>
      </c>
      <c r="Q160" s="16">
        <f>tblBOneExport[[#This Row],[PTF_CONTRIBUTION]]</f>
        <v>1.6832110000000001E-4</v>
      </c>
      <c r="R160" s="16">
        <f>tblCalculation[[#This Row],[PtfContributionBase]]-tblCalculation[[#This Row],[PtfCurrencyReturn]]</f>
        <v>1.6832110000000001E-4</v>
      </c>
      <c r="S160" s="16">
        <f>IF(tblBOneExport[[#This Row],[LEVEL1]]="Bonds",tblBOneExport[[#This Row],[PTF_GOV_CARRY]],"")</f>
        <v>9.9365000000000005E-6</v>
      </c>
      <c r="T160" s="16">
        <f>tblCalculation[[#This Row],[FIAttributable]]*tblBOneExport[[#This Row],[PTF_CREDIT_CARRY]]</f>
        <v>5.6419000000000001E-6</v>
      </c>
      <c r="U160" s="16">
        <f>tblCalculation[[#This Row],[FIAttributable]]*tblBOneExport[[#This Row],[PTF_TOTAL_CURVE]]</f>
        <v>1.621355E-4</v>
      </c>
      <c r="V160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-1.7591E-6</v>
      </c>
      <c r="W160" s="16">
        <f>IF(AND(tblCalculation[[#This Row],[Level3]]="Forward Contracts",tblBOneExport[[#This Row],[PTF_COST_OF_CARRY]]=0),tblBOneExport[[#This Row],[PTF_VALUATION]],0)</f>
        <v>0</v>
      </c>
      <c r="X160" s="16">
        <f>SUM(tblCalculation[[#This Row],[PtfTrading]:[PtfModelRes]])</f>
        <v>-7.6336999999999994E-6</v>
      </c>
      <c r="Y160" s="16">
        <f>tblCalculation[[#This Row],[FIAttributable]]*tblBOneExport[[#This Row],[PTF_TRADING]]</f>
        <v>0</v>
      </c>
      <c r="Z160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60" s="16">
        <f>tblCalculation[[#This Row],[FIAttributable]]*tblBOneExport[[#This Row],[PTF_MODEL_RESIDUAL]]-PTF_Credit_Adj*tblCalculation[[#This Row],[PtfDTSWeight]]</f>
        <v>-7.6336999999999994E-6</v>
      </c>
      <c r="AB160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60" s="16">
        <f>tblBOneExport[[#This Row],[BMK_WEIGHT]]</f>
        <v>0</v>
      </c>
      <c r="AD160" s="78">
        <f>tblCalculation[[#This Row],[FIAttributable]]*SUMIFS(tblDTS[DTSContribution_BM],tblDTS[ISIN],tblCalculation[[#This Row],[ISIN]])</f>
        <v>0.13097110632956802</v>
      </c>
      <c r="AE160" s="16">
        <f>IF(SUM(tblCalculation[BMKDTS])=0,0,tblCalculation[[#This Row],[BMKDTS]]/SUM(tblCalculation[BMKDTS]))</f>
        <v>1.55659527988365E-2</v>
      </c>
      <c r="AF160" s="16">
        <f>tblBOneExport[[#This Row],[BMK_CONTRIBUTION]]</f>
        <v>0</v>
      </c>
      <c r="AG160" s="16">
        <f>tblCalculation[[#This Row],[BMKContributionBase]]-tblBOneExport[BMK_SPOT_CCY_RETURN]-tblBOneExport[[#This Row],[BMK_CROSS_EFFECT]]</f>
        <v>0</v>
      </c>
      <c r="AH160" s="16">
        <f>tblCalculation[[#This Row],[FIAttributable]]*(tblBOneExport[[#This Row],[BMK_RETURN_GOV_CARRY]])</f>
        <v>0</v>
      </c>
      <c r="AI160" s="16">
        <f>tblCalculation[[#This Row],[FIAttributable]]*tblBOneExport[[#This Row],[BMK_CREDIT_CARRY]]</f>
        <v>0</v>
      </c>
      <c r="AJ160" s="16">
        <f>tblCalculation[[#This Row],[FIAttributable]]*tblBOneExport[[#This Row],[BMK_TOTAL_CURVE]]</f>
        <v>0</v>
      </c>
      <c r="AK160" s="16">
        <f>tblCalculation[[#This Row],[FIAttributable]]*(tblBOneExport[[#This Row],[BMK_TOTAL_SPREAD]]+BMK_Credit_Adj*tblCalculation[[#This Row],[BmkDTSWeight]])</f>
        <v>0</v>
      </c>
      <c r="AL160" s="16">
        <f>tblCalculation[[#This Row],[FIAttributable]]*tblBOneExport[[#This Row],[BMK_MODEL_RESIDUAL]]-BMK_Credit_Adj*tblCalculation[[#This Row],[BmkDTSWeight]]</f>
        <v>0</v>
      </c>
      <c r="AM160" s="16">
        <f>IF(tblCalculation[[#This Row],[Level3]]="Forward Contracts",tblCalculation[[#This Row],[BMKContributionLocal]],0)</f>
        <v>0</v>
      </c>
      <c r="AN160" s="16">
        <f>tblBOneExport[[#This Row],[BMK_SPOT_CCY_RETURN]]+tblBOneExport[[#This Row],[BMK_CROSS_EFFECT]]</f>
        <v>0</v>
      </c>
    </row>
    <row r="161" spans="5:40" x14ac:dyDescent="0.25">
      <c r="E161" s="7" t="str">
        <f>tblBOneExport[[#This Row],[INSTRUMENT_CODE]]</f>
        <v>B7LGMF4</v>
      </c>
      <c r="F161" s="7" t="str">
        <f>tblBOneExport[[#This Row],[INSTRUMENT]]</f>
        <v>GATWICK FND LTD 5.25 23/01/24 EMTN</v>
      </c>
      <c r="G161" s="7" t="str">
        <f>IF(tblBOneExport[[#This Row],[ISIN]]&lt;&gt;"", tblBOneExport[[#This Row],[ISIN]],"")</f>
        <v>XS0733794407</v>
      </c>
      <c r="H161" s="7" t="str">
        <f>IF(tblCalculation[[#This Row],[B1Level2]]="CDS",tblBOneExport[[#This Row],[B1_TICKER]],IF(tblCalculation[[#This Row],[ISIN]]="","",INDEX(tblGetStaticData[Ticker],MATCH(tblCalculation[[#This Row],[ISIN]],tblGetStaticData[ISIN],0))))</f>
        <v>GATAIR</v>
      </c>
      <c r="I161" s="7" t="str">
        <f>IF(tblBOneExport[[#This Row],[INSTRUMENT_TYPE]]="Forward Contract","Forward Contract",tblBOneExport[LEVEL2])</f>
        <v>Corporates</v>
      </c>
      <c r="J161" s="7" t="str">
        <f>IF(tblBOneExport[[#This Row],[INSTRUMENT_TYPE]]="Forward Contract","Forward Contract",tblBOneExport[[#This Row],[LEVEL3]])</f>
        <v>Industrials</v>
      </c>
      <c r="K161" s="7" t="str">
        <f>INDEX(tblLvl2Mapping[],MATCH(tblCalculation[[#This Row],[B1Level2]]&amp;"_"&amp;tblCalculation[[#This Row],[B1Level3]],tblLvl2Mapping[B1Level2_B1Level3],0),2)</f>
        <v>Corporate</v>
      </c>
      <c r="L161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61" s="7">
        <f>INDEX(tblAttributable[],MATCH(tblCalculation[[#This Row],[Level3]],tblAttributable[Level3],0),2)</f>
        <v>1</v>
      </c>
      <c r="N161" s="16">
        <f>tblBOneExport[[#This Row],[PTF_WEIGHT]]</f>
        <v>3.4195643E-3</v>
      </c>
      <c r="O161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1.8489503619090034E-2</v>
      </c>
      <c r="P161" s="48">
        <f>tblCalculation[[#This Row],[PtfDTS]]/SUM(tblCalculation[PtfDTS])</f>
        <v>2.2422643035002834E-3</v>
      </c>
      <c r="Q161" s="16">
        <f>tblBOneExport[[#This Row],[PTF_CONTRIBUTION]]</f>
        <v>3.3290100000000002E-5</v>
      </c>
      <c r="R161" s="16">
        <f>tblCalculation[[#This Row],[PtfContributionBase]]-tblCalculation[[#This Row],[PtfCurrencyReturn]]</f>
        <v>3.3290100000000002E-5</v>
      </c>
      <c r="S161" s="16">
        <f>IF(tblBOneExport[[#This Row],[LEVEL1]]="Bonds",tblBOneExport[[#This Row],[PTF_GOV_CARRY]],"")</f>
        <v>1.95E-6</v>
      </c>
      <c r="T161" s="16">
        <f>tblCalculation[[#This Row],[FIAttributable]]*tblBOneExport[[#This Row],[PTF_CREDIT_CARRY]]</f>
        <v>3.5516E-6</v>
      </c>
      <c r="U161" s="16">
        <f>tblCalculation[[#This Row],[FIAttributable]]*tblBOneExport[[#This Row],[PTF_TOTAL_CURVE]]</f>
        <v>2.88437E-5</v>
      </c>
      <c r="V161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-1.4600000000000001E-7</v>
      </c>
      <c r="W161" s="16">
        <f>IF(AND(tblCalculation[[#This Row],[Level3]]="Forward Contracts",tblBOneExport[[#This Row],[PTF_COST_OF_CARRY]]=0),tblBOneExport[[#This Row],[PTF_VALUATION]],0)</f>
        <v>0</v>
      </c>
      <c r="X161" s="16">
        <f>SUM(tblCalculation[[#This Row],[PtfTrading]:[PtfModelRes]])</f>
        <v>-9.0920000000000002E-7</v>
      </c>
      <c r="Y161" s="16">
        <f>tblCalculation[[#This Row],[FIAttributable]]*tblBOneExport[[#This Row],[PTF_TRADING]]</f>
        <v>0</v>
      </c>
      <c r="Z161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61" s="16">
        <f>tblCalculation[[#This Row],[FIAttributable]]*tblBOneExport[[#This Row],[PTF_MODEL_RESIDUAL]]-PTF_Credit_Adj*tblCalculation[[#This Row],[PtfDTSWeight]]</f>
        <v>-9.0920000000000002E-7</v>
      </c>
      <c r="AB161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61" s="16">
        <f>tblBOneExport[[#This Row],[BMK_WEIGHT]]</f>
        <v>0</v>
      </c>
      <c r="AD161" s="78">
        <f>tblCalculation[[#This Row],[FIAttributable]]*SUMIFS(tblDTS[DTSContribution_BM],tblDTS[ISIN],tblCalculation[[#This Row],[ISIN]])</f>
        <v>2.4403690138867982E-2</v>
      </c>
      <c r="AE161" s="16">
        <f>IF(SUM(tblCalculation[BMKDTS])=0,0,tblCalculation[[#This Row],[BMKDTS]]/SUM(tblCalculation[BMKDTS]))</f>
        <v>2.900385432059927E-3</v>
      </c>
      <c r="AF161" s="16">
        <f>tblBOneExport[[#This Row],[BMK_CONTRIBUTION]]</f>
        <v>0</v>
      </c>
      <c r="AG161" s="16">
        <f>tblCalculation[[#This Row],[BMKContributionBase]]-tblBOneExport[BMK_SPOT_CCY_RETURN]-tblBOneExport[[#This Row],[BMK_CROSS_EFFECT]]</f>
        <v>0</v>
      </c>
      <c r="AH161" s="16">
        <f>tblCalculation[[#This Row],[FIAttributable]]*(tblBOneExport[[#This Row],[BMK_RETURN_GOV_CARRY]])</f>
        <v>0</v>
      </c>
      <c r="AI161" s="16">
        <f>tblCalculation[[#This Row],[FIAttributable]]*tblBOneExport[[#This Row],[BMK_CREDIT_CARRY]]</f>
        <v>0</v>
      </c>
      <c r="AJ161" s="16">
        <f>tblCalculation[[#This Row],[FIAttributable]]*tblBOneExport[[#This Row],[BMK_TOTAL_CURVE]]</f>
        <v>0</v>
      </c>
      <c r="AK161" s="16">
        <f>tblCalculation[[#This Row],[FIAttributable]]*(tblBOneExport[[#This Row],[BMK_TOTAL_SPREAD]]+BMK_Credit_Adj*tblCalculation[[#This Row],[BmkDTSWeight]])</f>
        <v>0</v>
      </c>
      <c r="AL161" s="16">
        <f>tblCalculation[[#This Row],[FIAttributable]]*tblBOneExport[[#This Row],[BMK_MODEL_RESIDUAL]]-BMK_Credit_Adj*tblCalculation[[#This Row],[BmkDTSWeight]]</f>
        <v>0</v>
      </c>
      <c r="AM161" s="16">
        <f>IF(tblCalculation[[#This Row],[Level3]]="Forward Contracts",tblCalculation[[#This Row],[BMKContributionLocal]],0)</f>
        <v>0</v>
      </c>
      <c r="AN161" s="16">
        <f>tblBOneExport[[#This Row],[BMK_SPOT_CCY_RETURN]]+tblBOneExport[[#This Row],[BMK_CROSS_EFFECT]]</f>
        <v>0</v>
      </c>
    </row>
    <row r="162" spans="5:40" x14ac:dyDescent="0.25">
      <c r="E162" s="7" t="str">
        <f>tblBOneExport[[#This Row],[INSTRUMENT_CODE]]</f>
        <v>B76KKW4</v>
      </c>
      <c r="F162" s="7" t="str">
        <f>tblBOneExport[[#This Row],[INSTRUMENT]]</f>
        <v>SEVERN TRENT FIN 4.875 24/01/42 EMTN</v>
      </c>
      <c r="G162" s="7" t="str">
        <f>IF(tblBOneExport[[#This Row],[ISIN]]&lt;&gt;"", tblBOneExport[[#This Row],[ISIN]],"")</f>
        <v>XS0735781675</v>
      </c>
      <c r="H162" s="7" t="str">
        <f>IF(tblCalculation[[#This Row],[B1Level2]]="CDS",tblBOneExport[[#This Row],[B1_TICKER]],IF(tblCalculation[[#This Row],[ISIN]]="","",INDEX(tblGetStaticData[Ticker],MATCH(tblCalculation[[#This Row],[ISIN]],tblGetStaticData[ISIN],0))))</f>
        <v>SVTLN</v>
      </c>
      <c r="I162" s="7" t="str">
        <f>IF(tblBOneExport[[#This Row],[INSTRUMENT_TYPE]]="Forward Contract","Forward Contract",tblBOneExport[LEVEL2])</f>
        <v>Corporates</v>
      </c>
      <c r="J162" s="7" t="str">
        <f>IF(tblBOneExport[[#This Row],[INSTRUMENT_TYPE]]="Forward Contract","Forward Contract",tblBOneExport[[#This Row],[LEVEL3]])</f>
        <v>Utilities</v>
      </c>
      <c r="K162" s="7" t="str">
        <f>INDEX(tblLvl2Mapping[],MATCH(tblCalculation[[#This Row],[B1Level2]]&amp;"_"&amp;tblCalculation[[#This Row],[B1Level3]],tblLvl2Mapping[B1Level2_B1Level3],0),2)</f>
        <v>Corporate</v>
      </c>
      <c r="L162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62" s="7">
        <f>INDEX(tblAttributable[],MATCH(tblCalculation[[#This Row],[Level3]],tblAttributable[Level3],0),2)</f>
        <v>1</v>
      </c>
      <c r="N162" s="16">
        <f>tblBOneExport[[#This Row],[PTF_WEIGHT]]</f>
        <v>2.2917889999999998E-3</v>
      </c>
      <c r="O162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4.57000829166474E-2</v>
      </c>
      <c r="P162" s="48">
        <f>tblCalculation[[#This Row],[PtfDTS]]/SUM(tblCalculation[PtfDTS])</f>
        <v>5.5421533591200195E-3</v>
      </c>
      <c r="Q162" s="16">
        <f>tblBOneExport[[#This Row],[PTF_CONTRIBUTION]]</f>
        <v>5.84326E-5</v>
      </c>
      <c r="R162" s="16">
        <f>tblCalculation[[#This Row],[PtfContributionBase]]-tblCalculation[[#This Row],[PtfCurrencyReturn]]</f>
        <v>5.84326E-5</v>
      </c>
      <c r="S162" s="16">
        <f>IF(tblBOneExport[[#This Row],[LEVEL1]]="Bonds",tblBOneExport[[#This Row],[PTF_GOV_CARRY]],"")</f>
        <v>3.3629999999999998E-6</v>
      </c>
      <c r="T162" s="16">
        <f>tblCalculation[[#This Row],[FIAttributable]]*tblBOneExport[[#This Row],[PTF_CREDIT_CARRY]]</f>
        <v>1.9215000000000002E-6</v>
      </c>
      <c r="U162" s="16">
        <f>tblCalculation[[#This Row],[FIAttributable]]*tblBOneExport[[#This Row],[PTF_TOTAL_CURVE]]</f>
        <v>5.5430899999999998E-5</v>
      </c>
      <c r="V162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-2.525E-6</v>
      </c>
      <c r="W162" s="16">
        <f>IF(AND(tblCalculation[[#This Row],[Level3]]="Forward Contracts",tblBOneExport[[#This Row],[PTF_COST_OF_CARRY]]=0),tblBOneExport[[#This Row],[PTF_VALUATION]],0)</f>
        <v>0</v>
      </c>
      <c r="X162" s="16">
        <f>SUM(tblCalculation[[#This Row],[PtfTrading]:[PtfModelRes]])</f>
        <v>2.4219999999999999E-7</v>
      </c>
      <c r="Y162" s="16">
        <f>tblCalculation[[#This Row],[FIAttributable]]*tblBOneExport[[#This Row],[PTF_TRADING]]</f>
        <v>0</v>
      </c>
      <c r="Z162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62" s="16">
        <f>tblCalculation[[#This Row],[FIAttributable]]*tblBOneExport[[#This Row],[PTF_MODEL_RESIDUAL]]-PTF_Credit_Adj*tblCalculation[[#This Row],[PtfDTSWeight]]</f>
        <v>2.4219999999999999E-7</v>
      </c>
      <c r="AB162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62" s="16">
        <f>tblBOneExport[[#This Row],[BMK_WEIGHT]]</f>
        <v>0</v>
      </c>
      <c r="AD162" s="78">
        <f>tblCalculation[[#This Row],[FIAttributable]]*SUMIFS(tblDTS[DTSContribution_BM],tblDTS[ISIN],tblCalculation[[#This Row],[ISIN]])</f>
        <v>6.0316298341455549E-2</v>
      </c>
      <c r="AE162" s="16">
        <f>IF(SUM(tblCalculation[BMKDTS])=0,0,tblCalculation[[#This Row],[BMKDTS]]/SUM(tblCalculation[BMKDTS]))</f>
        <v>7.1686090107622143E-3</v>
      </c>
      <c r="AF162" s="16">
        <f>tblBOneExport[[#This Row],[BMK_CONTRIBUTION]]</f>
        <v>0</v>
      </c>
      <c r="AG162" s="16">
        <f>tblCalculation[[#This Row],[BMKContributionBase]]-tblBOneExport[BMK_SPOT_CCY_RETURN]-tblBOneExport[[#This Row],[BMK_CROSS_EFFECT]]</f>
        <v>0</v>
      </c>
      <c r="AH162" s="16">
        <f>tblCalculation[[#This Row],[FIAttributable]]*(tblBOneExport[[#This Row],[BMK_RETURN_GOV_CARRY]])</f>
        <v>0</v>
      </c>
      <c r="AI162" s="16">
        <f>tblCalculation[[#This Row],[FIAttributable]]*tblBOneExport[[#This Row],[BMK_CREDIT_CARRY]]</f>
        <v>0</v>
      </c>
      <c r="AJ162" s="16">
        <f>tblCalculation[[#This Row],[FIAttributable]]*tblBOneExport[[#This Row],[BMK_TOTAL_CURVE]]</f>
        <v>0</v>
      </c>
      <c r="AK162" s="16">
        <f>tblCalculation[[#This Row],[FIAttributable]]*(tblBOneExport[[#This Row],[BMK_TOTAL_SPREAD]]+BMK_Credit_Adj*tblCalculation[[#This Row],[BmkDTSWeight]])</f>
        <v>0</v>
      </c>
      <c r="AL162" s="16">
        <f>tblCalculation[[#This Row],[FIAttributable]]*tblBOneExport[[#This Row],[BMK_MODEL_RESIDUAL]]-BMK_Credit_Adj*tblCalculation[[#This Row],[BmkDTSWeight]]</f>
        <v>0</v>
      </c>
      <c r="AM162" s="16">
        <f>IF(tblCalculation[[#This Row],[Level3]]="Forward Contracts",tblCalculation[[#This Row],[BMKContributionLocal]],0)</f>
        <v>0</v>
      </c>
      <c r="AN162" s="16">
        <f>tblBOneExport[[#This Row],[BMK_SPOT_CCY_RETURN]]+tblBOneExport[[#This Row],[BMK_CROSS_EFFECT]]</f>
        <v>0</v>
      </c>
    </row>
    <row r="163" spans="5:40" x14ac:dyDescent="0.25">
      <c r="E163" s="7" t="str">
        <f>tblBOneExport[[#This Row],[INSTRUMENT_CODE]]</f>
        <v>B7KHK87</v>
      </c>
      <c r="F163" s="7" t="str">
        <f>tblBOneExport[[#This Row],[INSTRUMENT]]</f>
        <v>CENTRICA PLC 4.375 13/03/29 EMTN</v>
      </c>
      <c r="G163" s="7" t="str">
        <f>IF(tblBOneExport[[#This Row],[ISIN]]&lt;&gt;"", tblBOneExport[[#This Row],[ISIN]],"")</f>
        <v>XS0753789980</v>
      </c>
      <c r="H163" s="7" t="str">
        <f>IF(tblCalculation[[#This Row],[B1Level2]]="CDS",tblBOneExport[[#This Row],[B1_TICKER]],IF(tblCalculation[[#This Row],[ISIN]]="","",INDEX(tblGetStaticData[Ticker],MATCH(tblCalculation[[#This Row],[ISIN]],tblGetStaticData[ISIN],0))))</f>
        <v>CNALN</v>
      </c>
      <c r="I163" s="7" t="str">
        <f>IF(tblBOneExport[[#This Row],[INSTRUMENT_TYPE]]="Forward Contract","Forward Contract",tblBOneExport[LEVEL2])</f>
        <v>Corporates</v>
      </c>
      <c r="J163" s="7" t="str">
        <f>IF(tblBOneExport[[#This Row],[INSTRUMENT_TYPE]]="Forward Contract","Forward Contract",tblBOneExport[[#This Row],[LEVEL3]])</f>
        <v>Utilities</v>
      </c>
      <c r="K163" s="7" t="str">
        <f>INDEX(tblLvl2Mapping[],MATCH(tblCalculation[[#This Row],[B1Level2]]&amp;"_"&amp;tblCalculation[[#This Row],[B1Level3]],tblLvl2Mapping[B1Level2_B1Level3],0),2)</f>
        <v>Corporate</v>
      </c>
      <c r="L163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63" s="7">
        <f>INDEX(tblAttributable[],MATCH(tblCalculation[[#This Row],[Level3]],tblAttributable[Level3],0),2)</f>
        <v>1</v>
      </c>
      <c r="N163" s="16">
        <f>tblBOneExport[[#This Row],[PTF_WEIGHT]]</f>
        <v>1.8202042E-3</v>
      </c>
      <c r="O163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2.0814112169850352E-2</v>
      </c>
      <c r="P163" s="48">
        <f>tblCalculation[[#This Row],[PtfDTS]]/SUM(tblCalculation[PtfDTS])</f>
        <v>2.5241748880332131E-3</v>
      </c>
      <c r="Q163" s="16">
        <f>tblBOneExport[[#This Row],[PTF_CONTRIBUTION]]</f>
        <v>3.6995000000000001E-5</v>
      </c>
      <c r="R163" s="16">
        <f>tblCalculation[[#This Row],[PtfContributionBase]]-tblCalculation[[#This Row],[PtfCurrencyReturn]]</f>
        <v>3.6995000000000001E-5</v>
      </c>
      <c r="S163" s="16">
        <f>IF(tblBOneExport[[#This Row],[LEVEL1]]="Bonds",tblBOneExport[[#This Row],[PTF_GOV_CARRY]],"")</f>
        <v>1.9927E-6</v>
      </c>
      <c r="T163" s="16">
        <f>tblCalculation[[#This Row],[FIAttributable]]*tblBOneExport[[#This Row],[PTF_CREDIT_CARRY]]</f>
        <v>1.8043E-6</v>
      </c>
      <c r="U163" s="16">
        <f>tblCalculation[[#This Row],[FIAttributable]]*tblBOneExport[[#This Row],[PTF_TOTAL_CURVE]]</f>
        <v>3.3698999999999997E-5</v>
      </c>
      <c r="V163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-1.0231E-6</v>
      </c>
      <c r="W163" s="16">
        <f>IF(AND(tblCalculation[[#This Row],[Level3]]="Forward Contracts",tblBOneExport[[#This Row],[PTF_COST_OF_CARRY]]=0),tblBOneExport[[#This Row],[PTF_VALUATION]],0)</f>
        <v>0</v>
      </c>
      <c r="X163" s="16">
        <f>SUM(tblCalculation[[#This Row],[PtfTrading]:[PtfModelRes]])</f>
        <v>5.2210000000000005E-7</v>
      </c>
      <c r="Y163" s="16">
        <f>tblCalculation[[#This Row],[FIAttributable]]*tblBOneExport[[#This Row],[PTF_TRADING]]</f>
        <v>0</v>
      </c>
      <c r="Z163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63" s="16">
        <f>tblCalculation[[#This Row],[FIAttributable]]*tblBOneExport[[#This Row],[PTF_MODEL_RESIDUAL]]-PTF_Credit_Adj*tblCalculation[[#This Row],[PtfDTSWeight]]</f>
        <v>5.2210000000000005E-7</v>
      </c>
      <c r="AB163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63" s="16">
        <f>tblBOneExport[[#This Row],[BMK_WEIGHT]]</f>
        <v>0</v>
      </c>
      <c r="AD163" s="78">
        <f>tblCalculation[[#This Row],[FIAttributable]]*SUMIFS(tblDTS[DTSContribution_BM],tblDTS[ISIN],tblCalculation[[#This Row],[ISIN]])</f>
        <v>2.7470659647412909E-2</v>
      </c>
      <c r="AE163" s="16">
        <f>IF(SUM(tblCalculation[BMKDTS])=0,0,tblCalculation[[#This Row],[BMKDTS]]/SUM(tblCalculation[BMKDTS]))</f>
        <v>3.2648956201723357E-3</v>
      </c>
      <c r="AF163" s="16">
        <f>tblBOneExport[[#This Row],[BMK_CONTRIBUTION]]</f>
        <v>0</v>
      </c>
      <c r="AG163" s="16">
        <f>tblCalculation[[#This Row],[BMKContributionBase]]-tblBOneExport[BMK_SPOT_CCY_RETURN]-tblBOneExport[[#This Row],[BMK_CROSS_EFFECT]]</f>
        <v>0</v>
      </c>
      <c r="AH163" s="16">
        <f>tblCalculation[[#This Row],[FIAttributable]]*(tblBOneExport[[#This Row],[BMK_RETURN_GOV_CARRY]])</f>
        <v>0</v>
      </c>
      <c r="AI163" s="16">
        <f>tblCalculation[[#This Row],[FIAttributable]]*tblBOneExport[[#This Row],[BMK_CREDIT_CARRY]]</f>
        <v>0</v>
      </c>
      <c r="AJ163" s="16">
        <f>tblCalculation[[#This Row],[FIAttributable]]*tblBOneExport[[#This Row],[BMK_TOTAL_CURVE]]</f>
        <v>0</v>
      </c>
      <c r="AK163" s="16">
        <f>tblCalculation[[#This Row],[FIAttributable]]*(tblBOneExport[[#This Row],[BMK_TOTAL_SPREAD]]+BMK_Credit_Adj*tblCalculation[[#This Row],[BmkDTSWeight]])</f>
        <v>0</v>
      </c>
      <c r="AL163" s="16">
        <f>tblCalculation[[#This Row],[FIAttributable]]*tblBOneExport[[#This Row],[BMK_MODEL_RESIDUAL]]-BMK_Credit_Adj*tblCalculation[[#This Row],[BmkDTSWeight]]</f>
        <v>0</v>
      </c>
      <c r="AM163" s="16">
        <f>IF(tblCalculation[[#This Row],[Level3]]="Forward Contracts",tblCalculation[[#This Row],[BMKContributionLocal]],0)</f>
        <v>0</v>
      </c>
      <c r="AN163" s="16">
        <f>tblBOneExport[[#This Row],[BMK_SPOT_CCY_RETURN]]+tblBOneExport[[#This Row],[BMK_CROSS_EFFECT]]</f>
        <v>0</v>
      </c>
    </row>
    <row r="164" spans="5:40" x14ac:dyDescent="0.25">
      <c r="E164" s="7" t="str">
        <f>tblBOneExport[[#This Row],[INSTRUMENT_CODE]]</f>
        <v>B707RN1</v>
      </c>
      <c r="F164" s="7" t="str">
        <f>tblBOneExport[[#This Row],[INSTRUMENT]]</f>
        <v>EVERYTH EVERYWH 4.375 28/03/19 EMTN</v>
      </c>
      <c r="G164" s="7" t="str">
        <f>IF(tblBOneExport[[#This Row],[ISIN]]&lt;&gt;"", tblBOneExport[[#This Row],[ISIN]],"")</f>
        <v>XS0764313291</v>
      </c>
      <c r="H164" s="7" t="str">
        <f>IF(tblCalculation[[#This Row],[B1Level2]]="CDS",tblBOneExport[[#This Row],[B1_TICKER]],IF(tblCalculation[[#This Row],[ISIN]]="","",INDEX(tblGetStaticData[Ticker],MATCH(tblCalculation[[#This Row],[ISIN]],tblGetStaticData[ISIN],0))))</f>
        <v>EVEVRV</v>
      </c>
      <c r="I164" s="7" t="str">
        <f>IF(tblBOneExport[[#This Row],[INSTRUMENT_TYPE]]="Forward Contract","Forward Contract",tblBOneExport[LEVEL2])</f>
        <v>Corporates</v>
      </c>
      <c r="J164" s="7" t="str">
        <f>IF(tblBOneExport[[#This Row],[INSTRUMENT_TYPE]]="Forward Contract","Forward Contract",tblBOneExport[[#This Row],[LEVEL3]])</f>
        <v>Industrials</v>
      </c>
      <c r="K164" s="7" t="str">
        <f>INDEX(tblLvl2Mapping[],MATCH(tblCalculation[[#This Row],[B1Level2]]&amp;"_"&amp;tblCalculation[[#This Row],[B1Level3]],tblLvl2Mapping[B1Level2_B1Level3],0),2)</f>
        <v>Corporate</v>
      </c>
      <c r="L164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64" s="7">
        <f>INDEX(tblAttributable[],MATCH(tblCalculation[[#This Row],[Level3]],tblAttributable[Level3],0),2)</f>
        <v>1</v>
      </c>
      <c r="N164" s="16">
        <f>tblBOneExport[[#This Row],[PTF_WEIGHT]]</f>
        <v>1.2375372E-3</v>
      </c>
      <c r="O164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1.212064373948182E-3</v>
      </c>
      <c r="P164" s="48">
        <f>tblCalculation[[#This Row],[PtfDTS]]/SUM(tblCalculation[PtfDTS])</f>
        <v>1.4698981299002462E-4</v>
      </c>
      <c r="Q164" s="16">
        <f>tblBOneExport[[#This Row],[PTF_CONTRIBUTION]]</f>
        <v>3.6720000000000002E-6</v>
      </c>
      <c r="R164" s="16">
        <f>tblCalculation[[#This Row],[PtfContributionBase]]-tblCalculation[[#This Row],[PtfCurrencyReturn]]</f>
        <v>3.6720000000000002E-6</v>
      </c>
      <c r="S164" s="16">
        <f>IF(tblBOneExport[[#This Row],[LEVEL1]]="Bonds",tblBOneExport[[#This Row],[PTF_GOV_CARRY]],"")</f>
        <v>2.237E-7</v>
      </c>
      <c r="T164" s="16">
        <f>tblCalculation[[#This Row],[FIAttributable]]*tblBOneExport[[#This Row],[PTF_CREDIT_CARRY]]</f>
        <v>8.5939999999999998E-7</v>
      </c>
      <c r="U164" s="16">
        <f>tblCalculation[[#This Row],[FIAttributable]]*tblBOneExport[[#This Row],[PTF_TOTAL_CURVE]]</f>
        <v>2.2471999999999998E-6</v>
      </c>
      <c r="V164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3.7500000000000001E-7</v>
      </c>
      <c r="W164" s="16">
        <f>IF(AND(tblCalculation[[#This Row],[Level3]]="Forward Contracts",tblBOneExport[[#This Row],[PTF_COST_OF_CARRY]]=0),tblBOneExport[[#This Row],[PTF_VALUATION]],0)</f>
        <v>0</v>
      </c>
      <c r="X164" s="16">
        <f>SUM(tblCalculation[[#This Row],[PtfTrading]:[PtfModelRes]])</f>
        <v>-3.32E-8</v>
      </c>
      <c r="Y164" s="16">
        <f>tblCalculation[[#This Row],[FIAttributable]]*tblBOneExport[[#This Row],[PTF_TRADING]]</f>
        <v>0</v>
      </c>
      <c r="Z164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64" s="16">
        <f>tblCalculation[[#This Row],[FIAttributable]]*tblBOneExport[[#This Row],[PTF_MODEL_RESIDUAL]]-PTF_Credit_Adj*tblCalculation[[#This Row],[PtfDTSWeight]]</f>
        <v>-3.32E-8</v>
      </c>
      <c r="AB164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64" s="16">
        <f>tblBOneExport[[#This Row],[BMK_WEIGHT]]</f>
        <v>0</v>
      </c>
      <c r="AD164" s="78">
        <f>tblCalculation[[#This Row],[FIAttributable]]*SUMIFS(tblDTS[DTSContribution_BM],tblDTS[ISIN],tblCalculation[[#This Row],[ISIN]])</f>
        <v>1.5998079449540709E-3</v>
      </c>
      <c r="AE164" s="16">
        <f>IF(SUM(tblCalculation[BMKDTS])=0,0,tblCalculation[[#This Row],[BMKDTS]]/SUM(tblCalculation[BMKDTS]))</f>
        <v>1.9013762390992874E-4</v>
      </c>
      <c r="AF164" s="16">
        <f>tblBOneExport[[#This Row],[BMK_CONTRIBUTION]]</f>
        <v>0</v>
      </c>
      <c r="AG164" s="16">
        <f>tblCalculation[[#This Row],[BMKContributionBase]]-tblBOneExport[BMK_SPOT_CCY_RETURN]-tblBOneExport[[#This Row],[BMK_CROSS_EFFECT]]</f>
        <v>0</v>
      </c>
      <c r="AH164" s="16">
        <f>tblCalculation[[#This Row],[FIAttributable]]*(tblBOneExport[[#This Row],[BMK_RETURN_GOV_CARRY]])</f>
        <v>0</v>
      </c>
      <c r="AI164" s="16">
        <f>tblCalculation[[#This Row],[FIAttributable]]*tblBOneExport[[#This Row],[BMK_CREDIT_CARRY]]</f>
        <v>0</v>
      </c>
      <c r="AJ164" s="16">
        <f>tblCalculation[[#This Row],[FIAttributable]]*tblBOneExport[[#This Row],[BMK_TOTAL_CURVE]]</f>
        <v>0</v>
      </c>
      <c r="AK164" s="16">
        <f>tblCalculation[[#This Row],[FIAttributable]]*(tblBOneExport[[#This Row],[BMK_TOTAL_SPREAD]]+BMK_Credit_Adj*tblCalculation[[#This Row],[BmkDTSWeight]])</f>
        <v>0</v>
      </c>
      <c r="AL164" s="16">
        <f>tblCalculation[[#This Row],[FIAttributable]]*tblBOneExport[[#This Row],[BMK_MODEL_RESIDUAL]]-BMK_Credit_Adj*tblCalculation[[#This Row],[BmkDTSWeight]]</f>
        <v>0</v>
      </c>
      <c r="AM164" s="16">
        <f>IF(tblCalculation[[#This Row],[Level3]]="Forward Contracts",tblCalculation[[#This Row],[BMKContributionLocal]],0)</f>
        <v>0</v>
      </c>
      <c r="AN164" s="16">
        <f>tblBOneExport[[#This Row],[BMK_SPOT_CCY_RETURN]]+tblBOneExport[[#This Row],[BMK_CROSS_EFFECT]]</f>
        <v>0</v>
      </c>
    </row>
    <row r="165" spans="5:40" x14ac:dyDescent="0.25">
      <c r="E165" s="7" t="str">
        <f>tblBOneExport[[#This Row],[INSTRUMENT_CODE]]</f>
        <v>B78F3W8</v>
      </c>
      <c r="F165" s="7" t="str">
        <f>tblBOneExport[[#This Row],[INSTRUMENT]]</f>
        <v>ANGLIAN WAT FIN 4.5 05/10/27 EMTN</v>
      </c>
      <c r="G165" s="7" t="str">
        <f>IF(tblBOneExport[[#This Row],[ISIN]]&lt;&gt;"", tblBOneExport[[#This Row],[ISIN]],"")</f>
        <v>XS0764876693</v>
      </c>
      <c r="H165" s="7" t="str">
        <f>IF(tblCalculation[[#This Row],[B1Level2]]="CDS",tblBOneExport[[#This Row],[B1_TICKER]],IF(tblCalculation[[#This Row],[ISIN]]="","",INDEX(tblGetStaticData[Ticker],MATCH(tblCalculation[[#This Row],[ISIN]],tblGetStaticData[ISIN],0))))</f>
        <v>AWLN</v>
      </c>
      <c r="I165" s="7" t="str">
        <f>IF(tblBOneExport[[#This Row],[INSTRUMENT_TYPE]]="Forward Contract","Forward Contract",tblBOneExport[LEVEL2])</f>
        <v>Corporates</v>
      </c>
      <c r="J165" s="7" t="str">
        <f>IF(tblBOneExport[[#This Row],[INSTRUMENT_TYPE]]="Forward Contract","Forward Contract",tblBOneExport[[#This Row],[LEVEL3]])</f>
        <v>Utilities</v>
      </c>
      <c r="K165" s="7" t="str">
        <f>INDEX(tblLvl2Mapping[],MATCH(tblCalculation[[#This Row],[B1Level2]]&amp;"_"&amp;tblCalculation[[#This Row],[B1Level3]],tblLvl2Mapping[B1Level2_B1Level3],0),2)</f>
        <v>Corporate</v>
      </c>
      <c r="L165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65" s="7">
        <f>INDEX(tblAttributable[],MATCH(tblCalculation[[#This Row],[Level3]],tblAttributable[Level3],0),2)</f>
        <v>1</v>
      </c>
      <c r="N165" s="16">
        <f>tblBOneExport[[#This Row],[PTF_WEIGHT]]</f>
        <v>4.0405980999999999E-3</v>
      </c>
      <c r="O165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2.669799091953844E-2</v>
      </c>
      <c r="P165" s="48">
        <f>tblCalculation[[#This Row],[PtfDTS]]/SUM(tblCalculation[PtfDTS])</f>
        <v>3.2377262931086721E-3</v>
      </c>
      <c r="Q165" s="16">
        <f>tblBOneExport[[#This Row],[PTF_CONTRIBUTION]]</f>
        <v>6.6173600000000006E-5</v>
      </c>
      <c r="R165" s="16">
        <f>tblCalculation[[#This Row],[PtfContributionBase]]-tblCalculation[[#This Row],[PtfCurrencyReturn]]</f>
        <v>6.6173600000000006E-5</v>
      </c>
      <c r="S165" s="16">
        <f>IF(tblBOneExport[[#This Row],[LEVEL1]]="Bonds",tblBOneExport[[#This Row],[PTF_GOV_CARRY]],"")</f>
        <v>3.8152999999999997E-6</v>
      </c>
      <c r="T165" s="16">
        <f>tblCalculation[[#This Row],[FIAttributable]]*tblBOneExport[[#This Row],[PTF_CREDIT_CARRY]]</f>
        <v>2.9114000000000002E-6</v>
      </c>
      <c r="U165" s="16">
        <f>tblCalculation[[#This Row],[FIAttributable]]*tblBOneExport[[#This Row],[PTF_TOTAL_CURVE]]</f>
        <v>6.8121799999999995E-5</v>
      </c>
      <c r="V165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-8.5328000000000007E-6</v>
      </c>
      <c r="W165" s="16">
        <f>IF(AND(tblCalculation[[#This Row],[Level3]]="Forward Contracts",tblBOneExport[[#This Row],[PTF_COST_OF_CARRY]]=0),tblBOneExport[[#This Row],[PTF_VALUATION]],0)</f>
        <v>0</v>
      </c>
      <c r="X165" s="16">
        <f>SUM(tblCalculation[[#This Row],[PtfTrading]:[PtfModelRes]])</f>
        <v>-1.4210000000000001E-7</v>
      </c>
      <c r="Y165" s="16">
        <f>tblCalculation[[#This Row],[FIAttributable]]*tblBOneExport[[#This Row],[PTF_TRADING]]</f>
        <v>0</v>
      </c>
      <c r="Z165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65" s="16">
        <f>tblCalculation[[#This Row],[FIAttributable]]*tblBOneExport[[#This Row],[PTF_MODEL_RESIDUAL]]-PTF_Credit_Adj*tblCalculation[[#This Row],[PtfDTSWeight]]</f>
        <v>-1.4210000000000001E-7</v>
      </c>
      <c r="AB165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65" s="16">
        <f>tblBOneExport[[#This Row],[BMK_WEIGHT]]</f>
        <v>0</v>
      </c>
      <c r="AD165" s="78">
        <f>tblCalculation[[#This Row],[FIAttributable]]*SUMIFS(tblDTS[DTSContribution_BM],tblDTS[ISIN],tblCalculation[[#This Row],[ISIN]])</f>
        <v>3.5238110204539173E-2</v>
      </c>
      <c r="AE165" s="16">
        <f>IF(SUM(tblCalculation[BMKDTS])=0,0,tblCalculation[[#This Row],[BMKDTS]]/SUM(tblCalculation[BMKDTS]))</f>
        <v>4.1880593020555629E-3</v>
      </c>
      <c r="AF165" s="16">
        <f>tblBOneExport[[#This Row],[BMK_CONTRIBUTION]]</f>
        <v>0</v>
      </c>
      <c r="AG165" s="16">
        <f>tblCalculation[[#This Row],[BMKContributionBase]]-tblBOneExport[BMK_SPOT_CCY_RETURN]-tblBOneExport[[#This Row],[BMK_CROSS_EFFECT]]</f>
        <v>0</v>
      </c>
      <c r="AH165" s="16">
        <f>tblCalculation[[#This Row],[FIAttributable]]*(tblBOneExport[[#This Row],[BMK_RETURN_GOV_CARRY]])</f>
        <v>0</v>
      </c>
      <c r="AI165" s="16">
        <f>tblCalculation[[#This Row],[FIAttributable]]*tblBOneExport[[#This Row],[BMK_CREDIT_CARRY]]</f>
        <v>0</v>
      </c>
      <c r="AJ165" s="16">
        <f>tblCalculation[[#This Row],[FIAttributable]]*tblBOneExport[[#This Row],[BMK_TOTAL_CURVE]]</f>
        <v>0</v>
      </c>
      <c r="AK165" s="16">
        <f>tblCalculation[[#This Row],[FIAttributable]]*(tblBOneExport[[#This Row],[BMK_TOTAL_SPREAD]]+BMK_Credit_Adj*tblCalculation[[#This Row],[BmkDTSWeight]])</f>
        <v>0</v>
      </c>
      <c r="AL165" s="16">
        <f>tblCalculation[[#This Row],[FIAttributable]]*tblBOneExport[[#This Row],[BMK_MODEL_RESIDUAL]]-BMK_Credit_Adj*tblCalculation[[#This Row],[BmkDTSWeight]]</f>
        <v>0</v>
      </c>
      <c r="AM165" s="16">
        <f>IF(tblCalculation[[#This Row],[Level3]]="Forward Contracts",tblCalculation[[#This Row],[BMKContributionLocal]],0)</f>
        <v>0</v>
      </c>
      <c r="AN165" s="16">
        <f>tblBOneExport[[#This Row],[BMK_SPOT_CCY_RETURN]]+tblBOneExport[[#This Row],[BMK_CROSS_EFFECT]]</f>
        <v>0</v>
      </c>
    </row>
    <row r="166" spans="5:40" x14ac:dyDescent="0.25">
      <c r="E166" s="7" t="str">
        <f>tblBOneExport[[#This Row],[INSTRUMENT_CODE]]</f>
        <v>B7VNYD7</v>
      </c>
      <c r="F166" s="7" t="str">
        <f>tblBOneExport[[#This Row],[INSTRUMENT]]</f>
        <v>GLENCORE FINANCE 6 03/04/22</v>
      </c>
      <c r="G166" s="7" t="str">
        <f>IF(tblBOneExport[[#This Row],[ISIN]]&lt;&gt;"", tblBOneExport[[#This Row],[ISIN]],"")</f>
        <v>XS0767865263</v>
      </c>
      <c r="H166" s="7" t="str">
        <f>IF(tblCalculation[[#This Row],[B1Level2]]="CDS",tblBOneExport[[#This Row],[B1_TICKER]],IF(tblCalculation[[#This Row],[ISIN]]="","",INDEX(tblGetStaticData[Ticker],MATCH(tblCalculation[[#This Row],[ISIN]],tblGetStaticData[ISIN],0))))</f>
        <v>GLENLN</v>
      </c>
      <c r="I166" s="7" t="str">
        <f>IF(tblBOneExport[[#This Row],[INSTRUMENT_TYPE]]="Forward Contract","Forward Contract",tblBOneExport[LEVEL2])</f>
        <v>Corporates</v>
      </c>
      <c r="J166" s="7" t="str">
        <f>IF(tblBOneExport[[#This Row],[INSTRUMENT_TYPE]]="Forward Contract","Forward Contract",tblBOneExport[[#This Row],[LEVEL3]])</f>
        <v>Industrials</v>
      </c>
      <c r="K166" s="7" t="str">
        <f>INDEX(tblLvl2Mapping[],MATCH(tblCalculation[[#This Row],[B1Level2]]&amp;"_"&amp;tblCalculation[[#This Row],[B1Level3]],tblLvl2Mapping[B1Level2_B1Level3],0),2)</f>
        <v>Corporate</v>
      </c>
      <c r="L166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66" s="7">
        <f>INDEX(tblAttributable[],MATCH(tblCalculation[[#This Row],[Level3]],tblAttributable[Level3],0),2)</f>
        <v>1</v>
      </c>
      <c r="N166" s="16">
        <f>tblBOneExport[[#This Row],[PTF_WEIGHT]]</f>
        <v>3.3218891000000002E-3</v>
      </c>
      <c r="O166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1.7492113126756602E-2</v>
      </c>
      <c r="P166" s="48">
        <f>tblCalculation[[#This Row],[PtfDTS]]/SUM(tblCalculation[PtfDTS])</f>
        <v>2.1213084820957124E-3</v>
      </c>
      <c r="Q166" s="16">
        <f>tblBOneExport[[#This Row],[PTF_CONTRIBUTION]]</f>
        <v>4.4363600000000003E-5</v>
      </c>
      <c r="R166" s="16">
        <f>tblCalculation[[#This Row],[PtfContributionBase]]-tblCalculation[[#This Row],[PtfCurrencyReturn]]</f>
        <v>4.4363600000000003E-5</v>
      </c>
      <c r="S166" s="16">
        <f>IF(tblBOneExport[[#This Row],[LEVEL1]]="Bonds",tblBOneExport[[#This Row],[PTF_GOV_CARRY]],"")</f>
        <v>1.1963000000000001E-6</v>
      </c>
      <c r="T166" s="16">
        <f>tblCalculation[[#This Row],[FIAttributable]]*tblBOneExport[[#This Row],[PTF_CREDIT_CARRY]]</f>
        <v>4.5950000000000001E-6</v>
      </c>
      <c r="U166" s="16">
        <f>tblCalculation[[#This Row],[FIAttributable]]*tblBOneExport[[#This Row],[PTF_TOTAL_CURVE]]</f>
        <v>2.1353999999999999E-5</v>
      </c>
      <c r="V166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1.80199E-5</v>
      </c>
      <c r="W166" s="16">
        <f>IF(AND(tblCalculation[[#This Row],[Level3]]="Forward Contracts",tblBOneExport[[#This Row],[PTF_COST_OF_CARRY]]=0),tblBOneExport[[#This Row],[PTF_VALUATION]],0)</f>
        <v>0</v>
      </c>
      <c r="X166" s="16">
        <f>SUM(tblCalculation[[#This Row],[PtfTrading]:[PtfModelRes]])</f>
        <v>-8.0159999999999998E-7</v>
      </c>
      <c r="Y166" s="16">
        <f>tblCalculation[[#This Row],[FIAttributable]]*tblBOneExport[[#This Row],[PTF_TRADING]]</f>
        <v>0</v>
      </c>
      <c r="Z166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66" s="16">
        <f>tblCalculation[[#This Row],[FIAttributable]]*tblBOneExport[[#This Row],[PTF_MODEL_RESIDUAL]]-PTF_Credit_Adj*tblCalculation[[#This Row],[PtfDTSWeight]]</f>
        <v>-8.0159999999999998E-7</v>
      </c>
      <c r="AB166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66" s="16">
        <f>tblBOneExport[[#This Row],[BMK_WEIGHT]]</f>
        <v>0</v>
      </c>
      <c r="AD166" s="78">
        <f>tblCalculation[[#This Row],[FIAttributable]]*SUMIFS(tblDTS[DTSContribution_BM],tblDTS[ISIN],tblCalculation[[#This Row],[ISIN]])</f>
        <v>2.3084485582048973E-2</v>
      </c>
      <c r="AE166" s="16">
        <f>IF(SUM(tblCalculation[BMKDTS])=0,0,tblCalculation[[#This Row],[BMKDTS]]/SUM(tblCalculation[BMKDTS]))</f>
        <v>2.743597599698013E-3</v>
      </c>
      <c r="AF166" s="16">
        <f>tblBOneExport[[#This Row],[BMK_CONTRIBUTION]]</f>
        <v>0</v>
      </c>
      <c r="AG166" s="16">
        <f>tblCalculation[[#This Row],[BMKContributionBase]]-tblBOneExport[BMK_SPOT_CCY_RETURN]-tblBOneExport[[#This Row],[BMK_CROSS_EFFECT]]</f>
        <v>0</v>
      </c>
      <c r="AH166" s="16">
        <f>tblCalculation[[#This Row],[FIAttributable]]*(tblBOneExport[[#This Row],[BMK_RETURN_GOV_CARRY]])</f>
        <v>0</v>
      </c>
      <c r="AI166" s="16">
        <f>tblCalculation[[#This Row],[FIAttributable]]*tblBOneExport[[#This Row],[BMK_CREDIT_CARRY]]</f>
        <v>0</v>
      </c>
      <c r="AJ166" s="16">
        <f>tblCalculation[[#This Row],[FIAttributable]]*tblBOneExport[[#This Row],[BMK_TOTAL_CURVE]]</f>
        <v>0</v>
      </c>
      <c r="AK166" s="16">
        <f>tblCalculation[[#This Row],[FIAttributable]]*(tblBOneExport[[#This Row],[BMK_TOTAL_SPREAD]]+BMK_Credit_Adj*tblCalculation[[#This Row],[BmkDTSWeight]])</f>
        <v>0</v>
      </c>
      <c r="AL166" s="16">
        <f>tblCalculation[[#This Row],[FIAttributable]]*tblBOneExport[[#This Row],[BMK_MODEL_RESIDUAL]]-BMK_Credit_Adj*tblCalculation[[#This Row],[BmkDTSWeight]]</f>
        <v>0</v>
      </c>
      <c r="AM166" s="16">
        <f>IF(tblCalculation[[#This Row],[Level3]]="Forward Contracts",tblCalculation[[#This Row],[BMKContributionLocal]],0)</f>
        <v>0</v>
      </c>
      <c r="AN166" s="16">
        <f>tblBOneExport[[#This Row],[BMK_SPOT_CCY_RETURN]]+tblBOneExport[[#This Row],[BMK_CROSS_EFFECT]]</f>
        <v>0</v>
      </c>
    </row>
    <row r="167" spans="5:40" x14ac:dyDescent="0.25">
      <c r="E167" s="7" t="str">
        <f>tblBOneExport[[#This Row],[INSTRUMENT_CODE]]</f>
        <v>B8CHDW7</v>
      </c>
      <c r="F167" s="7" t="str">
        <f>tblBOneExport[[#This Row],[INSTRUMENT]]</f>
        <v>AT&amp;T INC 4.875 01/06/44</v>
      </c>
      <c r="G167" s="7" t="str">
        <f>IF(tblBOneExport[[#This Row],[ISIN]]&lt;&gt;"", tblBOneExport[[#This Row],[ISIN]],"")</f>
        <v>XS0785710046</v>
      </c>
      <c r="H167" s="7" t="str">
        <f>IF(tblCalculation[[#This Row],[B1Level2]]="CDS",tblBOneExport[[#This Row],[B1_TICKER]],IF(tblCalculation[[#This Row],[ISIN]]="","",INDEX(tblGetStaticData[Ticker],MATCH(tblCalculation[[#This Row],[ISIN]],tblGetStaticData[ISIN],0))))</f>
        <v>T</v>
      </c>
      <c r="I167" s="7" t="str">
        <f>IF(tblBOneExport[[#This Row],[INSTRUMENT_TYPE]]="Forward Contract","Forward Contract",tblBOneExport[LEVEL2])</f>
        <v>Corporates</v>
      </c>
      <c r="J167" s="7" t="str">
        <f>IF(tblBOneExport[[#This Row],[INSTRUMENT_TYPE]]="Forward Contract","Forward Contract",tblBOneExport[[#This Row],[LEVEL3]])</f>
        <v>Industrials</v>
      </c>
      <c r="K167" s="7" t="str">
        <f>INDEX(tblLvl2Mapping[],MATCH(tblCalculation[[#This Row],[B1Level2]]&amp;"_"&amp;tblCalculation[[#This Row],[B1Level3]],tblLvl2Mapping[B1Level2_B1Level3],0),2)</f>
        <v>Corporate</v>
      </c>
      <c r="L167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67" s="7">
        <f>INDEX(tblAttributable[],MATCH(tblCalculation[[#This Row],[Level3]],tblAttributable[Level3],0),2)</f>
        <v>1</v>
      </c>
      <c r="N167" s="16">
        <f>tblBOneExport[[#This Row],[PTF_WEIGHT]]</f>
        <v>1.9332908999999999E-3</v>
      </c>
      <c r="O167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7.1391272648869269E-2</v>
      </c>
      <c r="P167" s="48">
        <f>tblCalculation[[#This Row],[PtfDTS]]/SUM(tblCalculation[PtfDTS])</f>
        <v>8.6577825743649681E-3</v>
      </c>
      <c r="Q167" s="16">
        <f>tblBOneExport[[#This Row],[PTF_CONTRIBUTION]]</f>
        <v>2.9779999999999999E-5</v>
      </c>
      <c r="R167" s="16">
        <f>tblCalculation[[#This Row],[PtfContributionBase]]-tblCalculation[[#This Row],[PtfCurrencyReturn]]</f>
        <v>2.9779999999999999E-5</v>
      </c>
      <c r="S167" s="16">
        <f>IF(tblBOneExport[[#This Row],[LEVEL1]]="Bonds",tblBOneExport[[#This Row],[PTF_GOV_CARRY]],"")</f>
        <v>2.8231000000000001E-6</v>
      </c>
      <c r="T167" s="16">
        <f>tblCalculation[[#This Row],[FIAttributable]]*tblBOneExport[[#This Row],[PTF_CREDIT_CARRY]]</f>
        <v>3.3315000000000002E-6</v>
      </c>
      <c r="U167" s="16">
        <f>tblCalculation[[#This Row],[FIAttributable]]*tblBOneExport[[#This Row],[PTF_TOTAL_CURVE]]</f>
        <v>5.0262500000000002E-5</v>
      </c>
      <c r="V167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-2.7566500000000001E-5</v>
      </c>
      <c r="W167" s="16">
        <f>IF(AND(tblCalculation[[#This Row],[Level3]]="Forward Contracts",tblBOneExport[[#This Row],[PTF_COST_OF_CARRY]]=0),tblBOneExport[[#This Row],[PTF_VALUATION]],0)</f>
        <v>0</v>
      </c>
      <c r="X167" s="16">
        <f>SUM(tblCalculation[[#This Row],[PtfTrading]:[PtfModelRes]])</f>
        <v>9.2940000000000005E-7</v>
      </c>
      <c r="Y167" s="16">
        <f>tblCalculation[[#This Row],[FIAttributable]]*tblBOneExport[[#This Row],[PTF_TRADING]]</f>
        <v>0</v>
      </c>
      <c r="Z167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67" s="16">
        <f>tblCalculation[[#This Row],[FIAttributable]]*tblBOneExport[[#This Row],[PTF_MODEL_RESIDUAL]]-PTF_Credit_Adj*tblCalculation[[#This Row],[PtfDTSWeight]]</f>
        <v>9.2940000000000005E-7</v>
      </c>
      <c r="AB167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67" s="16">
        <f>tblBOneExport[[#This Row],[BMK_WEIGHT]]</f>
        <v>0</v>
      </c>
      <c r="AD167" s="78">
        <f>tblCalculation[[#This Row],[FIAttributable]]*SUMIFS(tblDTS[DTSContribution_BM],tblDTS[ISIN],tblCalculation[[#This Row],[ISIN]])</f>
        <v>9.4223209302632518E-2</v>
      </c>
      <c r="AE167" s="16">
        <f>IF(SUM(tblCalculation[BMKDTS])=0,0,tblCalculation[[#This Row],[BMKDTS]]/SUM(tblCalculation[BMKDTS]))</f>
        <v>1.1198454908588902E-2</v>
      </c>
      <c r="AF167" s="16">
        <f>tblBOneExport[[#This Row],[BMK_CONTRIBUTION]]</f>
        <v>0</v>
      </c>
      <c r="AG167" s="16">
        <f>tblCalculation[[#This Row],[BMKContributionBase]]-tblBOneExport[BMK_SPOT_CCY_RETURN]-tblBOneExport[[#This Row],[BMK_CROSS_EFFECT]]</f>
        <v>0</v>
      </c>
      <c r="AH167" s="16">
        <f>tblCalculation[[#This Row],[FIAttributable]]*(tblBOneExport[[#This Row],[BMK_RETURN_GOV_CARRY]])</f>
        <v>0</v>
      </c>
      <c r="AI167" s="16">
        <f>tblCalculation[[#This Row],[FIAttributable]]*tblBOneExport[[#This Row],[BMK_CREDIT_CARRY]]</f>
        <v>0</v>
      </c>
      <c r="AJ167" s="16">
        <f>tblCalculation[[#This Row],[FIAttributable]]*tblBOneExport[[#This Row],[BMK_TOTAL_CURVE]]</f>
        <v>0</v>
      </c>
      <c r="AK167" s="16">
        <f>tblCalculation[[#This Row],[FIAttributable]]*(tblBOneExport[[#This Row],[BMK_TOTAL_SPREAD]]+BMK_Credit_Adj*tblCalculation[[#This Row],[BmkDTSWeight]])</f>
        <v>0</v>
      </c>
      <c r="AL167" s="16">
        <f>tblCalculation[[#This Row],[FIAttributable]]*tblBOneExport[[#This Row],[BMK_MODEL_RESIDUAL]]-BMK_Credit_Adj*tblCalculation[[#This Row],[BmkDTSWeight]]</f>
        <v>0</v>
      </c>
      <c r="AM167" s="16">
        <f>IF(tblCalculation[[#This Row],[Level3]]="Forward Contracts",tblCalculation[[#This Row],[BMKContributionLocal]],0)</f>
        <v>0</v>
      </c>
      <c r="AN167" s="16">
        <f>tblBOneExport[[#This Row],[BMK_SPOT_CCY_RETURN]]+tblBOneExport[[#This Row],[BMK_CROSS_EFFECT]]</f>
        <v>0</v>
      </c>
    </row>
    <row r="168" spans="5:40" x14ac:dyDescent="0.25">
      <c r="E168" s="7" t="str">
        <f>tblBOneExport[[#This Row],[INSTRUMENT_CODE]]</f>
        <v>B80PXH8</v>
      </c>
      <c r="F168" s="7" t="str">
        <f>tblBOneExport[[#This Row],[INSTRUMENT]]</f>
        <v>DEUTSCH BAHN FIN 2.75 20/06/22 EMTN</v>
      </c>
      <c r="G168" s="7" t="str">
        <f>IF(tblBOneExport[[#This Row],[ISIN]]&lt;&gt;"", tblBOneExport[[#This Row],[ISIN]],"")</f>
        <v>XS0794224369</v>
      </c>
      <c r="H168" s="7" t="str">
        <f>IF(tblCalculation[[#This Row],[B1Level2]]="CDS",tblBOneExport[[#This Row],[B1_TICKER]],IF(tblCalculation[[#This Row],[ISIN]]="","",INDEX(tblGetStaticData[Ticker],MATCH(tblCalculation[[#This Row],[ISIN]],tblGetStaticData[ISIN],0))))</f>
        <v>DBHNGR</v>
      </c>
      <c r="I168" s="7" t="str">
        <f>IF(tblBOneExport[[#This Row],[INSTRUMENT_TYPE]]="Forward Contract","Forward Contract",tblBOneExport[LEVEL2])</f>
        <v>Non-Corporate</v>
      </c>
      <c r="J168" s="7" t="str">
        <f>IF(tblBOneExport[[#This Row],[INSTRUMENT_TYPE]]="Forward Contract","Forward Contract",tblBOneExport[[#This Row],[LEVEL3]])</f>
        <v>Foreign Agency</v>
      </c>
      <c r="K168" s="7" t="str">
        <f>INDEX(tblLvl2Mapping[],MATCH(tblCalculation[[#This Row],[B1Level2]]&amp;"_"&amp;tblCalculation[[#This Row],[B1Level3]],tblLvl2Mapping[B1Level2_B1Level3],0),2)</f>
        <v>Corporate</v>
      </c>
      <c r="L168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68" s="7">
        <f>INDEX(tblAttributable[],MATCH(tblCalculation[[#This Row],[Level3]],tblAttributable[Level3],0),2)</f>
        <v>1</v>
      </c>
      <c r="N168" s="16">
        <f>tblBOneExport[[#This Row],[PTF_WEIGHT]]</f>
        <v>1.8899969999999999E-4</v>
      </c>
      <c r="O168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1.7239248626795095E-4</v>
      </c>
      <c r="P168" s="48">
        <f>tblCalculation[[#This Row],[PtfDTS]]/SUM(tblCalculation[PtfDTS])</f>
        <v>2.0906430270587947E-5</v>
      </c>
      <c r="Q168" s="16">
        <f>tblBOneExport[[#This Row],[PTF_CONTRIBUTION]]</f>
        <v>1.3380999999999999E-6</v>
      </c>
      <c r="R168" s="16">
        <f>tblCalculation[[#This Row],[PtfContributionBase]]-tblCalculation[[#This Row],[PtfCurrencyReturn]]</f>
        <v>1.3380999999999999E-6</v>
      </c>
      <c r="S168" s="16">
        <f>IF(tblBOneExport[[#This Row],[LEVEL1]]="Bonds",tblBOneExport[[#This Row],[PTF_GOV_CARRY]],"")</f>
        <v>7.5300000000000006E-8</v>
      </c>
      <c r="T168" s="16">
        <f>tblCalculation[[#This Row],[FIAttributable]]*tblBOneExport[[#This Row],[PTF_CREDIT_CARRY]]</f>
        <v>8.0200000000000003E-8</v>
      </c>
      <c r="U168" s="16">
        <f>tblCalculation[[#This Row],[FIAttributable]]*tblBOneExport[[#This Row],[PTF_TOTAL_CURVE]]</f>
        <v>1.4043E-6</v>
      </c>
      <c r="V168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-2.1689999999999999E-7</v>
      </c>
      <c r="W168" s="16">
        <f>IF(AND(tblCalculation[[#This Row],[Level3]]="Forward Contracts",tblBOneExport[[#This Row],[PTF_COST_OF_CARRY]]=0),tblBOneExport[[#This Row],[PTF_VALUATION]],0)</f>
        <v>0</v>
      </c>
      <c r="X168" s="16">
        <f>SUM(tblCalculation[[#This Row],[PtfTrading]:[PtfModelRes]])</f>
        <v>-4.8E-9</v>
      </c>
      <c r="Y168" s="16">
        <f>tblCalculation[[#This Row],[FIAttributable]]*tblBOneExport[[#This Row],[PTF_TRADING]]</f>
        <v>0</v>
      </c>
      <c r="Z168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68" s="16">
        <f>tblCalculation[[#This Row],[FIAttributable]]*tblBOneExport[[#This Row],[PTF_MODEL_RESIDUAL]]-PTF_Credit_Adj*tblCalculation[[#This Row],[PtfDTSWeight]]</f>
        <v>-4.8E-9</v>
      </c>
      <c r="AB168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68" s="16">
        <f>tblBOneExport[[#This Row],[BMK_WEIGHT]]</f>
        <v>0</v>
      </c>
      <c r="AD168" s="78">
        <f>tblCalculation[[#This Row],[FIAttributable]]*SUMIFS(tblDTS[DTSContribution_BM],tblDTS[ISIN],tblCalculation[[#This Row],[ISIN]])</f>
        <v>0</v>
      </c>
      <c r="AE168" s="16">
        <f>IF(SUM(tblCalculation[BMKDTS])=0,0,tblCalculation[[#This Row],[BMKDTS]]/SUM(tblCalculation[BMKDTS]))</f>
        <v>0</v>
      </c>
      <c r="AF168" s="16">
        <f>tblBOneExport[[#This Row],[BMK_CONTRIBUTION]]</f>
        <v>0</v>
      </c>
      <c r="AG168" s="16">
        <f>tblCalculation[[#This Row],[BMKContributionBase]]-tblBOneExport[BMK_SPOT_CCY_RETURN]-tblBOneExport[[#This Row],[BMK_CROSS_EFFECT]]</f>
        <v>0</v>
      </c>
      <c r="AH168" s="16">
        <f>tblCalculation[[#This Row],[FIAttributable]]*(tblBOneExport[[#This Row],[BMK_RETURN_GOV_CARRY]])</f>
        <v>0</v>
      </c>
      <c r="AI168" s="16">
        <f>tblCalculation[[#This Row],[FIAttributable]]*tblBOneExport[[#This Row],[BMK_CREDIT_CARRY]]</f>
        <v>0</v>
      </c>
      <c r="AJ168" s="16">
        <f>tblCalculation[[#This Row],[FIAttributable]]*tblBOneExport[[#This Row],[BMK_TOTAL_CURVE]]</f>
        <v>0</v>
      </c>
      <c r="AK168" s="16">
        <f>tblCalculation[[#This Row],[FIAttributable]]*(tblBOneExport[[#This Row],[BMK_TOTAL_SPREAD]]+BMK_Credit_Adj*tblCalculation[[#This Row],[BmkDTSWeight]])</f>
        <v>0</v>
      </c>
      <c r="AL168" s="16">
        <f>tblCalculation[[#This Row],[FIAttributable]]*tblBOneExport[[#This Row],[BMK_MODEL_RESIDUAL]]-BMK_Credit_Adj*tblCalculation[[#This Row],[BmkDTSWeight]]</f>
        <v>0</v>
      </c>
      <c r="AM168" s="16">
        <f>IF(tblCalculation[[#This Row],[Level3]]="Forward Contracts",tblCalculation[[#This Row],[BMKContributionLocal]],0)</f>
        <v>0</v>
      </c>
      <c r="AN168" s="16">
        <f>tblBOneExport[[#This Row],[BMK_SPOT_CCY_RETURN]]+tblBOneExport[[#This Row],[BMK_CROSS_EFFECT]]</f>
        <v>0</v>
      </c>
    </row>
    <row r="169" spans="5:40" x14ac:dyDescent="0.25">
      <c r="E169" s="7" t="str">
        <f>tblBOneExport[[#This Row],[INSTRUMENT_CODE]]</f>
        <v>B8BQJB6</v>
      </c>
      <c r="F169" s="7" t="str">
        <f>tblBOneExport[[#This Row],[INSTRUMENT]]</f>
        <v>THAMES WATER UTC 4.625 04/06/46 EMTN</v>
      </c>
      <c r="G169" s="7" t="str">
        <f>IF(tblBOneExport[[#This Row],[ISIN]]&lt;&gt;"", tblBOneExport[[#This Row],[ISIN]],"")</f>
        <v>XS0800186222</v>
      </c>
      <c r="H169" s="7" t="str">
        <f>IF(tblCalculation[[#This Row],[B1Level2]]="CDS",tblBOneExport[[#This Row],[B1_TICKER]],IF(tblCalculation[[#This Row],[ISIN]]="","",INDEX(tblGetStaticData[Ticker],MATCH(tblCalculation[[#This Row],[ISIN]],tblGetStaticData[ISIN],0))))</f>
        <v>THAMES</v>
      </c>
      <c r="I169" s="7" t="str">
        <f>IF(tblBOneExport[[#This Row],[INSTRUMENT_TYPE]]="Forward Contract","Forward Contract",tblBOneExport[LEVEL2])</f>
        <v>Corporates</v>
      </c>
      <c r="J169" s="7" t="str">
        <f>IF(tblBOneExport[[#This Row],[INSTRUMENT_TYPE]]="Forward Contract","Forward Contract",tblBOneExport[[#This Row],[LEVEL3]])</f>
        <v>Utilities</v>
      </c>
      <c r="K169" s="7" t="str">
        <f>INDEX(tblLvl2Mapping[],MATCH(tblCalculation[[#This Row],[B1Level2]]&amp;"_"&amp;tblCalculation[[#This Row],[B1Level3]],tblLvl2Mapping[B1Level2_B1Level3],0),2)</f>
        <v>Corporate</v>
      </c>
      <c r="L169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69" s="7">
        <f>INDEX(tblAttributable[],MATCH(tblCalculation[[#This Row],[Level3]],tblAttributable[Level3],0),2)</f>
        <v>1</v>
      </c>
      <c r="N169" s="16">
        <f>tblBOneExport[[#This Row],[PTF_WEIGHT]]</f>
        <v>2.2393068999999998E-3</v>
      </c>
      <c r="O169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5.6637428971619455E-2</v>
      </c>
      <c r="P169" s="48">
        <f>tblCalculation[[#This Row],[PtfDTS]]/SUM(tblCalculation[PtfDTS])</f>
        <v>6.8685502781142393E-3</v>
      </c>
      <c r="Q169" s="16">
        <f>tblBOneExport[[#This Row],[PTF_CONTRIBUTION]]</f>
        <v>4.4146200000000001E-5</v>
      </c>
      <c r="R169" s="16">
        <f>tblCalculation[[#This Row],[PtfContributionBase]]-tblCalculation[[#This Row],[PtfCurrencyReturn]]</f>
        <v>4.4146200000000001E-5</v>
      </c>
      <c r="S169" s="16">
        <f>IF(tblBOneExport[[#This Row],[LEVEL1]]="Bonds",tblBOneExport[[#This Row],[PTF_GOV_CARRY]],"")</f>
        <v>3.2932000000000001E-6</v>
      </c>
      <c r="T169" s="16">
        <f>tblCalculation[[#This Row],[FIAttributable]]*tblBOneExport[[#This Row],[PTF_CREDIT_CARRY]]</f>
        <v>2.1681E-6</v>
      </c>
      <c r="U169" s="16">
        <f>tblCalculation[[#This Row],[FIAttributable]]*tblBOneExport[[#This Row],[PTF_TOTAL_CURVE]]</f>
        <v>6.4772300000000003E-5</v>
      </c>
      <c r="V169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-2.9332500000000001E-5</v>
      </c>
      <c r="W169" s="16">
        <f>IF(AND(tblCalculation[[#This Row],[Level3]]="Forward Contracts",tblBOneExport[[#This Row],[PTF_COST_OF_CARRY]]=0),tblBOneExport[[#This Row],[PTF_VALUATION]],0)</f>
        <v>0</v>
      </c>
      <c r="X169" s="16">
        <f>SUM(tblCalculation[[#This Row],[PtfTrading]:[PtfModelRes]])</f>
        <v>3.2451000000000001E-6</v>
      </c>
      <c r="Y169" s="16">
        <f>tblCalculation[[#This Row],[FIAttributable]]*tblBOneExport[[#This Row],[PTF_TRADING]]</f>
        <v>0</v>
      </c>
      <c r="Z169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69" s="16">
        <f>tblCalculation[[#This Row],[FIAttributable]]*tblBOneExport[[#This Row],[PTF_MODEL_RESIDUAL]]-PTF_Credit_Adj*tblCalculation[[#This Row],[PtfDTSWeight]]</f>
        <v>3.2451000000000001E-6</v>
      </c>
      <c r="AB169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69" s="16">
        <f>tblBOneExport[[#This Row],[BMK_WEIGHT]]</f>
        <v>0</v>
      </c>
      <c r="AD169" s="78">
        <f>tblCalculation[[#This Row],[FIAttributable]]*SUMIFS(tblDTS[DTSContribution_BM],tblDTS[ISIN],tblCalculation[[#This Row],[ISIN]])</f>
        <v>6.264360846603588E-2</v>
      </c>
      <c r="AE169" s="16">
        <f>IF(SUM(tblCalculation[BMKDTS])=0,0,tblCalculation[[#This Row],[BMKDTS]]/SUM(tblCalculation[BMKDTS]))</f>
        <v>7.4452104731970873E-3</v>
      </c>
      <c r="AF169" s="16">
        <f>tblBOneExport[[#This Row],[BMK_CONTRIBUTION]]</f>
        <v>0</v>
      </c>
      <c r="AG169" s="16">
        <f>tblCalculation[[#This Row],[BMKContributionBase]]-tblBOneExport[BMK_SPOT_CCY_RETURN]-tblBOneExport[[#This Row],[BMK_CROSS_EFFECT]]</f>
        <v>0</v>
      </c>
      <c r="AH169" s="16">
        <f>tblCalculation[[#This Row],[FIAttributable]]*(tblBOneExport[[#This Row],[BMK_RETURN_GOV_CARRY]])</f>
        <v>0</v>
      </c>
      <c r="AI169" s="16">
        <f>tblCalculation[[#This Row],[FIAttributable]]*tblBOneExport[[#This Row],[BMK_CREDIT_CARRY]]</f>
        <v>0</v>
      </c>
      <c r="AJ169" s="16">
        <f>tblCalculation[[#This Row],[FIAttributable]]*tblBOneExport[[#This Row],[BMK_TOTAL_CURVE]]</f>
        <v>0</v>
      </c>
      <c r="AK169" s="16">
        <f>tblCalculation[[#This Row],[FIAttributable]]*(tblBOneExport[[#This Row],[BMK_TOTAL_SPREAD]]+BMK_Credit_Adj*tblCalculation[[#This Row],[BmkDTSWeight]])</f>
        <v>0</v>
      </c>
      <c r="AL169" s="16">
        <f>tblCalculation[[#This Row],[FIAttributable]]*tblBOneExport[[#This Row],[BMK_MODEL_RESIDUAL]]-BMK_Credit_Adj*tblCalculation[[#This Row],[BmkDTSWeight]]</f>
        <v>0</v>
      </c>
      <c r="AM169" s="16">
        <f>IF(tblCalculation[[#This Row],[Level3]]="Forward Contracts",tblCalculation[[#This Row],[BMKContributionLocal]],0)</f>
        <v>0</v>
      </c>
      <c r="AN169" s="16">
        <f>tblBOneExport[[#This Row],[BMK_SPOT_CCY_RETURN]]+tblBOneExport[[#This Row],[BMK_CROSS_EFFECT]]</f>
        <v>0</v>
      </c>
    </row>
    <row r="170" spans="5:40" x14ac:dyDescent="0.25">
      <c r="E170" s="7" t="str">
        <f>tblBOneExport[[#This Row],[INSTRUMENT_CODE]]</f>
        <v>B7KSP41</v>
      </c>
      <c r="F170" s="7" t="str">
        <f>tblBOneExport[[#This Row],[INSTRUMENT]]</f>
        <v>TFL 3.875 23/07/42 EMTN</v>
      </c>
      <c r="G170" s="7" t="str">
        <f>IF(tblBOneExport[[#This Row],[ISIN]]&lt;&gt;"", tblBOneExport[[#This Row],[ISIN]],"")</f>
        <v>XS0806476544</v>
      </c>
      <c r="H170" s="7" t="str">
        <f>IF(tblCalculation[[#This Row],[B1Level2]]="CDS",tblBOneExport[[#This Row],[B1_TICKER]],IF(tblCalculation[[#This Row],[ISIN]]="","",INDEX(tblGetStaticData[Ticker],MATCH(tblCalculation[[#This Row],[ISIN]],tblGetStaticData[ISIN],0))))</f>
        <v>TRANLN</v>
      </c>
      <c r="I170" s="7" t="str">
        <f>IF(tblBOneExport[[#This Row],[INSTRUMENT_TYPE]]="Forward Contract","Forward Contract",tblBOneExport[LEVEL2])</f>
        <v>Non-Corporate</v>
      </c>
      <c r="J170" s="7" t="str">
        <f>IF(tblBOneExport[[#This Row],[INSTRUMENT_TYPE]]="Forward Contract","Forward Contract",tblBOneExport[[#This Row],[LEVEL3]])</f>
        <v>Foreign Agency</v>
      </c>
      <c r="K170" s="7" t="str">
        <f>INDEX(tblLvl2Mapping[],MATCH(tblCalculation[[#This Row],[B1Level2]]&amp;"_"&amp;tblCalculation[[#This Row],[B1Level3]],tblLvl2Mapping[B1Level2_B1Level3],0),2)</f>
        <v>Corporate</v>
      </c>
      <c r="L170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70" s="7">
        <f>INDEX(tblAttributable[],MATCH(tblCalculation[[#This Row],[Level3]],tblAttributable[Level3],0),2)</f>
        <v>1</v>
      </c>
      <c r="N170" s="16">
        <f>tblBOneExport[[#This Row],[PTF_WEIGHT]]</f>
        <v>4.4946878999999997E-3</v>
      </c>
      <c r="O170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6.7260310161405212E-2</v>
      </c>
      <c r="P170" s="48">
        <f>tblCalculation[[#This Row],[PtfDTS]]/SUM(tblCalculation[PtfDTS])</f>
        <v>8.1568113251868218E-3</v>
      </c>
      <c r="Q170" s="16">
        <f>tblBOneExport[[#This Row],[PTF_CONTRIBUTION]]</f>
        <v>1.283995E-4</v>
      </c>
      <c r="R170" s="16">
        <f>tblCalculation[[#This Row],[PtfContributionBase]]-tblCalculation[[#This Row],[PtfCurrencyReturn]]</f>
        <v>1.283995E-4</v>
      </c>
      <c r="S170" s="16">
        <f>IF(tblBOneExport[[#This Row],[LEVEL1]]="Bonds",tblBOneExport[[#This Row],[PTF_GOV_CARRY]],"")</f>
        <v>6.6623999999999999E-6</v>
      </c>
      <c r="T170" s="16">
        <f>tblCalculation[[#This Row],[FIAttributable]]*tblBOneExport[[#This Row],[PTF_CREDIT_CARRY]]</f>
        <v>2.2458000000000002E-6</v>
      </c>
      <c r="U170" s="16">
        <f>tblCalculation[[#This Row],[FIAttributable]]*tblBOneExport[[#This Row],[PTF_TOTAL_CURVE]]</f>
        <v>1.26284E-4</v>
      </c>
      <c r="V170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-1.0765500000000001E-5</v>
      </c>
      <c r="W170" s="16">
        <f>IF(AND(tblCalculation[[#This Row],[Level3]]="Forward Contracts",tblBOneExport[[#This Row],[PTF_COST_OF_CARRY]]=0),tblBOneExport[[#This Row],[PTF_VALUATION]],0)</f>
        <v>0</v>
      </c>
      <c r="X170" s="16">
        <f>SUM(tblCalculation[[#This Row],[PtfTrading]:[PtfModelRes]])</f>
        <v>3.9728000000000003E-6</v>
      </c>
      <c r="Y170" s="16">
        <f>tblCalculation[[#This Row],[FIAttributable]]*tblBOneExport[[#This Row],[PTF_TRADING]]</f>
        <v>0</v>
      </c>
      <c r="Z170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70" s="16">
        <f>tblCalculation[[#This Row],[FIAttributable]]*tblBOneExport[[#This Row],[PTF_MODEL_RESIDUAL]]-PTF_Credit_Adj*tblCalculation[[#This Row],[PtfDTSWeight]]</f>
        <v>3.9728000000000003E-6</v>
      </c>
      <c r="AB170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70" s="16">
        <f>tblBOneExport[[#This Row],[BMK_WEIGHT]]</f>
        <v>0</v>
      </c>
      <c r="AD170" s="78">
        <f>tblCalculation[[#This Row],[FIAttributable]]*SUMIFS(tblDTS[DTSContribution_BM],tblDTS[ISIN],tblCalculation[[#This Row],[ISIN]])</f>
        <v>8.8776908549406508E-2</v>
      </c>
      <c r="AE170" s="16">
        <f>IF(SUM(tblCalculation[BMKDTS])=0,0,tblCalculation[[#This Row],[BMKDTS]]/SUM(tblCalculation[BMKDTS]))</f>
        <v>1.0551160533296262E-2</v>
      </c>
      <c r="AF170" s="16">
        <f>tblBOneExport[[#This Row],[BMK_CONTRIBUTION]]</f>
        <v>0</v>
      </c>
      <c r="AG170" s="16">
        <f>tblCalculation[[#This Row],[BMKContributionBase]]-tblBOneExport[BMK_SPOT_CCY_RETURN]-tblBOneExport[[#This Row],[BMK_CROSS_EFFECT]]</f>
        <v>0</v>
      </c>
      <c r="AH170" s="16">
        <f>tblCalculation[[#This Row],[FIAttributable]]*(tblBOneExport[[#This Row],[BMK_RETURN_GOV_CARRY]])</f>
        <v>0</v>
      </c>
      <c r="AI170" s="16">
        <f>tblCalculation[[#This Row],[FIAttributable]]*tblBOneExport[[#This Row],[BMK_CREDIT_CARRY]]</f>
        <v>0</v>
      </c>
      <c r="AJ170" s="16">
        <f>tblCalculation[[#This Row],[FIAttributable]]*tblBOneExport[[#This Row],[BMK_TOTAL_CURVE]]</f>
        <v>0</v>
      </c>
      <c r="AK170" s="16">
        <f>tblCalculation[[#This Row],[FIAttributable]]*(tblBOneExport[[#This Row],[BMK_TOTAL_SPREAD]]+BMK_Credit_Adj*tblCalculation[[#This Row],[BmkDTSWeight]])</f>
        <v>0</v>
      </c>
      <c r="AL170" s="16">
        <f>tblCalculation[[#This Row],[FIAttributable]]*tblBOneExport[[#This Row],[BMK_MODEL_RESIDUAL]]-BMK_Credit_Adj*tblCalculation[[#This Row],[BmkDTSWeight]]</f>
        <v>0</v>
      </c>
      <c r="AM170" s="16">
        <f>IF(tblCalculation[[#This Row],[Level3]]="Forward Contracts",tblCalculation[[#This Row],[BMKContributionLocal]],0)</f>
        <v>0</v>
      </c>
      <c r="AN170" s="16">
        <f>tblBOneExport[[#This Row],[BMK_SPOT_CCY_RETURN]]+tblBOneExport[[#This Row],[BMK_CROSS_EFFECT]]</f>
        <v>0</v>
      </c>
    </row>
    <row r="171" spans="5:40" x14ac:dyDescent="0.25">
      <c r="E171" s="7" t="str">
        <f>tblBOneExport[[#This Row],[INSTRUMENT_CODE]]</f>
        <v>B8C36H1</v>
      </c>
      <c r="F171" s="7" t="str">
        <f>tblBOneExport[[#This Row],[INSTRUMENT]]</f>
        <v>YORKS WATER BRAD 3.625 01/08/29 EMTN</v>
      </c>
      <c r="G171" s="7" t="str">
        <f>IF(tblBOneExport[[#This Row],[ISIN]]&lt;&gt;"", tblBOneExport[[#This Row],[ISIN]],"")</f>
        <v>XS0810290832</v>
      </c>
      <c r="H171" s="7" t="str">
        <f>IF(tblCalculation[[#This Row],[B1Level2]]="CDS",tblBOneExport[[#This Row],[B1_TICKER]],IF(tblCalculation[[#This Row],[ISIN]]="","",INDEX(tblGetStaticData[Ticker],MATCH(tblCalculation[[#This Row],[ISIN]],tblGetStaticData[ISIN],0))))</f>
        <v>KEL</v>
      </c>
      <c r="I171" s="7" t="str">
        <f>IF(tblBOneExport[[#This Row],[INSTRUMENT_TYPE]]="Forward Contract","Forward Contract",tblBOneExport[LEVEL2])</f>
        <v>Corporates</v>
      </c>
      <c r="J171" s="7" t="str">
        <f>IF(tblBOneExport[[#This Row],[INSTRUMENT_TYPE]]="Forward Contract","Forward Contract",tblBOneExport[[#This Row],[LEVEL3]])</f>
        <v>Utilities</v>
      </c>
      <c r="K171" s="7" t="str">
        <f>INDEX(tblLvl2Mapping[],MATCH(tblCalculation[[#This Row],[B1Level2]]&amp;"_"&amp;tblCalculation[[#This Row],[B1Level3]],tblLvl2Mapping[B1Level2_B1Level3],0),2)</f>
        <v>Corporate</v>
      </c>
      <c r="L171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71" s="7">
        <f>INDEX(tblAttributable[],MATCH(tblCalculation[[#This Row],[Level3]],tblAttributable[Level3],0),2)</f>
        <v>1</v>
      </c>
      <c r="N171" s="16">
        <f>tblBOneExport[[#This Row],[PTF_WEIGHT]]</f>
        <v>1.12865955E-2</v>
      </c>
      <c r="O171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8.7724598910547111E-2</v>
      </c>
      <c r="P171" s="48">
        <f>tblCalculation[[#This Row],[PtfDTS]]/SUM(tblCalculation[PtfDTS])</f>
        <v>1.0638562328569445E-2</v>
      </c>
      <c r="Q171" s="16">
        <f>tblBOneExport[[#This Row],[PTF_CONTRIBUTION]]</f>
        <v>2.4513120000000001E-4</v>
      </c>
      <c r="R171" s="16">
        <f>tblCalculation[[#This Row],[PtfContributionBase]]-tblCalculation[[#This Row],[PtfCurrencyReturn]]</f>
        <v>2.4513120000000001E-4</v>
      </c>
      <c r="S171" s="16">
        <f>IF(tblBOneExport[[#This Row],[LEVEL1]]="Bonds",tblBOneExport[[#This Row],[PTF_GOV_CARRY]],"")</f>
        <v>1.28789E-5</v>
      </c>
      <c r="T171" s="16">
        <f>tblCalculation[[#This Row],[FIAttributable]]*tblBOneExport[[#This Row],[PTF_CREDIT_CARRY]]</f>
        <v>6.6043999999999998E-6</v>
      </c>
      <c r="U171" s="16">
        <f>tblCalculation[[#This Row],[FIAttributable]]*tblBOneExport[[#This Row],[PTF_TOTAL_CURVE]]</f>
        <v>2.2242879999999999E-4</v>
      </c>
      <c r="V171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8.9149E-6</v>
      </c>
      <c r="W171" s="16">
        <f>IF(AND(tblCalculation[[#This Row],[Level3]]="Forward Contracts",tblBOneExport[[#This Row],[PTF_COST_OF_CARRY]]=0),tblBOneExport[[#This Row],[PTF_VALUATION]],0)</f>
        <v>0</v>
      </c>
      <c r="X171" s="16">
        <f>SUM(tblCalculation[[#This Row],[PtfTrading]:[PtfModelRes]])</f>
        <v>-5.6957999999999997E-6</v>
      </c>
      <c r="Y171" s="16">
        <f>tblCalculation[[#This Row],[FIAttributable]]*tblBOneExport[[#This Row],[PTF_TRADING]]</f>
        <v>4.88E-8</v>
      </c>
      <c r="Z171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71" s="16">
        <f>tblCalculation[[#This Row],[FIAttributable]]*tblBOneExport[[#This Row],[PTF_MODEL_RESIDUAL]]-PTF_Credit_Adj*tblCalculation[[#This Row],[PtfDTSWeight]]</f>
        <v>-5.7446E-6</v>
      </c>
      <c r="AB171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71" s="16">
        <f>tblBOneExport[[#This Row],[BMK_WEIGHT]]</f>
        <v>0</v>
      </c>
      <c r="AD171" s="78">
        <f>tblCalculation[[#This Row],[FIAttributable]]*SUMIFS(tblDTS[DTSContribution_BM],tblDTS[ISIN],tblCalculation[[#This Row],[ISIN]])</f>
        <v>9.9072680668267729E-2</v>
      </c>
      <c r="AE171" s="16">
        <f>IF(SUM(tblCalculation[BMKDTS])=0,0,tblCalculation[[#This Row],[BMKDTS]]/SUM(tblCalculation[BMKDTS]))</f>
        <v>1.1774815943417736E-2</v>
      </c>
      <c r="AF171" s="16">
        <f>tblBOneExport[[#This Row],[BMK_CONTRIBUTION]]</f>
        <v>0</v>
      </c>
      <c r="AG171" s="16">
        <f>tblCalculation[[#This Row],[BMKContributionBase]]-tblBOneExport[BMK_SPOT_CCY_RETURN]-tblBOneExport[[#This Row],[BMK_CROSS_EFFECT]]</f>
        <v>0</v>
      </c>
      <c r="AH171" s="16">
        <f>tblCalculation[[#This Row],[FIAttributable]]*(tblBOneExport[[#This Row],[BMK_RETURN_GOV_CARRY]])</f>
        <v>0</v>
      </c>
      <c r="AI171" s="16">
        <f>tblCalculation[[#This Row],[FIAttributable]]*tblBOneExport[[#This Row],[BMK_CREDIT_CARRY]]</f>
        <v>0</v>
      </c>
      <c r="AJ171" s="16">
        <f>tblCalculation[[#This Row],[FIAttributable]]*tblBOneExport[[#This Row],[BMK_TOTAL_CURVE]]</f>
        <v>0</v>
      </c>
      <c r="AK171" s="16">
        <f>tblCalculation[[#This Row],[FIAttributable]]*(tblBOneExport[[#This Row],[BMK_TOTAL_SPREAD]]+BMK_Credit_Adj*tblCalculation[[#This Row],[BmkDTSWeight]])</f>
        <v>0</v>
      </c>
      <c r="AL171" s="16">
        <f>tblCalculation[[#This Row],[FIAttributable]]*tblBOneExport[[#This Row],[BMK_MODEL_RESIDUAL]]-BMK_Credit_Adj*tblCalculation[[#This Row],[BmkDTSWeight]]</f>
        <v>0</v>
      </c>
      <c r="AM171" s="16">
        <f>IF(tblCalculation[[#This Row],[Level3]]="Forward Contracts",tblCalculation[[#This Row],[BMKContributionLocal]],0)</f>
        <v>0</v>
      </c>
      <c r="AN171" s="16">
        <f>tblBOneExport[[#This Row],[BMK_SPOT_CCY_RETURN]]+tblBOneExport[[#This Row],[BMK_CROSS_EFFECT]]</f>
        <v>0</v>
      </c>
    </row>
    <row r="172" spans="5:40" x14ac:dyDescent="0.25">
      <c r="E172" s="7" t="str">
        <f>tblBOneExport[[#This Row],[INSTRUMENT_CODE]]</f>
        <v>B8KQNB5</v>
      </c>
      <c r="F172" s="7" t="str">
        <f>tblBOneExport[[#This Row],[INSTRUMENT]]</f>
        <v>AMERICA MOVIL SA 4.375 07/08/41</v>
      </c>
      <c r="G172" s="7" t="str">
        <f>IF(tblBOneExport[[#This Row],[ISIN]]&lt;&gt;"", tblBOneExport[[#This Row],[ISIN]],"")</f>
        <v>XS0812855277</v>
      </c>
      <c r="H172" s="7" t="str">
        <f>IF(tblCalculation[[#This Row],[B1Level2]]="CDS",tblBOneExport[[#This Row],[B1_TICKER]],IF(tblCalculation[[#This Row],[ISIN]]="","",INDEX(tblGetStaticData[Ticker],MATCH(tblCalculation[[#This Row],[ISIN]],tblGetStaticData[ISIN],0))))</f>
        <v>AMXLMM</v>
      </c>
      <c r="I172" s="7" t="str">
        <f>IF(tblBOneExport[[#This Row],[INSTRUMENT_TYPE]]="Forward Contract","Forward Contract",tblBOneExport[LEVEL2])</f>
        <v>Corporates</v>
      </c>
      <c r="J172" s="7" t="str">
        <f>IF(tblBOneExport[[#This Row],[INSTRUMENT_TYPE]]="Forward Contract","Forward Contract",tblBOneExport[[#This Row],[LEVEL3]])</f>
        <v>Industrials</v>
      </c>
      <c r="K172" s="7" t="str">
        <f>INDEX(tblLvl2Mapping[],MATCH(tblCalculation[[#This Row],[B1Level2]]&amp;"_"&amp;tblCalculation[[#This Row],[B1Level3]],tblLvl2Mapping[B1Level2_B1Level3],0),2)</f>
        <v>Corporate</v>
      </c>
      <c r="L172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72" s="7">
        <f>INDEX(tblAttributable[],MATCH(tblCalculation[[#This Row],[Level3]],tblAttributable[Level3],0),2)</f>
        <v>1</v>
      </c>
      <c r="N172" s="16">
        <f>tblBOneExport[[#This Row],[PTF_WEIGHT]]</f>
        <v>1.2948644000000001E-3</v>
      </c>
      <c r="O172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3.7039322008076067E-2</v>
      </c>
      <c r="P172" s="48">
        <f>tblCalculation[[#This Row],[PtfDTS]]/SUM(tblCalculation[PtfDTS])</f>
        <v>4.4918431168055788E-3</v>
      </c>
      <c r="Q172" s="16">
        <f>tblBOneExport[[#This Row],[PTF_CONTRIBUTION]]</f>
        <v>4.7141800000000003E-5</v>
      </c>
      <c r="R172" s="16">
        <f>tblCalculation[[#This Row],[PtfContributionBase]]-tblCalculation[[#This Row],[PtfCurrencyReturn]]</f>
        <v>4.7141800000000003E-5</v>
      </c>
      <c r="S172" s="16">
        <f>IF(tblBOneExport[[#This Row],[LEVEL1]]="Bonds",tblBOneExport[[#This Row],[PTF_GOV_CARRY]],"")</f>
        <v>1.8794E-6</v>
      </c>
      <c r="T172" s="16">
        <f>tblCalculation[[#This Row],[FIAttributable]]*tblBOneExport[[#This Row],[PTF_CREDIT_CARRY]]</f>
        <v>1.7237999999999999E-6</v>
      </c>
      <c r="U172" s="16">
        <f>tblCalculation[[#This Row],[FIAttributable]]*tblBOneExport[[#This Row],[PTF_TOTAL_CURVE]]</f>
        <v>2.9232699999999999E-5</v>
      </c>
      <c r="V172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1.41522E-5</v>
      </c>
      <c r="W172" s="16">
        <f>IF(AND(tblCalculation[[#This Row],[Level3]]="Forward Contracts",tblBOneExport[[#This Row],[PTF_COST_OF_CARRY]]=0),tblBOneExport[[#This Row],[PTF_VALUATION]],0)</f>
        <v>0</v>
      </c>
      <c r="X172" s="16">
        <f>SUM(tblCalculation[[#This Row],[PtfTrading]:[PtfModelRes]])</f>
        <v>1.5370000000000001E-7</v>
      </c>
      <c r="Y172" s="16">
        <f>tblCalculation[[#This Row],[FIAttributable]]*tblBOneExport[[#This Row],[PTF_TRADING]]</f>
        <v>0</v>
      </c>
      <c r="Z172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72" s="16">
        <f>tblCalculation[[#This Row],[FIAttributable]]*tblBOneExport[[#This Row],[PTF_MODEL_RESIDUAL]]-PTF_Credit_Adj*tblCalculation[[#This Row],[PtfDTSWeight]]</f>
        <v>1.5370000000000001E-7</v>
      </c>
      <c r="AB172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72" s="16">
        <f>tblBOneExport[[#This Row],[BMK_WEIGHT]]</f>
        <v>0</v>
      </c>
      <c r="AD172" s="78">
        <f>tblCalculation[[#This Row],[FIAttributable]]*SUMIFS(tblDTS[DTSContribution_BM],tblDTS[ISIN],tblCalculation[[#This Row],[ISIN]])</f>
        <v>0</v>
      </c>
      <c r="AE172" s="16">
        <f>IF(SUM(tblCalculation[BMKDTS])=0,0,tblCalculation[[#This Row],[BMKDTS]]/SUM(tblCalculation[BMKDTS]))</f>
        <v>0</v>
      </c>
      <c r="AF172" s="16">
        <f>tblBOneExport[[#This Row],[BMK_CONTRIBUTION]]</f>
        <v>0</v>
      </c>
      <c r="AG172" s="16">
        <f>tblCalculation[[#This Row],[BMKContributionBase]]-tblBOneExport[BMK_SPOT_CCY_RETURN]-tblBOneExport[[#This Row],[BMK_CROSS_EFFECT]]</f>
        <v>0</v>
      </c>
      <c r="AH172" s="16">
        <f>tblCalculation[[#This Row],[FIAttributable]]*(tblBOneExport[[#This Row],[BMK_RETURN_GOV_CARRY]])</f>
        <v>0</v>
      </c>
      <c r="AI172" s="16">
        <f>tblCalculation[[#This Row],[FIAttributable]]*tblBOneExport[[#This Row],[BMK_CREDIT_CARRY]]</f>
        <v>0</v>
      </c>
      <c r="AJ172" s="16">
        <f>tblCalculation[[#This Row],[FIAttributable]]*tblBOneExport[[#This Row],[BMK_TOTAL_CURVE]]</f>
        <v>0</v>
      </c>
      <c r="AK172" s="16">
        <f>tblCalculation[[#This Row],[FIAttributable]]*(tblBOneExport[[#This Row],[BMK_TOTAL_SPREAD]]+BMK_Credit_Adj*tblCalculation[[#This Row],[BmkDTSWeight]])</f>
        <v>0</v>
      </c>
      <c r="AL172" s="16">
        <f>tblCalculation[[#This Row],[FIAttributable]]*tblBOneExport[[#This Row],[BMK_MODEL_RESIDUAL]]-BMK_Credit_Adj*tblCalculation[[#This Row],[BmkDTSWeight]]</f>
        <v>0</v>
      </c>
      <c r="AM172" s="16">
        <f>IF(tblCalculation[[#This Row],[Level3]]="Forward Contracts",tblCalculation[[#This Row],[BMKContributionLocal]],0)</f>
        <v>0</v>
      </c>
      <c r="AN172" s="16">
        <f>tblBOneExport[[#This Row],[BMK_SPOT_CCY_RETURN]]+tblBOneExport[[#This Row],[BMK_CROSS_EFFECT]]</f>
        <v>0</v>
      </c>
    </row>
    <row r="173" spans="5:40" x14ac:dyDescent="0.25">
      <c r="E173" s="7" t="str">
        <f>tblBOneExport[[#This Row],[INSTRUMENT_CODE]]</f>
        <v>B8FVGY9</v>
      </c>
      <c r="F173" s="7" t="str">
        <f>tblBOneExport[[#This Row],[INSTRUMENT]]</f>
        <v>TFL 2.25 09/08/22 EMTN</v>
      </c>
      <c r="G173" s="7" t="str">
        <f>IF(tblBOneExport[[#This Row],[ISIN]]&lt;&gt;"", tblBOneExport[[#This Row],[ISIN]],"")</f>
        <v>XS0813371100</v>
      </c>
      <c r="H173" s="7" t="str">
        <f>IF(tblCalculation[[#This Row],[B1Level2]]="CDS",tblBOneExport[[#This Row],[B1_TICKER]],IF(tblCalculation[[#This Row],[ISIN]]="","",INDEX(tblGetStaticData[Ticker],MATCH(tblCalculation[[#This Row],[ISIN]],tblGetStaticData[ISIN],0))))</f>
        <v>TRANLN</v>
      </c>
      <c r="I173" s="7" t="str">
        <f>IF(tblBOneExport[[#This Row],[INSTRUMENT_TYPE]]="Forward Contract","Forward Contract",tblBOneExport[LEVEL2])</f>
        <v>Non-Corporate</v>
      </c>
      <c r="J173" s="7" t="str">
        <f>IF(tblBOneExport[[#This Row],[INSTRUMENT_TYPE]]="Forward Contract","Forward Contract",tblBOneExport[[#This Row],[LEVEL3]])</f>
        <v>Foreign Agency</v>
      </c>
      <c r="K173" s="7" t="str">
        <f>INDEX(tblLvl2Mapping[],MATCH(tblCalculation[[#This Row],[B1Level2]]&amp;"_"&amp;tblCalculation[[#This Row],[B1Level3]],tblLvl2Mapping[B1Level2_B1Level3],0),2)</f>
        <v>Corporate</v>
      </c>
      <c r="L173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73" s="7">
        <f>INDEX(tblAttributable[],MATCH(tblCalculation[[#This Row],[Level3]],tblAttributable[Level3],0),2)</f>
        <v>1</v>
      </c>
      <c r="N173" s="16">
        <f>tblBOneExport[[#This Row],[PTF_WEIGHT]]</f>
        <v>1.8551845999999999E-3</v>
      </c>
      <c r="O173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1.7469011480399752E-3</v>
      </c>
      <c r="P173" s="48">
        <f>tblCalculation[[#This Row],[PtfDTS]]/SUM(tblCalculation[PtfDTS])</f>
        <v>2.1185068927158564E-4</v>
      </c>
      <c r="Q173" s="16">
        <f>tblBOneExport[[#This Row],[PTF_CONTRIBUTION]]</f>
        <v>1.37692E-5</v>
      </c>
      <c r="R173" s="16">
        <f>tblCalculation[[#This Row],[PtfContributionBase]]-tblCalculation[[#This Row],[PtfCurrencyReturn]]</f>
        <v>1.37692E-5</v>
      </c>
      <c r="S173" s="16">
        <f>IF(tblBOneExport[[#This Row],[LEVEL1]]="Bonds",tblBOneExport[[#This Row],[PTF_GOV_CARRY]],"")</f>
        <v>7.8000000000000005E-7</v>
      </c>
      <c r="T173" s="16">
        <f>tblCalculation[[#This Row],[FIAttributable]]*tblBOneExport[[#This Row],[PTF_CREDIT_CARRY]]</f>
        <v>7.8850000000000005E-7</v>
      </c>
      <c r="U173" s="16">
        <f>tblCalculation[[#This Row],[FIAttributable]]*tblBOneExport[[#This Row],[PTF_TOTAL_CURVE]]</f>
        <v>1.4295600000000001E-5</v>
      </c>
      <c r="V173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-9.8100000000000001E-7</v>
      </c>
      <c r="W173" s="16">
        <f>IF(AND(tblCalculation[[#This Row],[Level3]]="Forward Contracts",tblBOneExport[[#This Row],[PTF_COST_OF_CARRY]]=0),tblBOneExport[[#This Row],[PTF_VALUATION]],0)</f>
        <v>0</v>
      </c>
      <c r="X173" s="16">
        <f>SUM(tblCalculation[[#This Row],[PtfTrading]:[PtfModelRes]])</f>
        <v>-1.1139E-6</v>
      </c>
      <c r="Y173" s="16">
        <f>tblCalculation[[#This Row],[FIAttributable]]*tblBOneExport[[#This Row],[PTF_TRADING]]</f>
        <v>0</v>
      </c>
      <c r="Z173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73" s="16">
        <f>tblCalculation[[#This Row],[FIAttributable]]*tblBOneExport[[#This Row],[PTF_MODEL_RESIDUAL]]-PTF_Credit_Adj*tblCalculation[[#This Row],[PtfDTSWeight]]</f>
        <v>-1.1139E-6</v>
      </c>
      <c r="AB173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73" s="16">
        <f>tblBOneExport[[#This Row],[BMK_WEIGHT]]</f>
        <v>0</v>
      </c>
      <c r="AD173" s="78">
        <f>tblCalculation[[#This Row],[FIAttributable]]*SUMIFS(tblDTS[DTSContribution_BM],tblDTS[ISIN],tblCalculation[[#This Row],[ISIN]])</f>
        <v>2.3052874333341191E-3</v>
      </c>
      <c r="AE173" s="16">
        <f>IF(SUM(tblCalculation[BMKDTS])=0,0,tblCalculation[[#This Row],[BMKDTS]]/SUM(tblCalculation[BMKDTS]))</f>
        <v>2.7398405939042358E-4</v>
      </c>
      <c r="AF173" s="16">
        <f>tblBOneExport[[#This Row],[BMK_CONTRIBUTION]]</f>
        <v>0</v>
      </c>
      <c r="AG173" s="16">
        <f>tblCalculation[[#This Row],[BMKContributionBase]]-tblBOneExport[BMK_SPOT_CCY_RETURN]-tblBOneExport[[#This Row],[BMK_CROSS_EFFECT]]</f>
        <v>0</v>
      </c>
      <c r="AH173" s="16">
        <f>tblCalculation[[#This Row],[FIAttributable]]*(tblBOneExport[[#This Row],[BMK_RETURN_GOV_CARRY]])</f>
        <v>0</v>
      </c>
      <c r="AI173" s="16">
        <f>tblCalculation[[#This Row],[FIAttributable]]*tblBOneExport[[#This Row],[BMK_CREDIT_CARRY]]</f>
        <v>0</v>
      </c>
      <c r="AJ173" s="16">
        <f>tblCalculation[[#This Row],[FIAttributable]]*tblBOneExport[[#This Row],[BMK_TOTAL_CURVE]]</f>
        <v>0</v>
      </c>
      <c r="AK173" s="16">
        <f>tblCalculation[[#This Row],[FIAttributable]]*(tblBOneExport[[#This Row],[BMK_TOTAL_SPREAD]]+BMK_Credit_Adj*tblCalculation[[#This Row],[BmkDTSWeight]])</f>
        <v>0</v>
      </c>
      <c r="AL173" s="16">
        <f>tblCalculation[[#This Row],[FIAttributable]]*tblBOneExport[[#This Row],[BMK_MODEL_RESIDUAL]]-BMK_Credit_Adj*tblCalculation[[#This Row],[BmkDTSWeight]]</f>
        <v>0</v>
      </c>
      <c r="AM173" s="16">
        <f>IF(tblCalculation[[#This Row],[Level3]]="Forward Contracts",tblCalculation[[#This Row],[BMKContributionLocal]],0)</f>
        <v>0</v>
      </c>
      <c r="AN173" s="16">
        <f>tblBOneExport[[#This Row],[BMK_SPOT_CCY_RETURN]]+tblBOneExport[[#This Row],[BMK_CROSS_EFFECT]]</f>
        <v>0</v>
      </c>
    </row>
    <row r="174" spans="5:40" x14ac:dyDescent="0.25">
      <c r="E174" s="7" t="str">
        <f>tblBOneExport[[#This Row],[INSTRUMENT_CODE]]</f>
        <v>B87JY36</v>
      </c>
      <c r="F174" s="7" t="str">
        <f>tblBOneExport[[#This Row],[INSTRUMENT]]</f>
        <v>BHP BILLITON FIN 3.25 25/09/24 EMTN</v>
      </c>
      <c r="G174" s="7" t="str">
        <f>IF(tblBOneExport[[#This Row],[ISIN]]&lt;&gt;"", tblBOneExport[[#This Row],[ISIN]],"")</f>
        <v>XS0834399635</v>
      </c>
      <c r="H174" s="7" t="str">
        <f>IF(tblCalculation[[#This Row],[B1Level2]]="CDS",tblBOneExport[[#This Row],[B1_TICKER]],IF(tblCalculation[[#This Row],[ISIN]]="","",INDEX(tblGetStaticData[Ticker],MATCH(tblCalculation[[#This Row],[ISIN]],tblGetStaticData[ISIN],0))))</f>
        <v>BHP</v>
      </c>
      <c r="I174" s="7" t="str">
        <f>IF(tblBOneExport[[#This Row],[INSTRUMENT_TYPE]]="Forward Contract","Forward Contract",tblBOneExport[LEVEL2])</f>
        <v>Corporates</v>
      </c>
      <c r="J174" s="7" t="str">
        <f>IF(tblBOneExport[[#This Row],[INSTRUMENT_TYPE]]="Forward Contract","Forward Contract",tblBOneExport[[#This Row],[LEVEL3]])</f>
        <v>Industrials</v>
      </c>
      <c r="K174" s="7" t="str">
        <f>INDEX(tblLvl2Mapping[],MATCH(tblCalculation[[#This Row],[B1Level2]]&amp;"_"&amp;tblCalculation[[#This Row],[B1Level3]],tblLvl2Mapping[B1Level2_B1Level3],0),2)</f>
        <v>Corporate</v>
      </c>
      <c r="L174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74" s="7">
        <f>INDEX(tblAttributable[],MATCH(tblCalculation[[#This Row],[Level3]],tblAttributable[Level3],0),2)</f>
        <v>1</v>
      </c>
      <c r="N174" s="16">
        <f>tblBOneExport[[#This Row],[PTF_WEIGHT]]</f>
        <v>1.7138358E-3</v>
      </c>
      <c r="O174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6.9200532258806048E-3</v>
      </c>
      <c r="P174" s="48">
        <f>tblCalculation[[#This Row],[PtfDTS]]/SUM(tblCalculation[PtfDTS])</f>
        <v>8.3921064872144566E-4</v>
      </c>
      <c r="Q174" s="16">
        <f>tblBOneExport[[#This Row],[PTF_CONTRIBUTION]]</f>
        <v>3.3271400000000001E-5</v>
      </c>
      <c r="R174" s="16">
        <f>tblCalculation[[#This Row],[PtfContributionBase]]-tblCalculation[[#This Row],[PtfCurrencyReturn]]</f>
        <v>3.3271400000000001E-5</v>
      </c>
      <c r="S174" s="16">
        <f>IF(tblBOneExport[[#This Row],[LEVEL1]]="Bonds",tblBOneExport[[#This Row],[PTF_GOV_CARRY]],"")</f>
        <v>1.0968E-6</v>
      </c>
      <c r="T174" s="16">
        <f>tblCalculation[[#This Row],[FIAttributable]]*tblBOneExport[[#This Row],[PTF_CREDIT_CARRY]]</f>
        <v>1.2462E-6</v>
      </c>
      <c r="U174" s="16">
        <f>tblCalculation[[#This Row],[FIAttributable]]*tblBOneExport[[#This Row],[PTF_TOTAL_CURVE]]</f>
        <v>1.95278E-5</v>
      </c>
      <c r="V174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1.0720199999999999E-5</v>
      </c>
      <c r="W174" s="16">
        <f>IF(AND(tblCalculation[[#This Row],[Level3]]="Forward Contracts",tblBOneExport[[#This Row],[PTF_COST_OF_CARRY]]=0),tblBOneExport[[#This Row],[PTF_VALUATION]],0)</f>
        <v>0</v>
      </c>
      <c r="X174" s="16">
        <f>SUM(tblCalculation[[#This Row],[PtfTrading]:[PtfModelRes]])</f>
        <v>6.8039999999999998E-7</v>
      </c>
      <c r="Y174" s="16">
        <f>tblCalculation[[#This Row],[FIAttributable]]*tblBOneExport[[#This Row],[PTF_TRADING]]</f>
        <v>0</v>
      </c>
      <c r="Z174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74" s="16">
        <f>tblCalculation[[#This Row],[FIAttributable]]*tblBOneExport[[#This Row],[PTF_MODEL_RESIDUAL]]-PTF_Credit_Adj*tblCalculation[[#This Row],[PtfDTSWeight]]</f>
        <v>6.8039999999999998E-7</v>
      </c>
      <c r="AB174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74" s="16">
        <f>tblBOneExport[[#This Row],[BMK_WEIGHT]]</f>
        <v>0</v>
      </c>
      <c r="AD174" s="78">
        <f>tblCalculation[[#This Row],[FIAttributable]]*SUMIFS(tblDTS[DTSContribution_BM],tblDTS[ISIN],tblCalculation[[#This Row],[ISIN]])</f>
        <v>9.135107128207684E-3</v>
      </c>
      <c r="AE174" s="16">
        <f>IF(SUM(tblCalculation[BMKDTS])=0,0,tblCalculation[[#This Row],[BMKDTS]]/SUM(tblCalculation[BMKDTS]))</f>
        <v>1.0857100497584586E-3</v>
      </c>
      <c r="AF174" s="16">
        <f>tblBOneExport[[#This Row],[BMK_CONTRIBUTION]]</f>
        <v>0</v>
      </c>
      <c r="AG174" s="16">
        <f>tblCalculation[[#This Row],[BMKContributionBase]]-tblBOneExport[BMK_SPOT_CCY_RETURN]-tblBOneExport[[#This Row],[BMK_CROSS_EFFECT]]</f>
        <v>0</v>
      </c>
      <c r="AH174" s="16">
        <f>tblCalculation[[#This Row],[FIAttributable]]*(tblBOneExport[[#This Row],[BMK_RETURN_GOV_CARRY]])</f>
        <v>0</v>
      </c>
      <c r="AI174" s="16">
        <f>tblCalculation[[#This Row],[FIAttributable]]*tblBOneExport[[#This Row],[BMK_CREDIT_CARRY]]</f>
        <v>0</v>
      </c>
      <c r="AJ174" s="16">
        <f>tblCalculation[[#This Row],[FIAttributable]]*tblBOneExport[[#This Row],[BMK_TOTAL_CURVE]]</f>
        <v>0</v>
      </c>
      <c r="AK174" s="16">
        <f>tblCalculation[[#This Row],[FIAttributable]]*(tblBOneExport[[#This Row],[BMK_TOTAL_SPREAD]]+BMK_Credit_Adj*tblCalculation[[#This Row],[BmkDTSWeight]])</f>
        <v>0</v>
      </c>
      <c r="AL174" s="16">
        <f>tblCalculation[[#This Row],[FIAttributable]]*tblBOneExport[[#This Row],[BMK_MODEL_RESIDUAL]]-BMK_Credit_Adj*tblCalculation[[#This Row],[BmkDTSWeight]]</f>
        <v>0</v>
      </c>
      <c r="AM174" s="16">
        <f>IF(tblCalculation[[#This Row],[Level3]]="Forward Contracts",tblCalculation[[#This Row],[BMKContributionLocal]],0)</f>
        <v>0</v>
      </c>
      <c r="AN174" s="16">
        <f>tblBOneExport[[#This Row],[BMK_SPOT_CCY_RETURN]]+tblBOneExport[[#This Row],[BMK_CROSS_EFFECT]]</f>
        <v>0</v>
      </c>
    </row>
    <row r="175" spans="5:40" x14ac:dyDescent="0.25">
      <c r="E175" s="7" t="str">
        <f>tblBOneExport[[#This Row],[INSTRUMENT_CODE]]</f>
        <v>B89KPJ0</v>
      </c>
      <c r="F175" s="7" t="str">
        <f>tblBOneExport[[#This Row],[INSTRUMENT]]</f>
        <v>BHP BILLITON FIN 4.3 25/09/42 12</v>
      </c>
      <c r="G175" s="7" t="str">
        <f>IF(tblBOneExport[[#This Row],[ISIN]]&lt;&gt;"", tblBOneExport[[#This Row],[ISIN]],"")</f>
        <v>XS0834399981</v>
      </c>
      <c r="H175" s="7" t="str">
        <f>IF(tblCalculation[[#This Row],[B1Level2]]="CDS",tblBOneExport[[#This Row],[B1_TICKER]],IF(tblCalculation[[#This Row],[ISIN]]="","",INDEX(tblGetStaticData[Ticker],MATCH(tblCalculation[[#This Row],[ISIN]],tblGetStaticData[ISIN],0))))</f>
        <v>BHP</v>
      </c>
      <c r="I175" s="7" t="str">
        <f>IF(tblBOneExport[[#This Row],[INSTRUMENT_TYPE]]="Forward Contract","Forward Contract",tblBOneExport[LEVEL2])</f>
        <v>Corporates</v>
      </c>
      <c r="J175" s="7" t="str">
        <f>IF(tblBOneExport[[#This Row],[INSTRUMENT_TYPE]]="Forward Contract","Forward Contract",tblBOneExport[[#This Row],[LEVEL3]])</f>
        <v>Industrials</v>
      </c>
      <c r="K175" s="7" t="str">
        <f>INDEX(tblLvl2Mapping[],MATCH(tblCalculation[[#This Row],[B1Level2]]&amp;"_"&amp;tblCalculation[[#This Row],[B1Level3]],tblLvl2Mapping[B1Level2_B1Level3],0),2)</f>
        <v>Corporate</v>
      </c>
      <c r="L175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75" s="7">
        <f>INDEX(tblAttributable[],MATCH(tblCalculation[[#This Row],[Level3]],tblAttributable[Level3],0),2)</f>
        <v>1</v>
      </c>
      <c r="N175" s="16">
        <f>tblBOneExport[[#This Row],[PTF_WEIGHT]]</f>
        <v>3.0064622000000002E-3</v>
      </c>
      <c r="O175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6.7321552515944391E-2</v>
      </c>
      <c r="P175" s="48">
        <f>tblCalculation[[#This Row],[PtfDTS]]/SUM(tblCalculation[PtfDTS])</f>
        <v>8.1642383252985892E-3</v>
      </c>
      <c r="Q175" s="16">
        <f>tblBOneExport[[#This Row],[PTF_CONTRIBUTION]]</f>
        <v>9.6105400000000003E-5</v>
      </c>
      <c r="R175" s="16">
        <f>tblCalculation[[#This Row],[PtfContributionBase]]-tblCalculation[[#This Row],[PtfCurrencyReturn]]</f>
        <v>9.6105400000000003E-5</v>
      </c>
      <c r="S175" s="16">
        <f>IF(tblBOneExport[[#This Row],[LEVEL1]]="Bonds",tblBOneExport[[#This Row],[PTF_GOV_CARRY]],"")</f>
        <v>4.4352000000000003E-6</v>
      </c>
      <c r="T175" s="16">
        <f>tblCalculation[[#This Row],[FIAttributable]]*tblBOneExport[[#This Row],[PTF_CREDIT_CARRY]]</f>
        <v>2.8275E-6</v>
      </c>
      <c r="U175" s="16">
        <f>tblCalculation[[#This Row],[FIAttributable]]*tblBOneExport[[#This Row],[PTF_TOTAL_CURVE]]</f>
        <v>7.8686700000000007E-5</v>
      </c>
      <c r="V175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8.7737000000000004E-6</v>
      </c>
      <c r="W175" s="16">
        <f>IF(AND(tblCalculation[[#This Row],[Level3]]="Forward Contracts",tblBOneExport[[#This Row],[PTF_COST_OF_CARRY]]=0),tblBOneExport[[#This Row],[PTF_VALUATION]],0)</f>
        <v>0</v>
      </c>
      <c r="X175" s="16">
        <f>SUM(tblCalculation[[#This Row],[PtfTrading]:[PtfModelRes]])</f>
        <v>1.3824000000000001E-6</v>
      </c>
      <c r="Y175" s="16">
        <f>tblCalculation[[#This Row],[FIAttributable]]*tblBOneExport[[#This Row],[PTF_TRADING]]</f>
        <v>0</v>
      </c>
      <c r="Z175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75" s="16">
        <f>tblCalculation[[#This Row],[FIAttributable]]*tblBOneExport[[#This Row],[PTF_MODEL_RESIDUAL]]-PTF_Credit_Adj*tblCalculation[[#This Row],[PtfDTSWeight]]</f>
        <v>1.3824000000000001E-6</v>
      </c>
      <c r="AB175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75" s="16">
        <f>tblBOneExport[[#This Row],[BMK_WEIGHT]]</f>
        <v>0</v>
      </c>
      <c r="AD175" s="78">
        <f>tblCalculation[[#This Row],[FIAttributable]]*SUMIFS(tblDTS[DTSContribution_BM],tblDTS[ISIN],tblCalculation[[#This Row],[ISIN]])</f>
        <v>8.8857627344973808E-2</v>
      </c>
      <c r="AE175" s="16">
        <f>IF(SUM(tblCalculation[BMKDTS])=0,0,tblCalculation[[#This Row],[BMKDTS]]/SUM(tblCalculation[BMKDTS]))</f>
        <v>1.056075398483677E-2</v>
      </c>
      <c r="AF175" s="16">
        <f>tblBOneExport[[#This Row],[BMK_CONTRIBUTION]]</f>
        <v>0</v>
      </c>
      <c r="AG175" s="16">
        <f>tblCalculation[[#This Row],[BMKContributionBase]]-tblBOneExport[BMK_SPOT_CCY_RETURN]-tblBOneExport[[#This Row],[BMK_CROSS_EFFECT]]</f>
        <v>0</v>
      </c>
      <c r="AH175" s="16">
        <f>tblCalculation[[#This Row],[FIAttributable]]*(tblBOneExport[[#This Row],[BMK_RETURN_GOV_CARRY]])</f>
        <v>0</v>
      </c>
      <c r="AI175" s="16">
        <f>tblCalculation[[#This Row],[FIAttributable]]*tblBOneExport[[#This Row],[BMK_CREDIT_CARRY]]</f>
        <v>0</v>
      </c>
      <c r="AJ175" s="16">
        <f>tblCalculation[[#This Row],[FIAttributable]]*tblBOneExport[[#This Row],[BMK_TOTAL_CURVE]]</f>
        <v>0</v>
      </c>
      <c r="AK175" s="16">
        <f>tblCalculation[[#This Row],[FIAttributable]]*(tblBOneExport[[#This Row],[BMK_TOTAL_SPREAD]]+BMK_Credit_Adj*tblCalculation[[#This Row],[BmkDTSWeight]])</f>
        <v>0</v>
      </c>
      <c r="AL175" s="16">
        <f>tblCalculation[[#This Row],[FIAttributable]]*tblBOneExport[[#This Row],[BMK_MODEL_RESIDUAL]]-BMK_Credit_Adj*tblCalculation[[#This Row],[BmkDTSWeight]]</f>
        <v>0</v>
      </c>
      <c r="AM175" s="16">
        <f>IF(tblCalculation[[#This Row],[Level3]]="Forward Contracts",tblCalculation[[#This Row],[BMKContributionLocal]],0)</f>
        <v>0</v>
      </c>
      <c r="AN175" s="16">
        <f>tblBOneExport[[#This Row],[BMK_SPOT_CCY_RETURN]]+tblBOneExport[[#This Row],[BMK_CROSS_EFFECT]]</f>
        <v>0</v>
      </c>
    </row>
    <row r="176" spans="5:40" x14ac:dyDescent="0.25">
      <c r="E176" s="7" t="str">
        <f>tblBOneExport[[#This Row],[INSTRUMENT_CODE]]</f>
        <v>B87DTJ9</v>
      </c>
      <c r="F176" s="7" t="str">
        <f>tblBOneExport[[#This Row],[INSTRUMENT]]</f>
        <v>MET LIFE GLOB 3.5 30/09/26 GMTN</v>
      </c>
      <c r="G176" s="7" t="str">
        <f>IF(tblBOneExport[[#This Row],[ISIN]]&lt;&gt;"", tblBOneExport[[#This Row],[ISIN]],"")</f>
        <v>XS0834641358</v>
      </c>
      <c r="H176" s="7" t="str">
        <f>IF(tblCalculation[[#This Row],[B1Level2]]="CDS",tblBOneExport[[#This Row],[B1_TICKER]],IF(tblCalculation[[#This Row],[ISIN]]="","",INDEX(tblGetStaticData[Ticker],MATCH(tblCalculation[[#This Row],[ISIN]],tblGetStaticData[ISIN],0))))</f>
        <v>MET</v>
      </c>
      <c r="I176" s="7" t="str">
        <f>IF(tblBOneExport[[#This Row],[INSTRUMENT_TYPE]]="Forward Contract","Forward Contract",tblBOneExport[LEVEL2])</f>
        <v>Corporates</v>
      </c>
      <c r="J176" s="7" t="str">
        <f>IF(tblBOneExport[[#This Row],[INSTRUMENT_TYPE]]="Forward Contract","Forward Contract",tblBOneExport[[#This Row],[LEVEL3]])</f>
        <v>Financial Institutions</v>
      </c>
      <c r="K176" s="7" t="str">
        <f>INDEX(tblLvl2Mapping[],MATCH(tblCalculation[[#This Row],[B1Level2]]&amp;"_"&amp;tblCalculation[[#This Row],[B1Level3]],tblLvl2Mapping[B1Level2_B1Level3],0),2)</f>
        <v>Corporate</v>
      </c>
      <c r="L176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76" s="7">
        <f>INDEX(tblAttributable[],MATCH(tblCalculation[[#This Row],[Level3]],tblAttributable[Level3],0),2)</f>
        <v>1</v>
      </c>
      <c r="N176" s="16">
        <f>tblBOneExport[[#This Row],[PTF_WEIGHT]]</f>
        <v>3.4105571999999999E-3</v>
      </c>
      <c r="O176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1.6975014820979562E-2</v>
      </c>
      <c r="P176" s="48">
        <f>tblCalculation[[#This Row],[PtfDTS]]/SUM(tblCalculation[PtfDTS])</f>
        <v>2.0585987903521657E-3</v>
      </c>
      <c r="Q176" s="16">
        <f>tblBOneExport[[#This Row],[PTF_CONTRIBUTION]]</f>
        <v>5.0176200000000003E-5</v>
      </c>
      <c r="R176" s="16">
        <f>tblCalculation[[#This Row],[PtfContributionBase]]-tblCalculation[[#This Row],[PtfCurrencyReturn]]</f>
        <v>5.0176200000000003E-5</v>
      </c>
      <c r="S176" s="16">
        <f>IF(tblBOneExport[[#This Row],[LEVEL1]]="Bonds",tblBOneExport[[#This Row],[PTF_GOV_CARRY]],"")</f>
        <v>2.9138E-6</v>
      </c>
      <c r="T176" s="16">
        <f>tblCalculation[[#This Row],[FIAttributable]]*tblBOneExport[[#This Row],[PTF_CREDIT_CARRY]]</f>
        <v>2.0750999999999998E-6</v>
      </c>
      <c r="U176" s="16">
        <f>tblCalculation[[#This Row],[FIAttributable]]*tblBOneExport[[#This Row],[PTF_TOTAL_CURVE]]</f>
        <v>5.2708699999999999E-5</v>
      </c>
      <c r="V176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-7.4236000000000004E-6</v>
      </c>
      <c r="W176" s="16">
        <f>IF(AND(tblCalculation[[#This Row],[Level3]]="Forward Contracts",tblBOneExport[[#This Row],[PTF_COST_OF_CARRY]]=0),tblBOneExport[[#This Row],[PTF_VALUATION]],0)</f>
        <v>0</v>
      </c>
      <c r="X176" s="16">
        <f>SUM(tblCalculation[[#This Row],[PtfTrading]:[PtfModelRes]])</f>
        <v>-9.7899999999999997E-8</v>
      </c>
      <c r="Y176" s="16">
        <f>tblCalculation[[#This Row],[FIAttributable]]*tblBOneExport[[#This Row],[PTF_TRADING]]</f>
        <v>0</v>
      </c>
      <c r="Z176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76" s="16">
        <f>tblCalculation[[#This Row],[FIAttributable]]*tblBOneExport[[#This Row],[PTF_MODEL_RESIDUAL]]-PTF_Credit_Adj*tblCalculation[[#This Row],[PtfDTSWeight]]</f>
        <v>-9.7899999999999997E-8</v>
      </c>
      <c r="AB176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76" s="16">
        <f>tblBOneExport[[#This Row],[BMK_WEIGHT]]</f>
        <v>0</v>
      </c>
      <c r="AD176" s="78">
        <f>tblCalculation[[#This Row],[FIAttributable]]*SUMIFS(tblDTS[DTSContribution_BM],tblDTS[ISIN],tblCalculation[[#This Row],[ISIN]])</f>
        <v>5.7558923936957603E-3</v>
      </c>
      <c r="AE176" s="16">
        <f>IF(SUM(tblCalculation[BMKDTS])=0,0,tblCalculation[[#This Row],[BMKDTS]]/SUM(tblCalculation[BMKDTS]))</f>
        <v>6.8408942877825468E-4</v>
      </c>
      <c r="AF176" s="16">
        <f>tblBOneExport[[#This Row],[BMK_CONTRIBUTION]]</f>
        <v>0</v>
      </c>
      <c r="AG176" s="16">
        <f>tblCalculation[[#This Row],[BMKContributionBase]]-tblBOneExport[BMK_SPOT_CCY_RETURN]-tblBOneExport[[#This Row],[BMK_CROSS_EFFECT]]</f>
        <v>0</v>
      </c>
      <c r="AH176" s="16">
        <f>tblCalculation[[#This Row],[FIAttributable]]*(tblBOneExport[[#This Row],[BMK_RETURN_GOV_CARRY]])</f>
        <v>0</v>
      </c>
      <c r="AI176" s="16">
        <f>tblCalculation[[#This Row],[FIAttributable]]*tblBOneExport[[#This Row],[BMK_CREDIT_CARRY]]</f>
        <v>0</v>
      </c>
      <c r="AJ176" s="16">
        <f>tblCalculation[[#This Row],[FIAttributable]]*tblBOneExport[[#This Row],[BMK_TOTAL_CURVE]]</f>
        <v>0</v>
      </c>
      <c r="AK176" s="16">
        <f>tblCalculation[[#This Row],[FIAttributable]]*(tblBOneExport[[#This Row],[BMK_TOTAL_SPREAD]]+BMK_Credit_Adj*tblCalculation[[#This Row],[BmkDTSWeight]])</f>
        <v>0</v>
      </c>
      <c r="AL176" s="16">
        <f>tblCalculation[[#This Row],[FIAttributable]]*tblBOneExport[[#This Row],[BMK_MODEL_RESIDUAL]]-BMK_Credit_Adj*tblCalculation[[#This Row],[BmkDTSWeight]]</f>
        <v>0</v>
      </c>
      <c r="AM176" s="16">
        <f>IF(tblCalculation[[#This Row],[Level3]]="Forward Contracts",tblCalculation[[#This Row],[BMKContributionLocal]],0)</f>
        <v>0</v>
      </c>
      <c r="AN176" s="16">
        <f>tblBOneExport[[#This Row],[BMK_SPOT_CCY_RETURN]]+tblBOneExport[[#This Row],[BMK_CROSS_EFFECT]]</f>
        <v>0</v>
      </c>
    </row>
    <row r="177" spans="5:40" x14ac:dyDescent="0.25">
      <c r="E177" s="7" t="str">
        <f>tblBOneExport[[#This Row],[INSTRUMENT_CODE]]</f>
        <v>B86XFB4</v>
      </c>
      <c r="F177" s="7" t="str">
        <f>tblBOneExport[[#This Row],[INSTRUMENT]]</f>
        <v>UNI OF CAMBRIDGE 3.75 17/10/52</v>
      </c>
      <c r="G177" s="7" t="str">
        <f>IF(tblBOneExport[[#This Row],[ISIN]]&lt;&gt;"", tblBOneExport[[#This Row],[ISIN]],"")</f>
        <v>XS0841542961</v>
      </c>
      <c r="H177" s="7" t="str">
        <f>IF(tblCalculation[[#This Row],[B1Level2]]="CDS",tblBOneExport[[#This Row],[B1_TICKER]],IF(tblCalculation[[#This Row],[ISIN]]="","",INDEX(tblGetStaticData[Ticker],MATCH(tblCalculation[[#This Row],[ISIN]],tblGetStaticData[ISIN],0))))</f>
        <v>CAMBRG</v>
      </c>
      <c r="I177" s="7" t="str">
        <f>IF(tblBOneExport[[#This Row],[INSTRUMENT_TYPE]]="Forward Contract","Forward Contract",tblBOneExport[LEVEL2])</f>
        <v>Corporates</v>
      </c>
      <c r="J177" s="7" t="str">
        <f>IF(tblBOneExport[[#This Row],[INSTRUMENT_TYPE]]="Forward Contract","Forward Contract",tblBOneExport[[#This Row],[LEVEL3]])</f>
        <v>Industrials</v>
      </c>
      <c r="K177" s="7" t="str">
        <f>INDEX(tblLvl2Mapping[],MATCH(tblCalculation[[#This Row],[B1Level2]]&amp;"_"&amp;tblCalculation[[#This Row],[B1Level3]],tblLvl2Mapping[B1Level2_B1Level3],0),2)</f>
        <v>Corporate</v>
      </c>
      <c r="L177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77" s="7">
        <f>INDEX(tblAttributable[],MATCH(tblCalculation[[#This Row],[Level3]],tblAttributable[Level3],0),2)</f>
        <v>1</v>
      </c>
      <c r="N177" s="16">
        <f>tblBOneExport[[#This Row],[PTF_WEIGHT]]</f>
        <v>1.4828904400000001E-2</v>
      </c>
      <c r="O177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0.21243637271721386</v>
      </c>
      <c r="P177" s="48">
        <f>tblCalculation[[#This Row],[PtfDTS]]/SUM(tblCalculation[PtfDTS])</f>
        <v>2.5762643774659286E-2</v>
      </c>
      <c r="Q177" s="16">
        <f>tblBOneExport[[#This Row],[PTF_CONTRIBUTION]]</f>
        <v>5.8017069999999999E-4</v>
      </c>
      <c r="R177" s="16">
        <f>tblCalculation[[#This Row],[PtfContributionBase]]-tblCalculation[[#This Row],[PtfCurrencyReturn]]</f>
        <v>5.8017069999999999E-4</v>
      </c>
      <c r="S177" s="16">
        <f>IF(tblBOneExport[[#This Row],[LEVEL1]]="Bonds",tblBOneExport[[#This Row],[PTF_GOV_CARRY]],"")</f>
        <v>2.1084400000000001E-5</v>
      </c>
      <c r="T177" s="16">
        <f>tblCalculation[[#This Row],[FIAttributable]]*tblBOneExport[[#This Row],[PTF_CREDIT_CARRY]]</f>
        <v>5.5319000000000003E-6</v>
      </c>
      <c r="U177" s="16">
        <f>tblCalculation[[#This Row],[FIAttributable]]*tblBOneExport[[#This Row],[PTF_TOTAL_CURVE]]</f>
        <v>4.8638769999999998E-4</v>
      </c>
      <c r="V177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6.9352799999999998E-5</v>
      </c>
      <c r="W177" s="16">
        <f>IF(AND(tblCalculation[[#This Row],[Level3]]="Forward Contracts",tblBOneExport[[#This Row],[PTF_COST_OF_CARRY]]=0),tblBOneExport[[#This Row],[PTF_VALUATION]],0)</f>
        <v>0</v>
      </c>
      <c r="X177" s="16">
        <f>SUM(tblCalculation[[#This Row],[PtfTrading]:[PtfModelRes]])</f>
        <v>-2.1861000000000001E-6</v>
      </c>
      <c r="Y177" s="16">
        <f>tblCalculation[[#This Row],[FIAttributable]]*tblBOneExport[[#This Row],[PTF_TRADING]]</f>
        <v>0</v>
      </c>
      <c r="Z177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77" s="16">
        <f>tblCalculation[[#This Row],[FIAttributable]]*tblBOneExport[[#This Row],[PTF_MODEL_RESIDUAL]]-PTF_Credit_Adj*tblCalculation[[#This Row],[PtfDTSWeight]]</f>
        <v>-2.1861000000000001E-6</v>
      </c>
      <c r="AB177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77" s="16">
        <f>tblBOneExport[[#This Row],[BMK_WEIGHT]]</f>
        <v>0</v>
      </c>
      <c r="AD177" s="78">
        <f>tblCalculation[[#This Row],[FIAttributable]]*SUMIFS(tblDTS[DTSContribution_BM],tblDTS[ISIN],tblCalculation[[#This Row],[ISIN]])</f>
        <v>0.23677511597476603</v>
      </c>
      <c r="AE177" s="16">
        <f>IF(SUM(tblCalculation[BMKDTS])=0,0,tblCalculation[[#This Row],[BMKDTS]]/SUM(tblCalculation[BMKDTS]))</f>
        <v>2.8140789083112287E-2</v>
      </c>
      <c r="AF177" s="16">
        <f>tblBOneExport[[#This Row],[BMK_CONTRIBUTION]]</f>
        <v>0</v>
      </c>
      <c r="AG177" s="16">
        <f>tblCalculation[[#This Row],[BMKContributionBase]]-tblBOneExport[BMK_SPOT_CCY_RETURN]-tblBOneExport[[#This Row],[BMK_CROSS_EFFECT]]</f>
        <v>0</v>
      </c>
      <c r="AH177" s="16">
        <f>tblCalculation[[#This Row],[FIAttributable]]*(tblBOneExport[[#This Row],[BMK_RETURN_GOV_CARRY]])</f>
        <v>0</v>
      </c>
      <c r="AI177" s="16">
        <f>tblCalculation[[#This Row],[FIAttributable]]*tblBOneExport[[#This Row],[BMK_CREDIT_CARRY]]</f>
        <v>0</v>
      </c>
      <c r="AJ177" s="16">
        <f>tblCalculation[[#This Row],[FIAttributable]]*tblBOneExport[[#This Row],[BMK_TOTAL_CURVE]]</f>
        <v>0</v>
      </c>
      <c r="AK177" s="16">
        <f>tblCalculation[[#This Row],[FIAttributable]]*(tblBOneExport[[#This Row],[BMK_TOTAL_SPREAD]]+BMK_Credit_Adj*tblCalculation[[#This Row],[BmkDTSWeight]])</f>
        <v>0</v>
      </c>
      <c r="AL177" s="16">
        <f>tblCalculation[[#This Row],[FIAttributable]]*tblBOneExport[[#This Row],[BMK_MODEL_RESIDUAL]]-BMK_Credit_Adj*tblCalculation[[#This Row],[BmkDTSWeight]]</f>
        <v>0</v>
      </c>
      <c r="AM177" s="16">
        <f>IF(tblCalculation[[#This Row],[Level3]]="Forward Contracts",tblCalculation[[#This Row],[BMKContributionLocal]],0)</f>
        <v>0</v>
      </c>
      <c r="AN177" s="16">
        <f>tblBOneExport[[#This Row],[BMK_SPOT_CCY_RETURN]]+tblBOneExport[[#This Row],[BMK_CROSS_EFFECT]]</f>
        <v>0</v>
      </c>
    </row>
    <row r="178" spans="5:40" x14ac:dyDescent="0.25">
      <c r="E178" s="7" t="str">
        <f>tblBOneExport[[#This Row],[INSTRUMENT_CODE]]</f>
        <v>B6YRLP0</v>
      </c>
      <c r="F178" s="7" t="str">
        <f>tblBOneExport[[#This Row],[INSTRUMENT]]</f>
        <v>KFW 1 07/12/17</v>
      </c>
      <c r="G178" s="7" t="str">
        <f>IF(tblBOneExport[[#This Row],[ISIN]]&lt;&gt;"", tblBOneExport[[#This Row],[ISIN]],"")</f>
        <v>XS0844692201</v>
      </c>
      <c r="H178" s="7" t="str">
        <f>IF(tblCalculation[[#This Row],[B1Level2]]="CDS",tblBOneExport[[#This Row],[B1_TICKER]],IF(tblCalculation[[#This Row],[ISIN]]="","",INDEX(tblGetStaticData[Ticker],MATCH(tblCalculation[[#This Row],[ISIN]],tblGetStaticData[ISIN],0))))</f>
        <v>KFW</v>
      </c>
      <c r="I178" s="7" t="str">
        <f>IF(tblBOneExport[[#This Row],[INSTRUMENT_TYPE]]="Forward Contract","Forward Contract",tblBOneExport[LEVEL2])</f>
        <v>Non-Corporate</v>
      </c>
      <c r="J178" s="7" t="str">
        <f>IF(tblBOneExport[[#This Row],[INSTRUMENT_TYPE]]="Forward Contract","Forward Contract",tblBOneExport[[#This Row],[LEVEL3]])</f>
        <v>Foreign Agency</v>
      </c>
      <c r="K178" s="7" t="str">
        <f>INDEX(tblLvl2Mapping[],MATCH(tblCalculation[[#This Row],[B1Level2]]&amp;"_"&amp;tblCalculation[[#This Row],[B1Level3]],tblLvl2Mapping[B1Level2_B1Level3],0),2)</f>
        <v>Corporate</v>
      </c>
      <c r="L178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78" s="7">
        <f>INDEX(tblAttributable[],MATCH(tblCalculation[[#This Row],[Level3]],tblAttributable[Level3],0),2)</f>
        <v>1</v>
      </c>
      <c r="N178" s="16">
        <f>tblBOneExport[[#This Row],[PTF_WEIGHT]]</f>
        <v>2.0735184E-3</v>
      </c>
      <c r="O178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1.3005489881055341E-4</v>
      </c>
      <c r="P178" s="48">
        <f>tblCalculation[[#This Row],[PtfDTS]]/SUM(tblCalculation[PtfDTS])</f>
        <v>1.5772054410219881E-5</v>
      </c>
      <c r="Q178" s="16">
        <f>tblBOneExport[[#This Row],[PTF_CONTRIBUTION]]</f>
        <v>4.5279999999999998E-7</v>
      </c>
      <c r="R178" s="16">
        <f>tblCalculation[[#This Row],[PtfContributionBase]]-tblCalculation[[#This Row],[PtfCurrencyReturn]]</f>
        <v>4.5279999999999998E-7</v>
      </c>
      <c r="S178" s="16">
        <f>IF(tblBOneExport[[#This Row],[LEVEL1]]="Bonds",tblBOneExport[[#This Row],[PTF_GOV_CARRY]],"")</f>
        <v>2.9499999999999998E-7</v>
      </c>
      <c r="T178" s="16">
        <f>tblCalculation[[#This Row],[FIAttributable]]*tblBOneExport[[#This Row],[PTF_CREDIT_CARRY]]</f>
        <v>2.7249999999999999E-7</v>
      </c>
      <c r="U178" s="16">
        <f>tblCalculation[[#This Row],[FIAttributable]]*tblBOneExport[[#This Row],[PTF_TOTAL_CURVE]]</f>
        <v>-9.4300000000000004E-8</v>
      </c>
      <c r="V178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3.4999999999999999E-9</v>
      </c>
      <c r="W178" s="16">
        <f>IF(AND(tblCalculation[[#This Row],[Level3]]="Forward Contracts",tblBOneExport[[#This Row],[PTF_COST_OF_CARRY]]=0),tblBOneExport[[#This Row],[PTF_VALUATION]],0)</f>
        <v>0</v>
      </c>
      <c r="X178" s="16">
        <f>SUM(tblCalculation[[#This Row],[PtfTrading]:[PtfModelRes]])</f>
        <v>-2.3800000000000001E-8</v>
      </c>
      <c r="Y178" s="16">
        <f>tblCalculation[[#This Row],[FIAttributable]]*tblBOneExport[[#This Row],[PTF_TRADING]]</f>
        <v>0</v>
      </c>
      <c r="Z178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78" s="16">
        <f>tblCalculation[[#This Row],[FIAttributable]]*tblBOneExport[[#This Row],[PTF_MODEL_RESIDUAL]]-PTF_Credit_Adj*tblCalculation[[#This Row],[PtfDTSWeight]]</f>
        <v>-2.3800000000000001E-8</v>
      </c>
      <c r="AB178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78" s="16">
        <f>tblBOneExport[[#This Row],[BMK_WEIGHT]]</f>
        <v>0</v>
      </c>
      <c r="AD178" s="78">
        <f>tblCalculation[[#This Row],[FIAttributable]]*SUMIFS(tblDTS[DTSContribution_BM],tblDTS[ISIN],tblCalculation[[#This Row],[ISIN]])</f>
        <v>0</v>
      </c>
      <c r="AE178" s="16">
        <f>IF(SUM(tblCalculation[BMKDTS])=0,0,tblCalculation[[#This Row],[BMKDTS]]/SUM(tblCalculation[BMKDTS]))</f>
        <v>0</v>
      </c>
      <c r="AF178" s="16">
        <f>tblBOneExport[[#This Row],[BMK_CONTRIBUTION]]</f>
        <v>0</v>
      </c>
      <c r="AG178" s="16">
        <f>tblCalculation[[#This Row],[BMKContributionBase]]-tblBOneExport[BMK_SPOT_CCY_RETURN]-tblBOneExport[[#This Row],[BMK_CROSS_EFFECT]]</f>
        <v>0</v>
      </c>
      <c r="AH178" s="16">
        <f>tblCalculation[[#This Row],[FIAttributable]]*(tblBOneExport[[#This Row],[BMK_RETURN_GOV_CARRY]])</f>
        <v>0</v>
      </c>
      <c r="AI178" s="16">
        <f>tblCalculation[[#This Row],[FIAttributable]]*tblBOneExport[[#This Row],[BMK_CREDIT_CARRY]]</f>
        <v>0</v>
      </c>
      <c r="AJ178" s="16">
        <f>tblCalculation[[#This Row],[FIAttributable]]*tblBOneExport[[#This Row],[BMK_TOTAL_CURVE]]</f>
        <v>0</v>
      </c>
      <c r="AK178" s="16">
        <f>tblCalculation[[#This Row],[FIAttributable]]*(tblBOneExport[[#This Row],[BMK_TOTAL_SPREAD]]+BMK_Credit_Adj*tblCalculation[[#This Row],[BmkDTSWeight]])</f>
        <v>0</v>
      </c>
      <c r="AL178" s="16">
        <f>tblCalculation[[#This Row],[FIAttributable]]*tblBOneExport[[#This Row],[BMK_MODEL_RESIDUAL]]-BMK_Credit_Adj*tblCalculation[[#This Row],[BmkDTSWeight]]</f>
        <v>0</v>
      </c>
      <c r="AM178" s="16">
        <f>IF(tblCalculation[[#This Row],[Level3]]="Forward Contracts",tblCalculation[[#This Row],[BMKContributionLocal]],0)</f>
        <v>0</v>
      </c>
      <c r="AN178" s="16">
        <f>tblBOneExport[[#This Row],[BMK_SPOT_CCY_RETURN]]+tblBOneExport[[#This Row],[BMK_CROSS_EFFECT]]</f>
        <v>0</v>
      </c>
    </row>
    <row r="179" spans="5:40" x14ac:dyDescent="0.25">
      <c r="E179" s="7" t="str">
        <f>tblBOneExport[[#This Row],[INSTRUMENT_CODE]]</f>
        <v>B8C13S5</v>
      </c>
      <c r="F179" s="7" t="str">
        <f>tblBOneExport[[#This Row],[INSTRUMENT]]</f>
        <v>PEPSICO INC 2.5 01/11/22 EMTN</v>
      </c>
      <c r="G179" s="7" t="str">
        <f>IF(tblBOneExport[[#This Row],[ISIN]]&lt;&gt;"", tblBOneExport[[#This Row],[ISIN]],"")</f>
        <v>XS0849673602</v>
      </c>
      <c r="H179" s="7" t="str">
        <f>IF(tblCalculation[[#This Row],[B1Level2]]="CDS",tblBOneExport[[#This Row],[B1_TICKER]],IF(tblCalculation[[#This Row],[ISIN]]="","",INDEX(tblGetStaticData[Ticker],MATCH(tblCalculation[[#This Row],[ISIN]],tblGetStaticData[ISIN],0))))</f>
        <v>PEP</v>
      </c>
      <c r="I179" s="7" t="str">
        <f>IF(tblBOneExport[[#This Row],[INSTRUMENT_TYPE]]="Forward Contract","Forward Contract",tblBOneExport[LEVEL2])</f>
        <v>Corporates</v>
      </c>
      <c r="J179" s="7" t="str">
        <f>IF(tblBOneExport[[#This Row],[INSTRUMENT_TYPE]]="Forward Contract","Forward Contract",tblBOneExport[[#This Row],[LEVEL3]])</f>
        <v>Industrials</v>
      </c>
      <c r="K179" s="7" t="str">
        <f>INDEX(tblLvl2Mapping[],MATCH(tblCalculation[[#This Row],[B1Level2]]&amp;"_"&amp;tblCalculation[[#This Row],[B1Level3]],tblLvl2Mapping[B1Level2_B1Level3],0),2)</f>
        <v>Corporate</v>
      </c>
      <c r="L179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79" s="7">
        <f>INDEX(tblAttributable[],MATCH(tblCalculation[[#This Row],[Level3]],tblAttributable[Level3],0),2)</f>
        <v>1</v>
      </c>
      <c r="N179" s="16">
        <f>tblBOneExport[[#This Row],[PTF_WEIGHT]]</f>
        <v>8.5667980000000005E-3</v>
      </c>
      <c r="O179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1.0853410040584927E-2</v>
      </c>
      <c r="P179" s="48">
        <f>tblCalculation[[#This Row],[PtfDTS]]/SUM(tblCalculation[PtfDTS])</f>
        <v>1.3162178069577003E-3</v>
      </c>
      <c r="Q179" s="16">
        <f>tblBOneExport[[#This Row],[PTF_CONTRIBUTION]]</f>
        <v>7.2612800000000004E-5</v>
      </c>
      <c r="R179" s="16">
        <f>tblCalculation[[#This Row],[PtfContributionBase]]-tblCalculation[[#This Row],[PtfCurrencyReturn]]</f>
        <v>7.2612800000000004E-5</v>
      </c>
      <c r="S179" s="16">
        <f>IF(tblBOneExport[[#This Row],[LEVEL1]]="Bonds",tblBOneExport[[#This Row],[PTF_GOV_CARRY]],"")</f>
        <v>3.8151000000000001E-6</v>
      </c>
      <c r="T179" s="16">
        <f>tblCalculation[[#This Row],[FIAttributable]]*tblBOneExport[[#This Row],[PTF_CREDIT_CARRY]]</f>
        <v>4.194E-6</v>
      </c>
      <c r="U179" s="16">
        <f>tblCalculation[[#This Row],[FIAttributable]]*tblBOneExport[[#This Row],[PTF_TOTAL_CURVE]]</f>
        <v>6.5228000000000006E-5</v>
      </c>
      <c r="V179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3.9867000000000003E-6</v>
      </c>
      <c r="W179" s="16">
        <f>IF(AND(tblCalculation[[#This Row],[Level3]]="Forward Contracts",tblBOneExport[[#This Row],[PTF_COST_OF_CARRY]]=0),tblBOneExport[[#This Row],[PTF_VALUATION]],0)</f>
        <v>0</v>
      </c>
      <c r="X179" s="16">
        <f>SUM(tblCalculation[[#This Row],[PtfTrading]:[PtfModelRes]])</f>
        <v>-4.6110000000000004E-6</v>
      </c>
      <c r="Y179" s="16">
        <f>tblCalculation[[#This Row],[FIAttributable]]*tblBOneExport[[#This Row],[PTF_TRADING]]</f>
        <v>0</v>
      </c>
      <c r="Z179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79" s="16">
        <f>tblCalculation[[#This Row],[FIAttributable]]*tblBOneExport[[#This Row],[PTF_MODEL_RESIDUAL]]-PTF_Credit_Adj*tblCalculation[[#This Row],[PtfDTSWeight]]</f>
        <v>-4.6110000000000004E-6</v>
      </c>
      <c r="AB179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79" s="16">
        <f>tblBOneExport[[#This Row],[BMK_WEIGHT]]</f>
        <v>0</v>
      </c>
      <c r="AD179" s="78">
        <f>tblCalculation[[#This Row],[FIAttributable]]*SUMIFS(tblDTS[DTSContribution_BM],tblDTS[ISIN],tblCalculation[[#This Row],[ISIN]])</f>
        <v>1.336474629259232E-2</v>
      </c>
      <c r="AE179" s="16">
        <f>IF(SUM(tblCalculation[BMKDTS])=0,0,tblCalculation[[#This Row],[BMKDTS]]/SUM(tblCalculation[BMKDTS]))</f>
        <v>1.5884038532547023E-3</v>
      </c>
      <c r="AF179" s="16">
        <f>tblBOneExport[[#This Row],[BMK_CONTRIBUTION]]</f>
        <v>0</v>
      </c>
      <c r="AG179" s="16">
        <f>tblCalculation[[#This Row],[BMKContributionBase]]-tblBOneExport[BMK_SPOT_CCY_RETURN]-tblBOneExport[[#This Row],[BMK_CROSS_EFFECT]]</f>
        <v>0</v>
      </c>
      <c r="AH179" s="16">
        <f>tblCalculation[[#This Row],[FIAttributable]]*(tblBOneExport[[#This Row],[BMK_RETURN_GOV_CARRY]])</f>
        <v>0</v>
      </c>
      <c r="AI179" s="16">
        <f>tblCalculation[[#This Row],[FIAttributable]]*tblBOneExport[[#This Row],[BMK_CREDIT_CARRY]]</f>
        <v>0</v>
      </c>
      <c r="AJ179" s="16">
        <f>tblCalculation[[#This Row],[FIAttributable]]*tblBOneExport[[#This Row],[BMK_TOTAL_CURVE]]</f>
        <v>0</v>
      </c>
      <c r="AK179" s="16">
        <f>tblCalculation[[#This Row],[FIAttributable]]*(tblBOneExport[[#This Row],[BMK_TOTAL_SPREAD]]+BMK_Credit_Adj*tblCalculation[[#This Row],[BmkDTSWeight]])</f>
        <v>0</v>
      </c>
      <c r="AL179" s="16">
        <f>tblCalculation[[#This Row],[FIAttributable]]*tblBOneExport[[#This Row],[BMK_MODEL_RESIDUAL]]-BMK_Credit_Adj*tblCalculation[[#This Row],[BmkDTSWeight]]</f>
        <v>0</v>
      </c>
      <c r="AM179" s="16">
        <f>IF(tblCalculation[[#This Row],[Level3]]="Forward Contracts",tblCalculation[[#This Row],[BMKContributionLocal]],0)</f>
        <v>0</v>
      </c>
      <c r="AN179" s="16">
        <f>tblBOneExport[[#This Row],[BMK_SPOT_CCY_RETURN]]+tblBOneExport[[#This Row],[BMK_CROSS_EFFECT]]</f>
        <v>0</v>
      </c>
    </row>
    <row r="180" spans="5:40" x14ac:dyDescent="0.25">
      <c r="E180" s="7" t="str">
        <f>tblBOneExport[[#This Row],[INSTRUMENT_CODE]]</f>
        <v>B7QNPW8</v>
      </c>
      <c r="F180" s="7" t="str">
        <f>tblBOneExport[[#This Row],[INSTRUMENT]]</f>
        <v>FIRSTGROUP PLC 5.25 29/11/22</v>
      </c>
      <c r="G180" s="7" t="str">
        <f>IF(tblBOneExport[[#This Row],[ISIN]]&lt;&gt;"", tblBOneExport[[#This Row],[ISIN]],"")</f>
        <v>XS0859438557</v>
      </c>
      <c r="H180" s="7" t="str">
        <f>IF(tblCalculation[[#This Row],[B1Level2]]="CDS",tblBOneExport[[#This Row],[B1_TICKER]],IF(tblCalculation[[#This Row],[ISIN]]="","",INDEX(tblGetStaticData[Ticker],MATCH(tblCalculation[[#This Row],[ISIN]],tblGetStaticData[ISIN],0))))</f>
        <v>FGPLN</v>
      </c>
      <c r="I180" s="7" t="str">
        <f>IF(tblBOneExport[[#This Row],[INSTRUMENT_TYPE]]="Forward Contract","Forward Contract",tblBOneExport[LEVEL2])</f>
        <v>Corporates</v>
      </c>
      <c r="J180" s="7" t="str">
        <f>IF(tblBOneExport[[#This Row],[INSTRUMENT_TYPE]]="Forward Contract","Forward Contract",tblBOneExport[[#This Row],[LEVEL3]])</f>
        <v>Industrials</v>
      </c>
      <c r="K180" s="7" t="str">
        <f>INDEX(tblLvl2Mapping[],MATCH(tblCalculation[[#This Row],[B1Level2]]&amp;"_"&amp;tblCalculation[[#This Row],[B1Level3]],tblLvl2Mapping[B1Level2_B1Level3],0),2)</f>
        <v>Corporate</v>
      </c>
      <c r="L180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80" s="7">
        <f>INDEX(tblAttributable[],MATCH(tblCalculation[[#This Row],[Level3]],tblAttributable[Level3],0),2)</f>
        <v>1</v>
      </c>
      <c r="N180" s="16">
        <f>tblBOneExport[[#This Row],[PTF_WEIGHT]]</f>
        <v>2.3164765000000002E-3</v>
      </c>
      <c r="O180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1.1385549465494837E-2</v>
      </c>
      <c r="P180" s="48">
        <f>tblCalculation[[#This Row],[PtfDTS]]/SUM(tblCalculation[PtfDTS])</f>
        <v>1.3807515695476657E-3</v>
      </c>
      <c r="Q180" s="16">
        <f>tblBOneExport[[#This Row],[PTF_CONTRIBUTION]]</f>
        <v>2.1109799999999999E-5</v>
      </c>
      <c r="R180" s="16">
        <f>tblCalculation[[#This Row],[PtfContributionBase]]-tblCalculation[[#This Row],[PtfCurrencyReturn]]</f>
        <v>2.1109799999999999E-5</v>
      </c>
      <c r="S180" s="16">
        <f>IF(tblBOneExport[[#This Row],[LEVEL1]]="Bonds",tblBOneExport[[#This Row],[PTF_GOV_CARRY]],"")</f>
        <v>1.0427E-6</v>
      </c>
      <c r="T180" s="16">
        <f>tblCalculation[[#This Row],[FIAttributable]]*tblBOneExport[[#This Row],[PTF_CREDIT_CARRY]]</f>
        <v>2.6591000000000001E-6</v>
      </c>
      <c r="U180" s="16">
        <f>tblCalculation[[#This Row],[FIAttributable]]*tblBOneExport[[#This Row],[PTF_TOTAL_CURVE]]</f>
        <v>1.63433E-5</v>
      </c>
      <c r="V180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5.4150000000000002E-7</v>
      </c>
      <c r="W180" s="16">
        <f>IF(AND(tblCalculation[[#This Row],[Level3]]="Forward Contracts",tblBOneExport[[#This Row],[PTF_COST_OF_CARRY]]=0),tblBOneExport[[#This Row],[PTF_VALUATION]],0)</f>
        <v>0</v>
      </c>
      <c r="X180" s="16">
        <f>SUM(tblCalculation[[#This Row],[PtfTrading]:[PtfModelRes]])</f>
        <v>5.2310000000000002E-7</v>
      </c>
      <c r="Y180" s="16">
        <f>tblCalculation[[#This Row],[FIAttributable]]*tblBOneExport[[#This Row],[PTF_TRADING]]</f>
        <v>0</v>
      </c>
      <c r="Z180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80" s="16">
        <f>tblCalculation[[#This Row],[FIAttributable]]*tblBOneExport[[#This Row],[PTF_MODEL_RESIDUAL]]-PTF_Credit_Adj*tblCalculation[[#This Row],[PtfDTSWeight]]</f>
        <v>5.2310000000000002E-7</v>
      </c>
      <c r="AB180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80" s="16">
        <f>tblBOneExport[[#This Row],[BMK_WEIGHT]]</f>
        <v>0</v>
      </c>
      <c r="AD180" s="78">
        <f>tblCalculation[[#This Row],[FIAttributable]]*SUMIFS(tblDTS[DTSContribution_BM],tblDTS[ISIN],tblCalculation[[#This Row],[ISIN]])</f>
        <v>9.0525645175780281E-3</v>
      </c>
      <c r="AE180" s="16">
        <f>IF(SUM(tblCalculation[BMKDTS])=0,0,tblCalculation[[#This Row],[BMKDTS]]/SUM(tblCalculation[BMKDTS]))</f>
        <v>1.0758998372851758E-3</v>
      </c>
      <c r="AF180" s="16">
        <f>tblBOneExport[[#This Row],[BMK_CONTRIBUTION]]</f>
        <v>0</v>
      </c>
      <c r="AG180" s="16">
        <f>tblCalculation[[#This Row],[BMKContributionBase]]-tblBOneExport[BMK_SPOT_CCY_RETURN]-tblBOneExport[[#This Row],[BMK_CROSS_EFFECT]]</f>
        <v>0</v>
      </c>
      <c r="AH180" s="16">
        <f>tblCalculation[[#This Row],[FIAttributable]]*(tblBOneExport[[#This Row],[BMK_RETURN_GOV_CARRY]])</f>
        <v>0</v>
      </c>
      <c r="AI180" s="16">
        <f>tblCalculation[[#This Row],[FIAttributable]]*tblBOneExport[[#This Row],[BMK_CREDIT_CARRY]]</f>
        <v>0</v>
      </c>
      <c r="AJ180" s="16">
        <f>tblCalculation[[#This Row],[FIAttributable]]*tblBOneExport[[#This Row],[BMK_TOTAL_CURVE]]</f>
        <v>0</v>
      </c>
      <c r="AK180" s="16">
        <f>tblCalculation[[#This Row],[FIAttributable]]*(tblBOneExport[[#This Row],[BMK_TOTAL_SPREAD]]+BMK_Credit_Adj*tblCalculation[[#This Row],[BmkDTSWeight]])</f>
        <v>0</v>
      </c>
      <c r="AL180" s="16">
        <f>tblCalculation[[#This Row],[FIAttributable]]*tblBOneExport[[#This Row],[BMK_MODEL_RESIDUAL]]-BMK_Credit_Adj*tblCalculation[[#This Row],[BmkDTSWeight]]</f>
        <v>0</v>
      </c>
      <c r="AM180" s="16">
        <f>IF(tblCalculation[[#This Row],[Level3]]="Forward Contracts",tblCalculation[[#This Row],[BMKContributionLocal]],0)</f>
        <v>0</v>
      </c>
      <c r="AN180" s="16">
        <f>tblBOneExport[[#This Row],[BMK_SPOT_CCY_RETURN]]+tblBOneExport[[#This Row],[BMK_CROSS_EFFECT]]</f>
        <v>0</v>
      </c>
    </row>
    <row r="181" spans="5:40" x14ac:dyDescent="0.25">
      <c r="E181" s="7" t="str">
        <f>tblBOneExport[[#This Row],[INSTRUMENT_CODE]]</f>
        <v>B908RK5</v>
      </c>
      <c r="F181" s="7" t="str">
        <f>tblBOneExport[[#This Row],[INSTRUMENT]]</f>
        <v>NESTLE FIN INTL 2.25 30/11/23 EMTN (UK)</v>
      </c>
      <c r="G181" s="7" t="str">
        <f>IF(tblBOneExport[[#This Row],[ISIN]]&lt;&gt;"", tblBOneExport[[#This Row],[ISIN]],"")</f>
        <v>XS0860561942</v>
      </c>
      <c r="H181" s="7" t="str">
        <f>IF(tblCalculation[[#This Row],[B1Level2]]="CDS",tblBOneExport[[#This Row],[B1_TICKER]],IF(tblCalculation[[#This Row],[ISIN]]="","",INDEX(tblGetStaticData[Ticker],MATCH(tblCalculation[[#This Row],[ISIN]],tblGetStaticData[ISIN],0))))</f>
        <v>NESNVX</v>
      </c>
      <c r="I181" s="7" t="str">
        <f>IF(tblBOneExport[[#This Row],[INSTRUMENT_TYPE]]="Forward Contract","Forward Contract",tblBOneExport[LEVEL2])</f>
        <v>Corporates</v>
      </c>
      <c r="J181" s="7" t="str">
        <f>IF(tblBOneExport[[#This Row],[INSTRUMENT_TYPE]]="Forward Contract","Forward Contract",tblBOneExport[[#This Row],[LEVEL3]])</f>
        <v>Industrials</v>
      </c>
      <c r="K181" s="7" t="str">
        <f>INDEX(tblLvl2Mapping[],MATCH(tblCalculation[[#This Row],[B1Level2]]&amp;"_"&amp;tblCalculation[[#This Row],[B1Level3]],tblLvl2Mapping[B1Level2_B1Level3],0),2)</f>
        <v>Corporate</v>
      </c>
      <c r="L181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81" s="7">
        <f>INDEX(tblAttributable[],MATCH(tblCalculation[[#This Row],[Level3]],tblAttributable[Level3],0),2)</f>
        <v>1</v>
      </c>
      <c r="N181" s="16">
        <f>tblBOneExport[[#This Row],[PTF_WEIGHT]]</f>
        <v>1.2060751E-2</v>
      </c>
      <c r="O181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1.4065476968904603E-2</v>
      </c>
      <c r="P181" s="48">
        <f>tblCalculation[[#This Row],[PtfDTS]]/SUM(tblCalculation[PtfDTS])</f>
        <v>1.7057524944324241E-3</v>
      </c>
      <c r="Q181" s="16">
        <f>tblBOneExport[[#This Row],[PTF_CONTRIBUTION]]</f>
        <v>1.111253E-4</v>
      </c>
      <c r="R181" s="16">
        <f>tblCalculation[[#This Row],[PtfContributionBase]]-tblCalculation[[#This Row],[PtfCurrencyReturn]]</f>
        <v>1.111253E-4</v>
      </c>
      <c r="S181" s="16">
        <f>IF(tblBOneExport[[#This Row],[LEVEL1]]="Bonds",tblBOneExport[[#This Row],[PTF_GOV_CARRY]],"")</f>
        <v>6.7495999999999997E-6</v>
      </c>
      <c r="T181" s="16">
        <f>tblCalculation[[#This Row],[FIAttributable]]*tblBOneExport[[#This Row],[PTF_CREDIT_CARRY]]</f>
        <v>4.6566999999999998E-6</v>
      </c>
      <c r="U181" s="16">
        <f>tblCalculation[[#This Row],[FIAttributable]]*tblBOneExport[[#This Row],[PTF_TOTAL_CURVE]]</f>
        <v>1.029906E-4</v>
      </c>
      <c r="V181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-1.02902E-5</v>
      </c>
      <c r="W181" s="16">
        <f>IF(AND(tblCalculation[[#This Row],[Level3]]="Forward Contracts",tblBOneExport[[#This Row],[PTF_COST_OF_CARRY]]=0),tblBOneExport[[#This Row],[PTF_VALUATION]],0)</f>
        <v>0</v>
      </c>
      <c r="X181" s="16">
        <f>SUM(tblCalculation[[#This Row],[PtfTrading]:[PtfModelRes]])</f>
        <v>7.0184999999999998E-6</v>
      </c>
      <c r="Y181" s="16">
        <f>tblCalculation[[#This Row],[FIAttributable]]*tblBOneExport[[#This Row],[PTF_TRADING]]</f>
        <v>0</v>
      </c>
      <c r="Z181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81" s="16">
        <f>tblCalculation[[#This Row],[FIAttributable]]*tblBOneExport[[#This Row],[PTF_MODEL_RESIDUAL]]-PTF_Credit_Adj*tblCalculation[[#This Row],[PtfDTSWeight]]</f>
        <v>7.0184999999999998E-6</v>
      </c>
      <c r="AB181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81" s="16">
        <f>tblBOneExport[[#This Row],[BMK_WEIGHT]]</f>
        <v>0</v>
      </c>
      <c r="AD181" s="78">
        <f>tblCalculation[[#This Row],[FIAttributable]]*SUMIFS(tblDTS[DTSContribution_BM],tblDTS[ISIN],tblCalculation[[#This Row],[ISIN]])</f>
        <v>1.8564555531623877E-2</v>
      </c>
      <c r="AE181" s="16">
        <f>IF(SUM(tblCalculation[BMKDTS])=0,0,tblCalculation[[#This Row],[BMKDTS]]/SUM(tblCalculation[BMKDTS]))</f>
        <v>2.2064026428048685E-3</v>
      </c>
      <c r="AF181" s="16">
        <f>tblBOneExport[[#This Row],[BMK_CONTRIBUTION]]</f>
        <v>0</v>
      </c>
      <c r="AG181" s="16">
        <f>tblCalculation[[#This Row],[BMKContributionBase]]-tblBOneExport[BMK_SPOT_CCY_RETURN]-tblBOneExport[[#This Row],[BMK_CROSS_EFFECT]]</f>
        <v>0</v>
      </c>
      <c r="AH181" s="16">
        <f>tblCalculation[[#This Row],[FIAttributable]]*(tblBOneExport[[#This Row],[BMK_RETURN_GOV_CARRY]])</f>
        <v>0</v>
      </c>
      <c r="AI181" s="16">
        <f>tblCalculation[[#This Row],[FIAttributable]]*tblBOneExport[[#This Row],[BMK_CREDIT_CARRY]]</f>
        <v>0</v>
      </c>
      <c r="AJ181" s="16">
        <f>tblCalculation[[#This Row],[FIAttributable]]*tblBOneExport[[#This Row],[BMK_TOTAL_CURVE]]</f>
        <v>0</v>
      </c>
      <c r="AK181" s="16">
        <f>tblCalculation[[#This Row],[FIAttributable]]*(tblBOneExport[[#This Row],[BMK_TOTAL_SPREAD]]+BMK_Credit_Adj*tblCalculation[[#This Row],[BmkDTSWeight]])</f>
        <v>0</v>
      </c>
      <c r="AL181" s="16">
        <f>tblCalculation[[#This Row],[FIAttributable]]*tblBOneExport[[#This Row],[BMK_MODEL_RESIDUAL]]-BMK_Credit_Adj*tblCalculation[[#This Row],[BmkDTSWeight]]</f>
        <v>0</v>
      </c>
      <c r="AM181" s="16">
        <f>IF(tblCalculation[[#This Row],[Level3]]="Forward Contracts",tblCalculation[[#This Row],[BMKContributionLocal]],0)</f>
        <v>0</v>
      </c>
      <c r="AN181" s="16">
        <f>tblBOneExport[[#This Row],[BMK_SPOT_CCY_RETURN]]+tblBOneExport[[#This Row],[BMK_CROSS_EFFECT]]</f>
        <v>0</v>
      </c>
    </row>
    <row r="182" spans="5:40" x14ac:dyDescent="0.25">
      <c r="E182" s="7" t="str">
        <f>tblBOneExport[[#This Row],[INSTRUMENT_CODE]]</f>
        <v>B7J6F57</v>
      </c>
      <c r="F182" s="7" t="str">
        <f>tblBOneExport[[#This Row],[INSTRUMENT]]</f>
        <v>GLAXOSMITHKLINE 3.375 20/12/27 EMTN</v>
      </c>
      <c r="G182" s="7" t="str">
        <f>IF(tblBOneExport[[#This Row],[ISIN]]&lt;&gt;"", tblBOneExport[[#This Row],[ISIN]],"")</f>
        <v>XS0866588527</v>
      </c>
      <c r="H182" s="7" t="str">
        <f>IF(tblCalculation[[#This Row],[B1Level2]]="CDS",tblBOneExport[[#This Row],[B1_TICKER]],IF(tblCalculation[[#This Row],[ISIN]]="","",INDEX(tblGetStaticData[Ticker],MATCH(tblCalculation[[#This Row],[ISIN]],tblGetStaticData[ISIN],0))))</f>
        <v>GSK</v>
      </c>
      <c r="I182" s="7" t="str">
        <f>IF(tblBOneExport[[#This Row],[INSTRUMENT_TYPE]]="Forward Contract","Forward Contract",tblBOneExport[LEVEL2])</f>
        <v>Corporates</v>
      </c>
      <c r="J182" s="7" t="str">
        <f>IF(tblBOneExport[[#This Row],[INSTRUMENT_TYPE]]="Forward Contract","Forward Contract",tblBOneExport[[#This Row],[LEVEL3]])</f>
        <v>Industrials</v>
      </c>
      <c r="K182" s="7" t="str">
        <f>INDEX(tblLvl2Mapping[],MATCH(tblCalculation[[#This Row],[B1Level2]]&amp;"_"&amp;tblCalculation[[#This Row],[B1Level3]],tblLvl2Mapping[B1Level2_B1Level3],0),2)</f>
        <v>Corporate</v>
      </c>
      <c r="L182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82" s="7">
        <f>INDEX(tblAttributable[],MATCH(tblCalculation[[#This Row],[Level3]],tblAttributable[Level3],0),2)</f>
        <v>1</v>
      </c>
      <c r="N182" s="16">
        <f>tblBOneExport[[#This Row],[PTF_WEIGHT]]</f>
        <v>1.3379144999999999E-3</v>
      </c>
      <c r="O182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8.6992052839218285E-3</v>
      </c>
      <c r="P182" s="48">
        <f>tblCalculation[[#This Row],[PtfDTS]]/SUM(tblCalculation[PtfDTS])</f>
        <v>1.0549724794569123E-3</v>
      </c>
      <c r="Q182" s="16">
        <f>tblBOneExport[[#This Row],[PTF_CONTRIBUTION]]</f>
        <v>2.3825700000000001E-5</v>
      </c>
      <c r="R182" s="16">
        <f>tblCalculation[[#This Row],[PtfContributionBase]]-tblCalculation[[#This Row],[PtfCurrencyReturn]]</f>
        <v>2.3825700000000001E-5</v>
      </c>
      <c r="S182" s="16">
        <f>IF(tblBOneExport[[#This Row],[LEVEL1]]="Bonds",tblBOneExport[[#This Row],[PTF_GOV_CARRY]],"")</f>
        <v>1.2938E-6</v>
      </c>
      <c r="T182" s="16">
        <f>tblCalculation[[#This Row],[FIAttributable]]*tblBOneExport[[#This Row],[PTF_CREDIT_CARRY]]</f>
        <v>9.0520000000000003E-7</v>
      </c>
      <c r="U182" s="16">
        <f>tblCalculation[[#This Row],[FIAttributable]]*tblBOneExport[[#This Row],[PTF_TOTAL_CURVE]]</f>
        <v>2.3938699999999998E-5</v>
      </c>
      <c r="V182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-1.0801E-6</v>
      </c>
      <c r="W182" s="16">
        <f>IF(AND(tblCalculation[[#This Row],[Level3]]="Forward Contracts",tblBOneExport[[#This Row],[PTF_COST_OF_CARRY]]=0),tblBOneExport[[#This Row],[PTF_VALUATION]],0)</f>
        <v>0</v>
      </c>
      <c r="X182" s="16">
        <f>SUM(tblCalculation[[#This Row],[PtfTrading]:[PtfModelRes]])</f>
        <v>-1.2319E-6</v>
      </c>
      <c r="Y182" s="16">
        <f>tblCalculation[[#This Row],[FIAttributable]]*tblBOneExport[[#This Row],[PTF_TRADING]]</f>
        <v>0</v>
      </c>
      <c r="Z182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82" s="16">
        <f>tblCalculation[[#This Row],[FIAttributable]]*tblBOneExport[[#This Row],[PTF_MODEL_RESIDUAL]]-PTF_Credit_Adj*tblCalculation[[#This Row],[PtfDTSWeight]]</f>
        <v>-1.2319E-6</v>
      </c>
      <c r="AB182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82" s="16">
        <f>tblBOneExport[[#This Row],[BMK_WEIGHT]]</f>
        <v>0</v>
      </c>
      <c r="AD182" s="78">
        <f>tblCalculation[[#This Row],[FIAttributable]]*SUMIFS(tblDTS[DTSContribution_BM],tblDTS[ISIN],tblCalculation[[#This Row],[ISIN]])</f>
        <v>1.1483690925489917E-2</v>
      </c>
      <c r="AE182" s="16">
        <f>IF(SUM(tblCalculation[BMKDTS])=0,0,tblCalculation[[#This Row],[BMKDTS]]/SUM(tblCalculation[BMKDTS]))</f>
        <v>1.3648398941732652E-3</v>
      </c>
      <c r="AF182" s="16">
        <f>tblBOneExport[[#This Row],[BMK_CONTRIBUTION]]</f>
        <v>0</v>
      </c>
      <c r="AG182" s="16">
        <f>tblCalculation[[#This Row],[BMKContributionBase]]-tblBOneExport[BMK_SPOT_CCY_RETURN]-tblBOneExport[[#This Row],[BMK_CROSS_EFFECT]]</f>
        <v>0</v>
      </c>
      <c r="AH182" s="16">
        <f>tblCalculation[[#This Row],[FIAttributable]]*(tblBOneExport[[#This Row],[BMK_RETURN_GOV_CARRY]])</f>
        <v>0</v>
      </c>
      <c r="AI182" s="16">
        <f>tblCalculation[[#This Row],[FIAttributable]]*tblBOneExport[[#This Row],[BMK_CREDIT_CARRY]]</f>
        <v>0</v>
      </c>
      <c r="AJ182" s="16">
        <f>tblCalculation[[#This Row],[FIAttributable]]*tblBOneExport[[#This Row],[BMK_TOTAL_CURVE]]</f>
        <v>0</v>
      </c>
      <c r="AK182" s="16">
        <f>tblCalculation[[#This Row],[FIAttributable]]*(tblBOneExport[[#This Row],[BMK_TOTAL_SPREAD]]+BMK_Credit_Adj*tblCalculation[[#This Row],[BmkDTSWeight]])</f>
        <v>0</v>
      </c>
      <c r="AL182" s="16">
        <f>tblCalculation[[#This Row],[FIAttributable]]*tblBOneExport[[#This Row],[BMK_MODEL_RESIDUAL]]-BMK_Credit_Adj*tblCalculation[[#This Row],[BmkDTSWeight]]</f>
        <v>0</v>
      </c>
      <c r="AM182" s="16">
        <f>IF(tblCalculation[[#This Row],[Level3]]="Forward Contracts",tblCalculation[[#This Row],[BMKContributionLocal]],0)</f>
        <v>0</v>
      </c>
      <c r="AN182" s="16">
        <f>tblBOneExport[[#This Row],[BMK_SPOT_CCY_RETURN]]+tblBOneExport[[#This Row],[BMK_CROSS_EFFECT]]</f>
        <v>0</v>
      </c>
    </row>
    <row r="183" spans="5:40" x14ac:dyDescent="0.25">
      <c r="E183" s="7" t="str">
        <f>tblBOneExport[[#This Row],[INSTRUMENT_CODE]]</f>
        <v>B7NJHB2</v>
      </c>
      <c r="F183" s="7" t="str">
        <f>tblBOneExport[[#This Row],[INSTRUMENT]]</f>
        <v>GLAXOSMITHKLINE 4.25 18/12/45 EMTN</v>
      </c>
      <c r="G183" s="7" t="str">
        <f>IF(tblBOneExport[[#This Row],[ISIN]]&lt;&gt;"", tblBOneExport[[#This Row],[ISIN]],"")</f>
        <v>XS0866596975</v>
      </c>
      <c r="H183" s="7" t="str">
        <f>IF(tblCalculation[[#This Row],[B1Level2]]="CDS",tblBOneExport[[#This Row],[B1_TICKER]],IF(tblCalculation[[#This Row],[ISIN]]="","",INDEX(tblGetStaticData[Ticker],MATCH(tblCalculation[[#This Row],[ISIN]],tblGetStaticData[ISIN],0))))</f>
        <v>GSK</v>
      </c>
      <c r="I183" s="7" t="str">
        <f>IF(tblBOneExport[[#This Row],[INSTRUMENT_TYPE]]="Forward Contract","Forward Contract",tblBOneExport[LEVEL2])</f>
        <v>Corporates</v>
      </c>
      <c r="J183" s="7" t="str">
        <f>IF(tblBOneExport[[#This Row],[INSTRUMENT_TYPE]]="Forward Contract","Forward Contract",tblBOneExport[[#This Row],[LEVEL3]])</f>
        <v>Industrials</v>
      </c>
      <c r="K183" s="7" t="str">
        <f>INDEX(tblLvl2Mapping[],MATCH(tblCalculation[[#This Row],[B1Level2]]&amp;"_"&amp;tblCalculation[[#This Row],[B1Level3]],tblLvl2Mapping[B1Level2_B1Level3],0),2)</f>
        <v>Corporate</v>
      </c>
      <c r="L183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83" s="7">
        <f>INDEX(tblAttributable[],MATCH(tblCalculation[[#This Row],[Level3]],tblAttributable[Level3],0),2)</f>
        <v>1</v>
      </c>
      <c r="N183" s="16">
        <f>tblBOneExport[[#This Row],[PTF_WEIGHT]]</f>
        <v>3.1148821999999999E-3</v>
      </c>
      <c r="O183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6.6476525444762652E-2</v>
      </c>
      <c r="P183" s="48">
        <f>tblCalculation[[#This Row],[PtfDTS]]/SUM(tblCalculation[PtfDTS])</f>
        <v>8.0617599637245185E-3</v>
      </c>
      <c r="Q183" s="16">
        <f>tblBOneExport[[#This Row],[PTF_CONTRIBUTION]]</f>
        <v>9.1098800000000003E-5</v>
      </c>
      <c r="R183" s="16">
        <f>tblCalculation[[#This Row],[PtfContributionBase]]-tblCalculation[[#This Row],[PtfCurrencyReturn]]</f>
        <v>9.1098800000000003E-5</v>
      </c>
      <c r="S183" s="16">
        <f>IF(tblBOneExport[[#This Row],[LEVEL1]]="Bonds",tblBOneExport[[#This Row],[PTF_GOV_CARRY]],"")</f>
        <v>4.5936999999999997E-6</v>
      </c>
      <c r="T183" s="16">
        <f>tblCalculation[[#This Row],[FIAttributable]]*tblBOneExport[[#This Row],[PTF_CREDIT_CARRY]]</f>
        <v>2.3999000000000001E-6</v>
      </c>
      <c r="U183" s="16">
        <f>tblCalculation[[#This Row],[FIAttributable]]*tblBOneExport[[#This Row],[PTF_TOTAL_CURVE]]</f>
        <v>9.0746299999999995E-5</v>
      </c>
      <c r="V183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-4.8465000000000001E-6</v>
      </c>
      <c r="W183" s="16">
        <f>IF(AND(tblCalculation[[#This Row],[Level3]]="Forward Contracts",tblBOneExport[[#This Row],[PTF_COST_OF_CARRY]]=0),tblBOneExport[[#This Row],[PTF_VALUATION]],0)</f>
        <v>0</v>
      </c>
      <c r="X183" s="16">
        <f>SUM(tblCalculation[[#This Row],[PtfTrading]:[PtfModelRes]])</f>
        <v>-1.7945999999999999E-6</v>
      </c>
      <c r="Y183" s="16">
        <f>tblCalculation[[#This Row],[FIAttributable]]*tblBOneExport[[#This Row],[PTF_TRADING]]</f>
        <v>0</v>
      </c>
      <c r="Z183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83" s="16">
        <f>tblCalculation[[#This Row],[FIAttributable]]*tblBOneExport[[#This Row],[PTF_MODEL_RESIDUAL]]-PTF_Credit_Adj*tblCalculation[[#This Row],[PtfDTSWeight]]</f>
        <v>-1.7945999999999999E-6</v>
      </c>
      <c r="AB183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83" s="16">
        <f>tblBOneExport[[#This Row],[BMK_WEIGHT]]</f>
        <v>0</v>
      </c>
      <c r="AD183" s="78">
        <f>tblCalculation[[#This Row],[FIAttributable]]*SUMIFS(tblDTS[DTSContribution_BM],tblDTS[ISIN],tblCalculation[[#This Row],[ISIN]])</f>
        <v>8.7739677648911718E-2</v>
      </c>
      <c r="AE183" s="16">
        <f>IF(SUM(tblCalculation[BMKDTS])=0,0,tblCalculation[[#This Row],[BMKDTS]]/SUM(tblCalculation[BMKDTS]))</f>
        <v>1.0427885349241781E-2</v>
      </c>
      <c r="AF183" s="16">
        <f>tblBOneExport[[#This Row],[BMK_CONTRIBUTION]]</f>
        <v>0</v>
      </c>
      <c r="AG183" s="16">
        <f>tblCalculation[[#This Row],[BMKContributionBase]]-tblBOneExport[BMK_SPOT_CCY_RETURN]-tblBOneExport[[#This Row],[BMK_CROSS_EFFECT]]</f>
        <v>0</v>
      </c>
      <c r="AH183" s="16">
        <f>tblCalculation[[#This Row],[FIAttributable]]*(tblBOneExport[[#This Row],[BMK_RETURN_GOV_CARRY]])</f>
        <v>0</v>
      </c>
      <c r="AI183" s="16">
        <f>tblCalculation[[#This Row],[FIAttributable]]*tblBOneExport[[#This Row],[BMK_CREDIT_CARRY]]</f>
        <v>0</v>
      </c>
      <c r="AJ183" s="16">
        <f>tblCalculation[[#This Row],[FIAttributable]]*tblBOneExport[[#This Row],[BMK_TOTAL_CURVE]]</f>
        <v>0</v>
      </c>
      <c r="AK183" s="16">
        <f>tblCalculation[[#This Row],[FIAttributable]]*(tblBOneExport[[#This Row],[BMK_TOTAL_SPREAD]]+BMK_Credit_Adj*tblCalculation[[#This Row],[BmkDTSWeight]])</f>
        <v>0</v>
      </c>
      <c r="AL183" s="16">
        <f>tblCalculation[[#This Row],[FIAttributable]]*tblBOneExport[[#This Row],[BMK_MODEL_RESIDUAL]]-BMK_Credit_Adj*tblCalculation[[#This Row],[BmkDTSWeight]]</f>
        <v>0</v>
      </c>
      <c r="AM183" s="16">
        <f>IF(tblCalculation[[#This Row],[Level3]]="Forward Contracts",tblCalculation[[#This Row],[BMKContributionLocal]],0)</f>
        <v>0</v>
      </c>
      <c r="AN183" s="16">
        <f>tblBOneExport[[#This Row],[BMK_SPOT_CCY_RETURN]]+tblBOneExport[[#This Row],[BMK_CROSS_EFFECT]]</f>
        <v>0</v>
      </c>
    </row>
    <row r="184" spans="5:40" x14ac:dyDescent="0.25">
      <c r="E184" s="7" t="str">
        <f>tblBOneExport[[#This Row],[INSTRUMENT_CODE]]</f>
        <v>B87BXL3</v>
      </c>
      <c r="F184" s="7" t="str">
        <f>tblBOneExport[[#This Row],[INSTRUMENT]]</f>
        <v>EUROPEAN INVT BK 1.375 15/01/18 EMTN</v>
      </c>
      <c r="G184" s="7" t="str">
        <f>IF(tblBOneExport[[#This Row],[ISIN]]&lt;&gt;"", tblBOneExport[[#This Row],[ISIN]],"")</f>
        <v>XS0872706881</v>
      </c>
      <c r="H184" s="7" t="str">
        <f>IF(tblCalculation[[#This Row],[B1Level2]]="CDS",tblBOneExport[[#This Row],[B1_TICKER]],IF(tblCalculation[[#This Row],[ISIN]]="","",INDEX(tblGetStaticData[Ticker],MATCH(tblCalculation[[#This Row],[ISIN]],tblGetStaticData[ISIN],0))))</f>
        <v>EIB</v>
      </c>
      <c r="I184" s="7" t="str">
        <f>IF(tblBOneExport[[#This Row],[INSTRUMENT_TYPE]]="Forward Contract","Forward Contract",tblBOneExport[LEVEL2])</f>
        <v>Non-Corporate</v>
      </c>
      <c r="J184" s="7" t="str">
        <f>IF(tblBOneExport[[#This Row],[INSTRUMENT_TYPE]]="Forward Contract","Forward Contract",tblBOneExport[[#This Row],[LEVEL3]])</f>
        <v>Supranationals</v>
      </c>
      <c r="K184" s="7" t="str">
        <f>INDEX(tblLvl2Mapping[],MATCH(tblCalculation[[#This Row],[B1Level2]]&amp;"_"&amp;tblCalculation[[#This Row],[B1Level3]],tblLvl2Mapping[B1Level2_B1Level3],0),2)</f>
        <v>Corporate</v>
      </c>
      <c r="L184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84" s="7">
        <f>INDEX(tblAttributable[],MATCH(tblCalculation[[#This Row],[Level3]],tblAttributable[Level3],0),2)</f>
        <v>1</v>
      </c>
      <c r="N184" s="16">
        <f>tblBOneExport[[#This Row],[PTF_WEIGHT]]</f>
        <v>2.4928453000000001E-3</v>
      </c>
      <c r="O184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2.0969109780084768E-4</v>
      </c>
      <c r="P184" s="48">
        <f>tblCalculation[[#This Row],[PtfDTS]]/SUM(tblCalculation[PtfDTS])</f>
        <v>2.5429718019859301E-5</v>
      </c>
      <c r="Q184" s="16">
        <f>tblBOneExport[[#This Row],[PTF_CONTRIBUTION]]</f>
        <v>1.4602E-6</v>
      </c>
      <c r="R184" s="16">
        <f>tblCalculation[[#This Row],[PtfContributionBase]]-tblCalculation[[#This Row],[PtfCurrencyReturn]]</f>
        <v>1.4602E-6</v>
      </c>
      <c r="S184" s="16">
        <f>IF(tblBOneExport[[#This Row],[LEVEL1]]="Bonds",tblBOneExport[[#This Row],[PTF_GOV_CARRY]],"")</f>
        <v>3.8599999999999999E-7</v>
      </c>
      <c r="T184" s="16">
        <f>tblCalculation[[#This Row],[FIAttributable]]*tblBOneExport[[#This Row],[PTF_CREDIT_CARRY]]</f>
        <v>1.973E-7</v>
      </c>
      <c r="U184" s="16">
        <f>tblCalculation[[#This Row],[FIAttributable]]*tblBOneExport[[#This Row],[PTF_TOTAL_CURVE]]</f>
        <v>1.149E-7</v>
      </c>
      <c r="V184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7.8039999999999997E-7</v>
      </c>
      <c r="W184" s="16">
        <f>IF(AND(tblCalculation[[#This Row],[Level3]]="Forward Contracts",tblBOneExport[[#This Row],[PTF_COST_OF_CARRY]]=0),tblBOneExport[[#This Row],[PTF_VALUATION]],0)</f>
        <v>0</v>
      </c>
      <c r="X184" s="16">
        <f>SUM(tblCalculation[[#This Row],[PtfTrading]:[PtfModelRes]])</f>
        <v>-1.8399999999999999E-8</v>
      </c>
      <c r="Y184" s="16">
        <f>tblCalculation[[#This Row],[FIAttributable]]*tblBOneExport[[#This Row],[PTF_TRADING]]</f>
        <v>0</v>
      </c>
      <c r="Z184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84" s="16">
        <f>tblCalculation[[#This Row],[FIAttributable]]*tblBOneExport[[#This Row],[PTF_MODEL_RESIDUAL]]-PTF_Credit_Adj*tblCalculation[[#This Row],[PtfDTSWeight]]</f>
        <v>-1.8399999999999999E-8</v>
      </c>
      <c r="AB184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84" s="16">
        <f>tblBOneExport[[#This Row],[BMK_WEIGHT]]</f>
        <v>0</v>
      </c>
      <c r="AD184" s="78">
        <f>tblCalculation[[#This Row],[FIAttributable]]*SUMIFS(tblDTS[DTSContribution_BM],tblDTS[ISIN],tblCalculation[[#This Row],[ISIN]])</f>
        <v>0</v>
      </c>
      <c r="AE184" s="16">
        <f>IF(SUM(tblCalculation[BMKDTS])=0,0,tblCalculation[[#This Row],[BMKDTS]]/SUM(tblCalculation[BMKDTS]))</f>
        <v>0</v>
      </c>
      <c r="AF184" s="16">
        <f>tblBOneExport[[#This Row],[BMK_CONTRIBUTION]]</f>
        <v>0</v>
      </c>
      <c r="AG184" s="16">
        <f>tblCalculation[[#This Row],[BMKContributionBase]]-tblBOneExport[BMK_SPOT_CCY_RETURN]-tblBOneExport[[#This Row],[BMK_CROSS_EFFECT]]</f>
        <v>0</v>
      </c>
      <c r="AH184" s="16">
        <f>tblCalculation[[#This Row],[FIAttributable]]*(tblBOneExport[[#This Row],[BMK_RETURN_GOV_CARRY]])</f>
        <v>0</v>
      </c>
      <c r="AI184" s="16">
        <f>tblCalculation[[#This Row],[FIAttributable]]*tblBOneExport[[#This Row],[BMK_CREDIT_CARRY]]</f>
        <v>0</v>
      </c>
      <c r="AJ184" s="16">
        <f>tblCalculation[[#This Row],[FIAttributable]]*tblBOneExport[[#This Row],[BMK_TOTAL_CURVE]]</f>
        <v>0</v>
      </c>
      <c r="AK184" s="16">
        <f>tblCalculation[[#This Row],[FIAttributable]]*(tblBOneExport[[#This Row],[BMK_TOTAL_SPREAD]]+BMK_Credit_Adj*tblCalculation[[#This Row],[BmkDTSWeight]])</f>
        <v>0</v>
      </c>
      <c r="AL184" s="16">
        <f>tblCalculation[[#This Row],[FIAttributable]]*tblBOneExport[[#This Row],[BMK_MODEL_RESIDUAL]]-BMK_Credit_Adj*tblCalculation[[#This Row],[BmkDTSWeight]]</f>
        <v>0</v>
      </c>
      <c r="AM184" s="16">
        <f>IF(tblCalculation[[#This Row],[Level3]]="Forward Contracts",tblCalculation[[#This Row],[BMKContributionLocal]],0)</f>
        <v>0</v>
      </c>
      <c r="AN184" s="16">
        <f>tblBOneExport[[#This Row],[BMK_SPOT_CCY_RETURN]]+tblBOneExport[[#This Row],[BMK_CROSS_EFFECT]]</f>
        <v>0</v>
      </c>
    </row>
    <row r="185" spans="5:40" x14ac:dyDescent="0.25">
      <c r="E185" s="7" t="str">
        <f>tblBOneExport[[#This Row],[INSTRUMENT_CODE]]</f>
        <v>B8GN8N7</v>
      </c>
      <c r="F185" s="7" t="str">
        <f>tblBOneExport[[#This Row],[INSTRUMENT]]</f>
        <v>MET LIFE GLOB 2.875 11/01/23 EMTN</v>
      </c>
      <c r="G185" s="7" t="str">
        <f>IF(tblBOneExport[[#This Row],[ISIN]]&lt;&gt;"", tblBOneExport[[#This Row],[ISIN]],"")</f>
        <v>XS0873675846</v>
      </c>
      <c r="H185" s="7" t="str">
        <f>IF(tblCalculation[[#This Row],[B1Level2]]="CDS",tblBOneExport[[#This Row],[B1_TICKER]],IF(tblCalculation[[#This Row],[ISIN]]="","",INDEX(tblGetStaticData[Ticker],MATCH(tblCalculation[[#This Row],[ISIN]],tblGetStaticData[ISIN],0))))</f>
        <v>MET</v>
      </c>
      <c r="I185" s="7" t="str">
        <f>IF(tblBOneExport[[#This Row],[INSTRUMENT_TYPE]]="Forward Contract","Forward Contract",tblBOneExport[LEVEL2])</f>
        <v>Corporates</v>
      </c>
      <c r="J185" s="7" t="str">
        <f>IF(tblBOneExport[[#This Row],[INSTRUMENT_TYPE]]="Forward Contract","Forward Contract",tblBOneExport[[#This Row],[LEVEL3]])</f>
        <v>Financial Institutions</v>
      </c>
      <c r="K185" s="7" t="str">
        <f>INDEX(tblLvl2Mapping[],MATCH(tblCalculation[[#This Row],[B1Level2]]&amp;"_"&amp;tblCalculation[[#This Row],[B1Level3]],tblLvl2Mapping[B1Level2_B1Level3],0),2)</f>
        <v>Corporate</v>
      </c>
      <c r="L185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85" s="7">
        <f>INDEX(tblAttributable[],MATCH(tblCalculation[[#This Row],[Level3]],tblAttributable[Level3],0),2)</f>
        <v>1</v>
      </c>
      <c r="N185" s="16">
        <f>tblBOneExport[[#This Row],[PTF_WEIGHT]]</f>
        <v>7.2639100999999998E-3</v>
      </c>
      <c r="O185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1.9569909452251691E-2</v>
      </c>
      <c r="P185" s="48">
        <f>tblCalculation[[#This Row],[PtfDTS]]/SUM(tblCalculation[PtfDTS])</f>
        <v>2.3732875847575817E-3</v>
      </c>
      <c r="Q185" s="16">
        <f>tblBOneExport[[#This Row],[PTF_CONTRIBUTION]]</f>
        <v>6.0603999999999998E-5</v>
      </c>
      <c r="R185" s="16">
        <f>tblCalculation[[#This Row],[PtfContributionBase]]-tblCalculation[[#This Row],[PtfCurrencyReturn]]</f>
        <v>6.0603999999999998E-5</v>
      </c>
      <c r="S185" s="16">
        <f>IF(tblBOneExport[[#This Row],[LEVEL1]]="Bonds",tblBOneExport[[#This Row],[PTF_GOV_CARRY]],"")</f>
        <v>3.3774000000000001E-6</v>
      </c>
      <c r="T185" s="16">
        <f>tblCalculation[[#This Row],[FIAttributable]]*tblBOneExport[[#This Row],[PTF_CREDIT_CARRY]]</f>
        <v>5.1206999999999999E-6</v>
      </c>
      <c r="U185" s="16">
        <f>tblCalculation[[#This Row],[FIAttributable]]*tblBOneExport[[#This Row],[PTF_TOTAL_CURVE]]</f>
        <v>5.5181800000000001E-5</v>
      </c>
      <c r="V185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-5.0242000000000001E-6</v>
      </c>
      <c r="W185" s="16">
        <f>IF(AND(tblCalculation[[#This Row],[Level3]]="Forward Contracts",tblBOneExport[[#This Row],[PTF_COST_OF_CARRY]]=0),tblBOneExport[[#This Row],[PTF_VALUATION]],0)</f>
        <v>0</v>
      </c>
      <c r="X185" s="16">
        <f>SUM(tblCalculation[[#This Row],[PtfTrading]:[PtfModelRes]])</f>
        <v>1.9483999999999998E-6</v>
      </c>
      <c r="Y185" s="16">
        <f>tblCalculation[[#This Row],[FIAttributable]]*tblBOneExport[[#This Row],[PTF_TRADING]]</f>
        <v>0</v>
      </c>
      <c r="Z185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85" s="16">
        <f>tblCalculation[[#This Row],[FIAttributable]]*tblBOneExport[[#This Row],[PTF_MODEL_RESIDUAL]]-PTF_Credit_Adj*tblCalculation[[#This Row],[PtfDTSWeight]]</f>
        <v>1.9483999999999998E-6</v>
      </c>
      <c r="AB185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85" s="16">
        <f>tblBOneExport[[#This Row],[BMK_WEIGHT]]</f>
        <v>0</v>
      </c>
      <c r="AD185" s="78">
        <f>tblCalculation[[#This Row],[FIAttributable]]*SUMIFS(tblDTS[DTSContribution_BM],tblDTS[ISIN],tblCalculation[[#This Row],[ISIN]])</f>
        <v>8.0169362056029189E-3</v>
      </c>
      <c r="AE185" s="16">
        <f>IF(SUM(tblCalculation[BMKDTS])=0,0,tblCalculation[[#This Row],[BMKDTS]]/SUM(tblCalculation[BMKDTS]))</f>
        <v>9.5281512132669205E-4</v>
      </c>
      <c r="AF185" s="16">
        <f>tblBOneExport[[#This Row],[BMK_CONTRIBUTION]]</f>
        <v>0</v>
      </c>
      <c r="AG185" s="16">
        <f>tblCalculation[[#This Row],[BMKContributionBase]]-tblBOneExport[BMK_SPOT_CCY_RETURN]-tblBOneExport[[#This Row],[BMK_CROSS_EFFECT]]</f>
        <v>0</v>
      </c>
      <c r="AH185" s="16">
        <f>tblCalculation[[#This Row],[FIAttributable]]*(tblBOneExport[[#This Row],[BMK_RETURN_GOV_CARRY]])</f>
        <v>0</v>
      </c>
      <c r="AI185" s="16">
        <f>tblCalculation[[#This Row],[FIAttributable]]*tblBOneExport[[#This Row],[BMK_CREDIT_CARRY]]</f>
        <v>0</v>
      </c>
      <c r="AJ185" s="16">
        <f>tblCalculation[[#This Row],[FIAttributable]]*tblBOneExport[[#This Row],[BMK_TOTAL_CURVE]]</f>
        <v>0</v>
      </c>
      <c r="AK185" s="16">
        <f>tblCalculation[[#This Row],[FIAttributable]]*(tblBOneExport[[#This Row],[BMK_TOTAL_SPREAD]]+BMK_Credit_Adj*tblCalculation[[#This Row],[BmkDTSWeight]])</f>
        <v>0</v>
      </c>
      <c r="AL185" s="16">
        <f>tblCalculation[[#This Row],[FIAttributable]]*tblBOneExport[[#This Row],[BMK_MODEL_RESIDUAL]]-BMK_Credit_Adj*tblCalculation[[#This Row],[BmkDTSWeight]]</f>
        <v>0</v>
      </c>
      <c r="AM185" s="16">
        <f>IF(tblCalculation[[#This Row],[Level3]]="Forward Contracts",tblCalculation[[#This Row],[BMKContributionLocal]],0)</f>
        <v>0</v>
      </c>
      <c r="AN185" s="16">
        <f>tblBOneExport[[#This Row],[BMK_SPOT_CCY_RETURN]]+tblBOneExport[[#This Row],[BMK_CROSS_EFFECT]]</f>
        <v>0</v>
      </c>
    </row>
    <row r="186" spans="5:40" x14ac:dyDescent="0.25">
      <c r="E186" s="7" t="str">
        <f>tblBOneExport[[#This Row],[INSTRUMENT_CODE]]</f>
        <v>B984VQ9</v>
      </c>
      <c r="F186" s="7" t="str">
        <f>tblBOneExport[[#This Row],[INSTRUMENT]]</f>
        <v>SEVERN TRENT FIN 3.625 16/01/26 EMTN</v>
      </c>
      <c r="G186" s="7" t="str">
        <f>IF(tblBOneExport[[#This Row],[ISIN]]&lt;&gt;"", tblBOneExport[[#This Row],[ISIN]],"")</f>
        <v>XS0875301912</v>
      </c>
      <c r="H186" s="7" t="str">
        <f>IF(tblCalculation[[#This Row],[B1Level2]]="CDS",tblBOneExport[[#This Row],[B1_TICKER]],IF(tblCalculation[[#This Row],[ISIN]]="","",INDEX(tblGetStaticData[Ticker],MATCH(tblCalculation[[#This Row],[ISIN]],tblGetStaticData[ISIN],0))))</f>
        <v>SVTLN</v>
      </c>
      <c r="I186" s="7" t="str">
        <f>IF(tblBOneExport[[#This Row],[INSTRUMENT_TYPE]]="Forward Contract","Forward Contract",tblBOneExport[LEVEL2])</f>
        <v>Corporates</v>
      </c>
      <c r="J186" s="7" t="str">
        <f>IF(tblBOneExport[[#This Row],[INSTRUMENT_TYPE]]="Forward Contract","Forward Contract",tblBOneExport[[#This Row],[LEVEL3]])</f>
        <v>Utilities</v>
      </c>
      <c r="K186" s="7" t="str">
        <f>INDEX(tblLvl2Mapping[],MATCH(tblCalculation[[#This Row],[B1Level2]]&amp;"_"&amp;tblCalculation[[#This Row],[B1Level3]],tblLvl2Mapping[B1Level2_B1Level3],0),2)</f>
        <v>Corporate</v>
      </c>
      <c r="L186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86" s="7">
        <f>INDEX(tblAttributable[],MATCH(tblCalculation[[#This Row],[Level3]],tblAttributable[Level3],0),2)</f>
        <v>1</v>
      </c>
      <c r="N186" s="16">
        <f>tblBOneExport[[#This Row],[PTF_WEIGHT]]</f>
        <v>2.2645819999999998E-3</v>
      </c>
      <c r="O186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1.4645395325172702E-2</v>
      </c>
      <c r="P186" s="48">
        <f>tblCalculation[[#This Row],[PtfDTS]]/SUM(tblCalculation[PtfDTS])</f>
        <v>1.7760805170766857E-3</v>
      </c>
      <c r="Q186" s="16">
        <f>tblBOneExport[[#This Row],[PTF_CONTRIBUTION]]</f>
        <v>3.2032100000000001E-5</v>
      </c>
      <c r="R186" s="16">
        <f>tblCalculation[[#This Row],[PtfContributionBase]]-tblCalculation[[#This Row],[PtfCurrencyReturn]]</f>
        <v>3.2032100000000001E-5</v>
      </c>
      <c r="S186" s="16">
        <f>IF(tblBOneExport[[#This Row],[LEVEL1]]="Bonds",tblBOneExport[[#This Row],[PTF_GOV_CARRY]],"")</f>
        <v>1.7562E-6</v>
      </c>
      <c r="T186" s="16">
        <f>tblCalculation[[#This Row],[FIAttributable]]*tblBOneExport[[#This Row],[PTF_CREDIT_CARRY]]</f>
        <v>1.9912999999999999E-6</v>
      </c>
      <c r="U186" s="16">
        <f>tblCalculation[[#This Row],[FIAttributable]]*tblBOneExport[[#This Row],[PTF_TOTAL_CURVE]]</f>
        <v>3.2597900000000002E-5</v>
      </c>
      <c r="V186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-4.8578000000000003E-6</v>
      </c>
      <c r="W186" s="16">
        <f>IF(AND(tblCalculation[[#This Row],[Level3]]="Forward Contracts",tblBOneExport[[#This Row],[PTF_COST_OF_CARRY]]=0),tblBOneExport[[#This Row],[PTF_VALUATION]],0)</f>
        <v>0</v>
      </c>
      <c r="X186" s="16">
        <f>SUM(tblCalculation[[#This Row],[PtfTrading]:[PtfModelRes]])</f>
        <v>5.4460000000000005E-7</v>
      </c>
      <c r="Y186" s="16">
        <f>tblCalculation[[#This Row],[FIAttributable]]*tblBOneExport[[#This Row],[PTF_TRADING]]</f>
        <v>0</v>
      </c>
      <c r="Z186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86" s="16">
        <f>tblCalculation[[#This Row],[FIAttributable]]*tblBOneExport[[#This Row],[PTF_MODEL_RESIDUAL]]-PTF_Credit_Adj*tblCalculation[[#This Row],[PtfDTSWeight]]</f>
        <v>5.4460000000000005E-7</v>
      </c>
      <c r="AB186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86" s="16">
        <f>tblBOneExport[[#This Row],[BMK_WEIGHT]]</f>
        <v>0</v>
      </c>
      <c r="AD186" s="78">
        <f>tblCalculation[[#This Row],[FIAttributable]]*SUMIFS(tblDTS[DTSContribution_BM],tblDTS[ISIN],tblCalculation[[#This Row],[ISIN]])</f>
        <v>1.9328840843374488E-2</v>
      </c>
      <c r="AE186" s="16">
        <f>IF(SUM(tblCalculation[BMKDTS])=0,0,tblCalculation[[#This Row],[BMKDTS]]/SUM(tblCalculation[BMKDTS]))</f>
        <v>2.2972381669212915E-3</v>
      </c>
      <c r="AF186" s="16">
        <f>tblBOneExport[[#This Row],[BMK_CONTRIBUTION]]</f>
        <v>0</v>
      </c>
      <c r="AG186" s="16">
        <f>tblCalculation[[#This Row],[BMKContributionBase]]-tblBOneExport[BMK_SPOT_CCY_RETURN]-tblBOneExport[[#This Row],[BMK_CROSS_EFFECT]]</f>
        <v>0</v>
      </c>
      <c r="AH186" s="16">
        <f>tblCalculation[[#This Row],[FIAttributable]]*(tblBOneExport[[#This Row],[BMK_RETURN_GOV_CARRY]])</f>
        <v>0</v>
      </c>
      <c r="AI186" s="16">
        <f>tblCalculation[[#This Row],[FIAttributable]]*tblBOneExport[[#This Row],[BMK_CREDIT_CARRY]]</f>
        <v>0</v>
      </c>
      <c r="AJ186" s="16">
        <f>tblCalculation[[#This Row],[FIAttributable]]*tblBOneExport[[#This Row],[BMK_TOTAL_CURVE]]</f>
        <v>0</v>
      </c>
      <c r="AK186" s="16">
        <f>tblCalculation[[#This Row],[FIAttributable]]*(tblBOneExport[[#This Row],[BMK_TOTAL_SPREAD]]+BMK_Credit_Adj*tblCalculation[[#This Row],[BmkDTSWeight]])</f>
        <v>0</v>
      </c>
      <c r="AL186" s="16">
        <f>tblCalculation[[#This Row],[FIAttributable]]*tblBOneExport[[#This Row],[BMK_MODEL_RESIDUAL]]-BMK_Credit_Adj*tblCalculation[[#This Row],[BmkDTSWeight]]</f>
        <v>0</v>
      </c>
      <c r="AM186" s="16">
        <f>IF(tblCalculation[[#This Row],[Level3]]="Forward Contracts",tblCalculation[[#This Row],[BMKContributionLocal]],0)</f>
        <v>0</v>
      </c>
      <c r="AN186" s="16">
        <f>tblBOneExport[[#This Row],[BMK_SPOT_CCY_RETURN]]+tblBOneExport[[#This Row],[BMK_CROSS_EFFECT]]</f>
        <v>0</v>
      </c>
    </row>
    <row r="187" spans="5:40" x14ac:dyDescent="0.25">
      <c r="E187" s="7" t="str">
        <f>tblBOneExport[[#This Row],[INSTRUMENT_CODE]]</f>
        <v>B8XVRH1</v>
      </c>
      <c r="F187" s="7" t="str">
        <f>tblBOneExport[[#This Row],[INSTRUMENT]]</f>
        <v>NETWRK RAIL INFR 1 07/12/17 EMTN</v>
      </c>
      <c r="G187" s="7" t="str">
        <f>IF(tblBOneExport[[#This Row],[ISIN]]&lt;&gt;"", tblBOneExport[[#This Row],[ISIN]],"")</f>
        <v>XS0878750248</v>
      </c>
      <c r="H187" s="7" t="str">
        <f>IF(tblCalculation[[#This Row],[B1Level2]]="CDS",tblBOneExport[[#This Row],[B1_TICKER]],IF(tblCalculation[[#This Row],[ISIN]]="","",INDEX(tblGetStaticData[Ticker],MATCH(tblCalculation[[#This Row],[ISIN]],tblGetStaticData[ISIN],0))))</f>
        <v>UKRAIL</v>
      </c>
      <c r="I187" s="7" t="str">
        <f>IF(tblBOneExport[[#This Row],[INSTRUMENT_TYPE]]="Forward Contract","Forward Contract",tblBOneExport[LEVEL2])</f>
        <v>Non-Corporate</v>
      </c>
      <c r="J187" s="7" t="str">
        <f>IF(tblBOneExport[[#This Row],[INSTRUMENT_TYPE]]="Forward Contract","Forward Contract",tblBOneExport[[#This Row],[LEVEL3]])</f>
        <v>Foreign Agency</v>
      </c>
      <c r="K187" s="7" t="str">
        <f>INDEX(tblLvl2Mapping[],MATCH(tblCalculation[[#This Row],[B1Level2]]&amp;"_"&amp;tblCalculation[[#This Row],[B1Level3]],tblLvl2Mapping[B1Level2_B1Level3],0),2)</f>
        <v>Corporate</v>
      </c>
      <c r="L187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87" s="7">
        <f>INDEX(tblAttributable[],MATCH(tblCalculation[[#This Row],[Level3]],tblAttributable[Level3],0),2)</f>
        <v>1</v>
      </c>
      <c r="N187" s="16">
        <f>tblBOneExport[[#This Row],[PTF_WEIGHT]]</f>
        <v>2.5564066E-3</v>
      </c>
      <c r="O187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1.6026785826555058E-4</v>
      </c>
      <c r="P187" s="48">
        <f>tblCalculation[[#This Row],[PtfDTS]]/SUM(tblCalculation[PtfDTS])</f>
        <v>1.9436048960030063E-5</v>
      </c>
      <c r="Q187" s="16">
        <f>tblBOneExport[[#This Row],[PTF_CONTRIBUTION]]</f>
        <v>4.5649999999999999E-7</v>
      </c>
      <c r="R187" s="16">
        <f>tblCalculation[[#This Row],[PtfContributionBase]]-tblCalculation[[#This Row],[PtfCurrencyReturn]]</f>
        <v>4.5649999999999999E-7</v>
      </c>
      <c r="S187" s="16">
        <f>IF(tblBOneExport[[#This Row],[LEVEL1]]="Bonds",tblBOneExport[[#This Row],[PTF_GOV_CARRY]],"")</f>
        <v>3.6339999999999999E-7</v>
      </c>
      <c r="T187" s="16">
        <f>tblCalculation[[#This Row],[FIAttributable]]*tblBOneExport[[#This Row],[PTF_CREDIT_CARRY]]</f>
        <v>4.9989999999999997E-7</v>
      </c>
      <c r="U187" s="16">
        <f>tblCalculation[[#This Row],[FIAttributable]]*tblBOneExport[[#This Row],[PTF_TOTAL_CURVE]]</f>
        <v>-1.161E-7</v>
      </c>
      <c r="V187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2.262E-7</v>
      </c>
      <c r="W187" s="16">
        <f>IF(AND(tblCalculation[[#This Row],[Level3]]="Forward Contracts",tblBOneExport[[#This Row],[PTF_COST_OF_CARRY]]=0),tblBOneExport[[#This Row],[PTF_VALUATION]],0)</f>
        <v>0</v>
      </c>
      <c r="X187" s="16">
        <f>SUM(tblCalculation[[#This Row],[PtfTrading]:[PtfModelRes]])</f>
        <v>-5.1689999999999998E-7</v>
      </c>
      <c r="Y187" s="16">
        <f>tblCalculation[[#This Row],[FIAttributable]]*tblBOneExport[[#This Row],[PTF_TRADING]]</f>
        <v>0</v>
      </c>
      <c r="Z187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87" s="16">
        <f>tblCalculation[[#This Row],[FIAttributable]]*tblBOneExport[[#This Row],[PTF_MODEL_RESIDUAL]]-PTF_Credit_Adj*tblCalculation[[#This Row],[PtfDTSWeight]]</f>
        <v>-5.1689999999999998E-7</v>
      </c>
      <c r="AB187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87" s="16">
        <f>tblBOneExport[[#This Row],[BMK_WEIGHT]]</f>
        <v>0</v>
      </c>
      <c r="AD187" s="78">
        <f>tblCalculation[[#This Row],[FIAttributable]]*SUMIFS(tblDTS[DTSContribution_BM],tblDTS[ISIN],tblCalculation[[#This Row],[ISIN]])</f>
        <v>1.6404096459439924E-4</v>
      </c>
      <c r="AE187" s="16">
        <f>IF(SUM(tblCalculation[BMKDTS])=0,0,tblCalculation[[#This Row],[BMKDTS]]/SUM(tblCalculation[BMKDTS]))</f>
        <v>1.9496314748435171E-5</v>
      </c>
      <c r="AF187" s="16">
        <f>tblBOneExport[[#This Row],[BMK_CONTRIBUTION]]</f>
        <v>0</v>
      </c>
      <c r="AG187" s="16">
        <f>tblCalculation[[#This Row],[BMKContributionBase]]-tblBOneExport[BMK_SPOT_CCY_RETURN]-tblBOneExport[[#This Row],[BMK_CROSS_EFFECT]]</f>
        <v>0</v>
      </c>
      <c r="AH187" s="16">
        <f>tblCalculation[[#This Row],[FIAttributable]]*(tblBOneExport[[#This Row],[BMK_RETURN_GOV_CARRY]])</f>
        <v>0</v>
      </c>
      <c r="AI187" s="16">
        <f>tblCalculation[[#This Row],[FIAttributable]]*tblBOneExport[[#This Row],[BMK_CREDIT_CARRY]]</f>
        <v>0</v>
      </c>
      <c r="AJ187" s="16">
        <f>tblCalculation[[#This Row],[FIAttributable]]*tblBOneExport[[#This Row],[BMK_TOTAL_CURVE]]</f>
        <v>0</v>
      </c>
      <c r="AK187" s="16">
        <f>tblCalculation[[#This Row],[FIAttributable]]*(tblBOneExport[[#This Row],[BMK_TOTAL_SPREAD]]+BMK_Credit_Adj*tblCalculation[[#This Row],[BmkDTSWeight]])</f>
        <v>0</v>
      </c>
      <c r="AL187" s="16">
        <f>tblCalculation[[#This Row],[FIAttributable]]*tblBOneExport[[#This Row],[BMK_MODEL_RESIDUAL]]-BMK_Credit_Adj*tblCalculation[[#This Row],[BmkDTSWeight]]</f>
        <v>0</v>
      </c>
      <c r="AM187" s="16">
        <f>IF(tblCalculation[[#This Row],[Level3]]="Forward Contracts",tblCalculation[[#This Row],[BMKContributionLocal]],0)</f>
        <v>0</v>
      </c>
      <c r="AN187" s="16">
        <f>tblBOneExport[[#This Row],[BMK_SPOT_CCY_RETURN]]+tblBOneExport[[#This Row],[BMK_CROSS_EFFECT]]</f>
        <v>0</v>
      </c>
    </row>
    <row r="188" spans="5:40" x14ac:dyDescent="0.25">
      <c r="E188" s="7" t="str">
        <f>tblBOneExport[[#This Row],[INSTRUMENT_CODE]]</f>
        <v>B7C7CR8</v>
      </c>
      <c r="F188" s="7" t="str">
        <f>tblBOneExport[[#This Row],[INSTRUMENT]]</f>
        <v>RENTENBANK 1 15/12/17 EMTN</v>
      </c>
      <c r="G188" s="7" t="str">
        <f>IF(tblBOneExport[[#This Row],[ISIN]]&lt;&gt;"", tblBOneExport[[#This Row],[ISIN]],"")</f>
        <v>XS0893356120</v>
      </c>
      <c r="H188" s="7" t="str">
        <f>IF(tblCalculation[[#This Row],[B1Level2]]="CDS",tblBOneExport[[#This Row],[B1_TICKER]],IF(tblCalculation[[#This Row],[ISIN]]="","",INDEX(tblGetStaticData[Ticker],MATCH(tblCalculation[[#This Row],[ISIN]],tblGetStaticData[ISIN],0))))</f>
        <v>RENTEN</v>
      </c>
      <c r="I188" s="7" t="str">
        <f>IF(tblBOneExport[[#This Row],[INSTRUMENT_TYPE]]="Forward Contract","Forward Contract",tblBOneExport[LEVEL2])</f>
        <v>Non-Corporate</v>
      </c>
      <c r="J188" s="7" t="str">
        <f>IF(tblBOneExport[[#This Row],[INSTRUMENT_TYPE]]="Forward Contract","Forward Contract",tblBOneExport[[#This Row],[LEVEL3]])</f>
        <v>Foreign Agency</v>
      </c>
      <c r="K188" s="7" t="str">
        <f>INDEX(tblLvl2Mapping[],MATCH(tblCalculation[[#This Row],[B1Level2]]&amp;"_"&amp;tblCalculation[[#This Row],[B1Level3]],tblLvl2Mapping[B1Level2_B1Level3],0),2)</f>
        <v>Corporate</v>
      </c>
      <c r="L188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88" s="7">
        <f>INDEX(tblAttributable[],MATCH(tblCalculation[[#This Row],[Level3]],tblAttributable[Level3],0),2)</f>
        <v>1</v>
      </c>
      <c r="N188" s="16">
        <f>tblBOneExport[[#This Row],[PTF_WEIGHT]]</f>
        <v>1.9824331000000001E-3</v>
      </c>
      <c r="O188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1.3302283978089912E-4</v>
      </c>
      <c r="P188" s="48">
        <f>tblCalculation[[#This Row],[PtfDTS]]/SUM(tblCalculation[PtfDTS])</f>
        <v>1.6131983385588972E-5</v>
      </c>
      <c r="Q188" s="16">
        <f>tblBOneExport[[#This Row],[PTF_CONTRIBUTION]]</f>
        <v>9.0689999999999995E-7</v>
      </c>
      <c r="R188" s="16">
        <f>tblCalculation[[#This Row],[PtfContributionBase]]-tblCalculation[[#This Row],[PtfCurrencyReturn]]</f>
        <v>9.0689999999999995E-7</v>
      </c>
      <c r="S188" s="16">
        <f>IF(tblBOneExport[[#This Row],[LEVEL1]]="Bonds",tblBOneExport[[#This Row],[PTF_GOV_CARRY]],"")</f>
        <v>2.8710000000000002E-7</v>
      </c>
      <c r="T188" s="16">
        <f>tblCalculation[[#This Row],[FIAttributable]]*tblBOneExport[[#This Row],[PTF_CREDIT_CARRY]]</f>
        <v>2.9110000000000001E-7</v>
      </c>
      <c r="U188" s="16">
        <f>tblCalculation[[#This Row],[FIAttributable]]*tblBOneExport[[#This Row],[PTF_TOTAL_CURVE]]</f>
        <v>-6.1500000000000001E-8</v>
      </c>
      <c r="V188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1.9990000000000001E-7</v>
      </c>
      <c r="W188" s="16">
        <f>IF(AND(tblCalculation[[#This Row],[Level3]]="Forward Contracts",tblBOneExport[[#This Row],[PTF_COST_OF_CARRY]]=0),tblBOneExport[[#This Row],[PTF_VALUATION]],0)</f>
        <v>0</v>
      </c>
      <c r="X188" s="16">
        <f>SUM(tblCalculation[[#This Row],[PtfTrading]:[PtfModelRes]])</f>
        <v>1.903E-7</v>
      </c>
      <c r="Y188" s="16">
        <f>tblCalculation[[#This Row],[FIAttributable]]*tblBOneExport[[#This Row],[PTF_TRADING]]</f>
        <v>0</v>
      </c>
      <c r="Z188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88" s="16">
        <f>tblCalculation[[#This Row],[FIAttributable]]*tblBOneExport[[#This Row],[PTF_MODEL_RESIDUAL]]-PTF_Credit_Adj*tblCalculation[[#This Row],[PtfDTSWeight]]</f>
        <v>1.903E-7</v>
      </c>
      <c r="AB188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88" s="16">
        <f>tblBOneExport[[#This Row],[BMK_WEIGHT]]</f>
        <v>0</v>
      </c>
      <c r="AD188" s="78">
        <f>tblCalculation[[#This Row],[FIAttributable]]*SUMIFS(tblDTS[DTSContribution_BM],tblDTS[ISIN],tblCalculation[[#This Row],[ISIN]])</f>
        <v>1.7555846167176934E-4</v>
      </c>
      <c r="AE188" s="16">
        <f>IF(SUM(tblCalculation[BMKDTS])=0,0,tblCalculation[[#This Row],[BMKDTS]]/SUM(tblCalculation[BMKDTS]))</f>
        <v>2.0865172513261168E-5</v>
      </c>
      <c r="AF188" s="16">
        <f>tblBOneExport[[#This Row],[BMK_CONTRIBUTION]]</f>
        <v>0</v>
      </c>
      <c r="AG188" s="16">
        <f>tblCalculation[[#This Row],[BMKContributionBase]]-tblBOneExport[BMK_SPOT_CCY_RETURN]-tblBOneExport[[#This Row],[BMK_CROSS_EFFECT]]</f>
        <v>0</v>
      </c>
      <c r="AH188" s="16">
        <f>tblCalculation[[#This Row],[FIAttributable]]*(tblBOneExport[[#This Row],[BMK_RETURN_GOV_CARRY]])</f>
        <v>0</v>
      </c>
      <c r="AI188" s="16">
        <f>tblCalculation[[#This Row],[FIAttributable]]*tblBOneExport[[#This Row],[BMK_CREDIT_CARRY]]</f>
        <v>0</v>
      </c>
      <c r="AJ188" s="16">
        <f>tblCalculation[[#This Row],[FIAttributable]]*tblBOneExport[[#This Row],[BMK_TOTAL_CURVE]]</f>
        <v>0</v>
      </c>
      <c r="AK188" s="16">
        <f>tblCalculation[[#This Row],[FIAttributable]]*(tblBOneExport[[#This Row],[BMK_TOTAL_SPREAD]]+BMK_Credit_Adj*tblCalculation[[#This Row],[BmkDTSWeight]])</f>
        <v>0</v>
      </c>
      <c r="AL188" s="16">
        <f>tblCalculation[[#This Row],[FIAttributable]]*tblBOneExport[[#This Row],[BMK_MODEL_RESIDUAL]]-BMK_Credit_Adj*tblCalculation[[#This Row],[BmkDTSWeight]]</f>
        <v>0</v>
      </c>
      <c r="AM188" s="16">
        <f>IF(tblCalculation[[#This Row],[Level3]]="Forward Contracts",tblCalculation[[#This Row],[BMKContributionLocal]],0)</f>
        <v>0</v>
      </c>
      <c r="AN188" s="16">
        <f>tblBOneExport[[#This Row],[BMK_SPOT_CCY_RETURN]]+tblBOneExport[[#This Row],[BMK_CROSS_EFFECT]]</f>
        <v>0</v>
      </c>
    </row>
    <row r="189" spans="5:40" x14ac:dyDescent="0.25">
      <c r="E189" s="7" t="str">
        <f>tblBOneExport[[#This Row],[INSTRUMENT_CODE]]</f>
        <v>B9MB627</v>
      </c>
      <c r="F189" s="7" t="str">
        <f>tblBOneExport[[#This Row],[INSTRUMENT]]</f>
        <v>L BANK FOERDERBK 0.875 15/12/17 EMTN</v>
      </c>
      <c r="G189" s="7" t="str">
        <f>IF(tblBOneExport[[#This Row],[ISIN]]&lt;&gt;"", tblBOneExport[[#This Row],[ISIN]],"")</f>
        <v>XS0914294623</v>
      </c>
      <c r="H189" s="7" t="str">
        <f>IF(tblCalculation[[#This Row],[B1Level2]]="CDS",tblBOneExport[[#This Row],[B1_TICKER]],IF(tblCalculation[[#This Row],[ISIN]]="","",INDEX(tblGetStaticData[Ticker],MATCH(tblCalculation[[#This Row],[ISIN]],tblGetStaticData[ISIN],0))))</f>
        <v>LBANK</v>
      </c>
      <c r="I189" s="7" t="str">
        <f>IF(tblBOneExport[[#This Row],[INSTRUMENT_TYPE]]="Forward Contract","Forward Contract",tblBOneExport[LEVEL2])</f>
        <v>Non-Corporate</v>
      </c>
      <c r="J189" s="7" t="str">
        <f>IF(tblBOneExport[[#This Row],[INSTRUMENT_TYPE]]="Forward Contract","Forward Contract",tblBOneExport[[#This Row],[LEVEL3]])</f>
        <v>Foreign Local Govt</v>
      </c>
      <c r="K189" s="7" t="str">
        <f>INDEX(tblLvl2Mapping[],MATCH(tblCalculation[[#This Row],[B1Level2]]&amp;"_"&amp;tblCalculation[[#This Row],[B1Level3]],tblLvl2Mapping[B1Level2_B1Level3],0),2)</f>
        <v>Corporate</v>
      </c>
      <c r="L189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89" s="7">
        <f>INDEX(tblAttributable[],MATCH(tblCalculation[[#This Row],[Level3]],tblAttributable[Level3],0),2)</f>
        <v>1</v>
      </c>
      <c r="N189" s="16">
        <f>tblBOneExport[[#This Row],[PTF_WEIGHT]]</f>
        <v>1.2810242E-3</v>
      </c>
      <c r="O189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8.5947448349597407E-5</v>
      </c>
      <c r="P189" s="48">
        <f>tblCalculation[[#This Row],[PtfDTS]]/SUM(tblCalculation[PtfDTS])</f>
        <v>1.0423043223954394E-5</v>
      </c>
      <c r="Q189" s="16">
        <f>tblBOneExport[[#This Row],[PTF_CONTRIBUTION]]</f>
        <v>6.2920000000000005E-7</v>
      </c>
      <c r="R189" s="16">
        <f>tblCalculation[[#This Row],[PtfContributionBase]]-tblCalculation[[#This Row],[PtfCurrencyReturn]]</f>
        <v>6.2920000000000005E-7</v>
      </c>
      <c r="S189" s="16">
        <f>IF(tblBOneExport[[#This Row],[LEVEL1]]="Bonds",tblBOneExport[[#This Row],[PTF_GOV_CARRY]],"")</f>
        <v>1.8540000000000001E-7</v>
      </c>
      <c r="T189" s="16">
        <f>tblCalculation[[#This Row],[FIAttributable]]*tblBOneExport[[#This Row],[PTF_CREDIT_CARRY]]</f>
        <v>2.279E-7</v>
      </c>
      <c r="U189" s="16">
        <f>tblCalculation[[#This Row],[FIAttributable]]*tblBOneExport[[#This Row],[PTF_TOTAL_CURVE]]</f>
        <v>-3.9599999999999997E-8</v>
      </c>
      <c r="V189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1.0700000000000001E-7</v>
      </c>
      <c r="W189" s="16">
        <f>IF(AND(tblCalculation[[#This Row],[Level3]]="Forward Contracts",tblBOneExport[[#This Row],[PTF_COST_OF_CARRY]]=0),tblBOneExport[[#This Row],[PTF_VALUATION]],0)</f>
        <v>0</v>
      </c>
      <c r="X189" s="16">
        <f>SUM(tblCalculation[[#This Row],[PtfTrading]:[PtfModelRes]])</f>
        <v>1.4850000000000001E-7</v>
      </c>
      <c r="Y189" s="16">
        <f>tblCalculation[[#This Row],[FIAttributable]]*tblBOneExport[[#This Row],[PTF_TRADING]]</f>
        <v>0</v>
      </c>
      <c r="Z189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89" s="16">
        <f>tblCalculation[[#This Row],[FIAttributable]]*tblBOneExport[[#This Row],[PTF_MODEL_RESIDUAL]]-PTF_Credit_Adj*tblCalculation[[#This Row],[PtfDTSWeight]]</f>
        <v>1.4850000000000001E-7</v>
      </c>
      <c r="AB189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89" s="16">
        <f>tblBOneExport[[#This Row],[BMK_WEIGHT]]</f>
        <v>0</v>
      </c>
      <c r="AD189" s="78">
        <f>tblCalculation[[#This Row],[FIAttributable]]*SUMIFS(tblDTS[DTSContribution_BM],tblDTS[ISIN],tblCalculation[[#This Row],[ISIN]])</f>
        <v>1.1342342086229442E-4</v>
      </c>
      <c r="AE189" s="16">
        <f>IF(SUM(tblCalculation[BMKDTS])=0,0,tblCalculation[[#This Row],[BMKDTS]]/SUM(tblCalculation[BMKDTS]))</f>
        <v>1.3480405448987594E-5</v>
      </c>
      <c r="AF189" s="16">
        <f>tblBOneExport[[#This Row],[BMK_CONTRIBUTION]]</f>
        <v>0</v>
      </c>
      <c r="AG189" s="16">
        <f>tblCalculation[[#This Row],[BMKContributionBase]]-tblBOneExport[BMK_SPOT_CCY_RETURN]-tblBOneExport[[#This Row],[BMK_CROSS_EFFECT]]</f>
        <v>0</v>
      </c>
      <c r="AH189" s="16">
        <f>tblCalculation[[#This Row],[FIAttributable]]*(tblBOneExport[[#This Row],[BMK_RETURN_GOV_CARRY]])</f>
        <v>0</v>
      </c>
      <c r="AI189" s="16">
        <f>tblCalculation[[#This Row],[FIAttributable]]*tblBOneExport[[#This Row],[BMK_CREDIT_CARRY]]</f>
        <v>0</v>
      </c>
      <c r="AJ189" s="16">
        <f>tblCalculation[[#This Row],[FIAttributable]]*tblBOneExport[[#This Row],[BMK_TOTAL_CURVE]]</f>
        <v>0</v>
      </c>
      <c r="AK189" s="16">
        <f>tblCalculation[[#This Row],[FIAttributable]]*(tblBOneExport[[#This Row],[BMK_TOTAL_SPREAD]]+BMK_Credit_Adj*tblCalculation[[#This Row],[BmkDTSWeight]])</f>
        <v>0</v>
      </c>
      <c r="AL189" s="16">
        <f>tblCalculation[[#This Row],[FIAttributable]]*tblBOneExport[[#This Row],[BMK_MODEL_RESIDUAL]]-BMK_Credit_Adj*tblCalculation[[#This Row],[BmkDTSWeight]]</f>
        <v>0</v>
      </c>
      <c r="AM189" s="16">
        <f>IF(tblCalculation[[#This Row],[Level3]]="Forward Contracts",tblCalculation[[#This Row],[BMKContributionLocal]],0)</f>
        <v>0</v>
      </c>
      <c r="AN189" s="16">
        <f>tblBOneExport[[#This Row],[BMK_SPOT_CCY_RETURN]]+tblBOneExport[[#This Row],[BMK_CROSS_EFFECT]]</f>
        <v>0</v>
      </c>
    </row>
    <row r="190" spans="5:40" x14ac:dyDescent="0.25">
      <c r="E190" s="7" t="str">
        <f>tblBOneExport[[#This Row],[INSTRUMENT_CODE]]</f>
        <v>B94PZR5</v>
      </c>
      <c r="F190" s="7" t="str">
        <f>tblBOneExport[[#This Row],[INSTRUMENT]]</f>
        <v>NRW.BANK 0.875 15/12/17 524</v>
      </c>
      <c r="G190" s="7" t="str">
        <f>IF(tblBOneExport[[#This Row],[ISIN]]&lt;&gt;"", tblBOneExport[[#This Row],[ISIN]],"")</f>
        <v>XS0925581265</v>
      </c>
      <c r="H190" s="7" t="str">
        <f>IF(tblCalculation[[#This Row],[B1Level2]]="CDS",tblBOneExport[[#This Row],[B1_TICKER]],IF(tblCalculation[[#This Row],[ISIN]]="","",INDEX(tblGetStaticData[Ticker],MATCH(tblCalculation[[#This Row],[ISIN]],tblGetStaticData[ISIN],0))))</f>
        <v>NRWBK</v>
      </c>
      <c r="I190" s="7" t="str">
        <f>IF(tblBOneExport[[#This Row],[INSTRUMENT_TYPE]]="Forward Contract","Forward Contract",tblBOneExport[LEVEL2])</f>
        <v>Non-Corporate</v>
      </c>
      <c r="J190" s="7" t="str">
        <f>IF(tblBOneExport[[#This Row],[INSTRUMENT_TYPE]]="Forward Contract","Forward Contract",tblBOneExport[[#This Row],[LEVEL3]])</f>
        <v>Foreign Local Govt</v>
      </c>
      <c r="K190" s="7" t="str">
        <f>INDEX(tblLvl2Mapping[],MATCH(tblCalculation[[#This Row],[B1Level2]]&amp;"_"&amp;tblCalculation[[#This Row],[B1Level3]],tblLvl2Mapping[B1Level2_B1Level3],0),2)</f>
        <v>Corporate</v>
      </c>
      <c r="L190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90" s="7">
        <f>INDEX(tblAttributable[],MATCH(tblCalculation[[#This Row],[Level3]],tblAttributable[Level3],0),2)</f>
        <v>1</v>
      </c>
      <c r="N190" s="16">
        <f>tblBOneExport[[#This Row],[PTF_WEIGHT]]</f>
        <v>1.8631413999999999E-3</v>
      </c>
      <c r="O190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1.25126471268019E-4</v>
      </c>
      <c r="P190" s="48">
        <f>tblCalculation[[#This Row],[PtfDTS]]/SUM(tblCalculation[PtfDTS])</f>
        <v>1.5174372753714902E-5</v>
      </c>
      <c r="Q190" s="16">
        <f>tblBOneExport[[#This Row],[PTF_CONTRIBUTION]]</f>
        <v>5.4529999999999999E-7</v>
      </c>
      <c r="R190" s="16">
        <f>tblCalculation[[#This Row],[PtfContributionBase]]-tblCalculation[[#This Row],[PtfCurrencyReturn]]</f>
        <v>5.4529999999999999E-7</v>
      </c>
      <c r="S190" s="16">
        <f>IF(tblBOneExport[[#This Row],[LEVEL1]]="Bonds",tblBOneExport[[#This Row],[PTF_GOV_CARRY]],"")</f>
        <v>2.6969999999999999E-7</v>
      </c>
      <c r="T190" s="16">
        <f>tblCalculation[[#This Row],[FIAttributable]]*tblBOneExport[[#This Row],[PTF_CREDIT_CARRY]]</f>
        <v>3.4869999999999999E-7</v>
      </c>
      <c r="U190" s="16">
        <f>tblCalculation[[#This Row],[FIAttributable]]*tblBOneExport[[#This Row],[PTF_TOTAL_CURVE]]</f>
        <v>-5.7800000000000001E-8</v>
      </c>
      <c r="V190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1.2380000000000001E-7</v>
      </c>
      <c r="W190" s="16">
        <f>IF(AND(tblCalculation[[#This Row],[Level3]]="Forward Contracts",tblBOneExport[[#This Row],[PTF_COST_OF_CARRY]]=0),tblBOneExport[[#This Row],[PTF_VALUATION]],0)</f>
        <v>0</v>
      </c>
      <c r="X190" s="16">
        <f>SUM(tblCalculation[[#This Row],[PtfTrading]:[PtfModelRes]])</f>
        <v>-1.3899999999999999E-7</v>
      </c>
      <c r="Y190" s="16">
        <f>tblCalculation[[#This Row],[FIAttributable]]*tblBOneExport[[#This Row],[PTF_TRADING]]</f>
        <v>0</v>
      </c>
      <c r="Z190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90" s="16">
        <f>tblCalculation[[#This Row],[FIAttributable]]*tblBOneExport[[#This Row],[PTF_MODEL_RESIDUAL]]-PTF_Credit_Adj*tblCalculation[[#This Row],[PtfDTSWeight]]</f>
        <v>-1.3899999999999999E-7</v>
      </c>
      <c r="AB190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90" s="16">
        <f>tblBOneExport[[#This Row],[BMK_WEIGHT]]</f>
        <v>0</v>
      </c>
      <c r="AD190" s="78">
        <f>tblCalculation[[#This Row],[FIAttributable]]*SUMIFS(tblDTS[DTSContribution_BM],tblDTS[ISIN],tblCalculation[[#This Row],[ISIN]])</f>
        <v>1.0321145206961241E-4</v>
      </c>
      <c r="AE190" s="16">
        <f>IF(SUM(tblCalculation[BMKDTS])=0,0,tblCalculation[[#This Row],[BMKDTS]]/SUM(tblCalculation[BMKDTS]))</f>
        <v>1.2266710087736812E-5</v>
      </c>
      <c r="AF190" s="16">
        <f>tblBOneExport[[#This Row],[BMK_CONTRIBUTION]]</f>
        <v>0</v>
      </c>
      <c r="AG190" s="16">
        <f>tblCalculation[[#This Row],[BMKContributionBase]]-tblBOneExport[BMK_SPOT_CCY_RETURN]-tblBOneExport[[#This Row],[BMK_CROSS_EFFECT]]</f>
        <v>0</v>
      </c>
      <c r="AH190" s="16">
        <f>tblCalculation[[#This Row],[FIAttributable]]*(tblBOneExport[[#This Row],[BMK_RETURN_GOV_CARRY]])</f>
        <v>0</v>
      </c>
      <c r="AI190" s="16">
        <f>tblCalculation[[#This Row],[FIAttributable]]*tblBOneExport[[#This Row],[BMK_CREDIT_CARRY]]</f>
        <v>0</v>
      </c>
      <c r="AJ190" s="16">
        <f>tblCalculation[[#This Row],[FIAttributable]]*tblBOneExport[[#This Row],[BMK_TOTAL_CURVE]]</f>
        <v>0</v>
      </c>
      <c r="AK190" s="16">
        <f>tblCalculation[[#This Row],[FIAttributable]]*(tblBOneExport[[#This Row],[BMK_TOTAL_SPREAD]]+BMK_Credit_Adj*tblCalculation[[#This Row],[BmkDTSWeight]])</f>
        <v>0</v>
      </c>
      <c r="AL190" s="16">
        <f>tblCalculation[[#This Row],[FIAttributable]]*tblBOneExport[[#This Row],[BMK_MODEL_RESIDUAL]]-BMK_Credit_Adj*tblCalculation[[#This Row],[BmkDTSWeight]]</f>
        <v>0</v>
      </c>
      <c r="AM190" s="16">
        <f>IF(tblCalculation[[#This Row],[Level3]]="Forward Contracts",tblCalculation[[#This Row],[BMKContributionLocal]],0)</f>
        <v>0</v>
      </c>
      <c r="AN190" s="16">
        <f>tblBOneExport[[#This Row],[BMK_SPOT_CCY_RETURN]]+tblBOneExport[[#This Row],[BMK_CROSS_EFFECT]]</f>
        <v>0</v>
      </c>
    </row>
    <row r="191" spans="5:40" x14ac:dyDescent="0.25">
      <c r="E191" s="7" t="str">
        <f>tblBOneExport[[#This Row],[INSTRUMENT_CODE]]</f>
        <v>B6VGKK8</v>
      </c>
      <c r="F191" s="7" t="str">
        <f>tblBOneExport[[#This Row],[INSTRUMENT]]</f>
        <v>TFL 3.625 15/05/45 EMTN</v>
      </c>
      <c r="G191" s="7" t="str">
        <f>IF(tblBOneExport[[#This Row],[ISIN]]&lt;&gt;"", tblBOneExport[[#This Row],[ISIN]],"")</f>
        <v>XS0928618569</v>
      </c>
      <c r="H191" s="7" t="str">
        <f>IF(tblCalculation[[#This Row],[B1Level2]]="CDS",tblBOneExport[[#This Row],[B1_TICKER]],IF(tblCalculation[[#This Row],[ISIN]]="","",INDEX(tblGetStaticData[Ticker],MATCH(tblCalculation[[#This Row],[ISIN]],tblGetStaticData[ISIN],0))))</f>
        <v>TRANLN</v>
      </c>
      <c r="I191" s="7" t="str">
        <f>IF(tblBOneExport[[#This Row],[INSTRUMENT_TYPE]]="Forward Contract","Forward Contract",tblBOneExport[LEVEL2])</f>
        <v>Non-Corporate</v>
      </c>
      <c r="J191" s="7" t="str">
        <f>IF(tblBOneExport[[#This Row],[INSTRUMENT_TYPE]]="Forward Contract","Forward Contract",tblBOneExport[[#This Row],[LEVEL3]])</f>
        <v>Foreign Agency</v>
      </c>
      <c r="K191" s="7" t="str">
        <f>INDEX(tblLvl2Mapping[],MATCH(tblCalculation[[#This Row],[B1Level2]]&amp;"_"&amp;tblCalculation[[#This Row],[B1Level3]],tblLvl2Mapping[B1Level2_B1Level3],0),2)</f>
        <v>Corporate</v>
      </c>
      <c r="L191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91" s="7">
        <f>INDEX(tblAttributable[],MATCH(tblCalculation[[#This Row],[Level3]],tblAttributable[Level3],0),2)</f>
        <v>1</v>
      </c>
      <c r="N191" s="16">
        <f>tblBOneExport[[#This Row],[PTF_WEIGHT]]</f>
        <v>2.0217891E-3</v>
      </c>
      <c r="O191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3.3806719072638637E-2</v>
      </c>
      <c r="P191" s="48">
        <f>tblCalculation[[#This Row],[PtfDTS]]/SUM(tblCalculation[PtfDTS])</f>
        <v>4.0998179808772236E-3</v>
      </c>
      <c r="Q191" s="16">
        <f>tblBOneExport[[#This Row],[PTF_CONTRIBUTION]]</f>
        <v>6.5276899999999998E-5</v>
      </c>
      <c r="R191" s="16">
        <f>tblCalculation[[#This Row],[PtfContributionBase]]-tblCalculation[[#This Row],[PtfCurrencyReturn]]</f>
        <v>6.5276899999999998E-5</v>
      </c>
      <c r="S191" s="16">
        <f>IF(tblBOneExport[[#This Row],[LEVEL1]]="Bonds",tblBOneExport[[#This Row],[PTF_GOV_CARRY]],"")</f>
        <v>2.9911E-6</v>
      </c>
      <c r="T191" s="16">
        <f>tblCalculation[[#This Row],[FIAttributable]]*tblBOneExport[[#This Row],[PTF_CREDIT_CARRY]]</f>
        <v>1.0786999999999999E-6</v>
      </c>
      <c r="U191" s="16">
        <f>tblCalculation[[#This Row],[FIAttributable]]*tblBOneExport[[#This Row],[PTF_TOTAL_CURVE]]</f>
        <v>6.1477700000000003E-5</v>
      </c>
      <c r="V191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6.7169999999999996E-7</v>
      </c>
      <c r="W191" s="16">
        <f>IF(AND(tblCalculation[[#This Row],[Level3]]="Forward Contracts",tblBOneExport[[#This Row],[PTF_COST_OF_CARRY]]=0),tblBOneExport[[#This Row],[PTF_VALUATION]],0)</f>
        <v>0</v>
      </c>
      <c r="X191" s="16">
        <f>SUM(tblCalculation[[#This Row],[PtfTrading]:[PtfModelRes]])</f>
        <v>-9.4229999999999996E-7</v>
      </c>
      <c r="Y191" s="16">
        <f>tblCalculation[[#This Row],[FIAttributable]]*tblBOneExport[[#This Row],[PTF_TRADING]]</f>
        <v>0</v>
      </c>
      <c r="Z191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91" s="16">
        <f>tblCalculation[[#This Row],[FIAttributable]]*tblBOneExport[[#This Row],[PTF_MODEL_RESIDUAL]]-PTF_Credit_Adj*tblCalculation[[#This Row],[PtfDTSWeight]]</f>
        <v>-9.4229999999999996E-7</v>
      </c>
      <c r="AB191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91" s="16">
        <f>tblBOneExport[[#This Row],[BMK_WEIGHT]]</f>
        <v>0</v>
      </c>
      <c r="AD191" s="78">
        <f>tblCalculation[[#This Row],[FIAttributable]]*SUMIFS(tblDTS[DTSContribution_BM],tblDTS[ISIN],tblCalculation[[#This Row],[ISIN]])</f>
        <v>0</v>
      </c>
      <c r="AE191" s="16">
        <f>IF(SUM(tblCalculation[BMKDTS])=0,0,tblCalculation[[#This Row],[BMKDTS]]/SUM(tblCalculation[BMKDTS]))</f>
        <v>0</v>
      </c>
      <c r="AF191" s="16">
        <f>tblBOneExport[[#This Row],[BMK_CONTRIBUTION]]</f>
        <v>0</v>
      </c>
      <c r="AG191" s="16">
        <f>tblCalculation[[#This Row],[BMKContributionBase]]-tblBOneExport[BMK_SPOT_CCY_RETURN]-tblBOneExport[[#This Row],[BMK_CROSS_EFFECT]]</f>
        <v>0</v>
      </c>
      <c r="AH191" s="16">
        <f>tblCalculation[[#This Row],[FIAttributable]]*(tblBOneExport[[#This Row],[BMK_RETURN_GOV_CARRY]])</f>
        <v>0</v>
      </c>
      <c r="AI191" s="16">
        <f>tblCalculation[[#This Row],[FIAttributable]]*tblBOneExport[[#This Row],[BMK_CREDIT_CARRY]]</f>
        <v>0</v>
      </c>
      <c r="AJ191" s="16">
        <f>tblCalculation[[#This Row],[FIAttributable]]*tblBOneExport[[#This Row],[BMK_TOTAL_CURVE]]</f>
        <v>0</v>
      </c>
      <c r="AK191" s="16">
        <f>tblCalculation[[#This Row],[FIAttributable]]*(tblBOneExport[[#This Row],[BMK_TOTAL_SPREAD]]+BMK_Credit_Adj*tblCalculation[[#This Row],[BmkDTSWeight]])</f>
        <v>0</v>
      </c>
      <c r="AL191" s="16">
        <f>tblCalculation[[#This Row],[FIAttributable]]*tblBOneExport[[#This Row],[BMK_MODEL_RESIDUAL]]-BMK_Credit_Adj*tblCalculation[[#This Row],[BmkDTSWeight]]</f>
        <v>0</v>
      </c>
      <c r="AM191" s="16">
        <f>IF(tblCalculation[[#This Row],[Level3]]="Forward Contracts",tblCalculation[[#This Row],[BMKContributionLocal]],0)</f>
        <v>0</v>
      </c>
      <c r="AN191" s="16">
        <f>tblBOneExport[[#This Row],[BMK_SPOT_CCY_RETURN]]+tblBOneExport[[#This Row],[BMK_CROSS_EFFECT]]</f>
        <v>0</v>
      </c>
    </row>
    <row r="192" spans="5:40" x14ac:dyDescent="0.25">
      <c r="E192" s="7" t="str">
        <f>tblBOneExport[[#This Row],[INSTRUMENT_CODE]]</f>
        <v>BBNBL70</v>
      </c>
      <c r="F192" s="7" t="str">
        <f>tblBOneExport[[#This Row],[INSTRUMENT]]</f>
        <v>ROLLS ROYCE PLC 3.375 18/06/26 EMTN</v>
      </c>
      <c r="G192" s="7" t="str">
        <f>IF(tblBOneExport[[#This Row],[ISIN]]&lt;&gt;"", tblBOneExport[[#This Row],[ISIN]],"")</f>
        <v>XS0944831154</v>
      </c>
      <c r="H192" s="7" t="str">
        <f>IF(tblCalculation[[#This Row],[B1Level2]]="CDS",tblBOneExport[[#This Row],[B1_TICKER]],IF(tblCalculation[[#This Row],[ISIN]]="","",INDEX(tblGetStaticData[Ticker],MATCH(tblCalculation[[#This Row],[ISIN]],tblGetStaticData[ISIN],0))))</f>
        <v>ROLLS</v>
      </c>
      <c r="I192" s="7" t="str">
        <f>IF(tblBOneExport[[#This Row],[INSTRUMENT_TYPE]]="Forward Contract","Forward Contract",tblBOneExport[LEVEL2])</f>
        <v>Corporates</v>
      </c>
      <c r="J192" s="7" t="str">
        <f>IF(tblBOneExport[[#This Row],[INSTRUMENT_TYPE]]="Forward Contract","Forward Contract",tblBOneExport[[#This Row],[LEVEL3]])</f>
        <v>Industrials</v>
      </c>
      <c r="K192" s="7" t="str">
        <f>INDEX(tblLvl2Mapping[],MATCH(tblCalculation[[#This Row],[B1Level2]]&amp;"_"&amp;tblCalculation[[#This Row],[B1Level3]],tblLvl2Mapping[B1Level2_B1Level3],0),2)</f>
        <v>Corporate</v>
      </c>
      <c r="L192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92" s="7">
        <f>INDEX(tblAttributable[],MATCH(tblCalculation[[#This Row],[Level3]],tblAttributable[Level3],0),2)</f>
        <v>1</v>
      </c>
      <c r="N192" s="16">
        <f>tblBOneExport[[#This Row],[PTF_WEIGHT]]</f>
        <v>1.0290586E-3</v>
      </c>
      <c r="O192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7.7154722866825181E-3</v>
      </c>
      <c r="P192" s="48">
        <f>tblCalculation[[#This Row],[PtfDTS]]/SUM(tblCalculation[PtfDTS])</f>
        <v>9.3567293365365897E-4</v>
      </c>
      <c r="Q192" s="16">
        <f>tblBOneExport[[#This Row],[PTF_CONTRIBUTION]]</f>
        <v>1.8229299999999998E-5</v>
      </c>
      <c r="R192" s="16">
        <f>tblCalculation[[#This Row],[PtfContributionBase]]-tblCalculation[[#This Row],[PtfCurrencyReturn]]</f>
        <v>1.8229299999999998E-5</v>
      </c>
      <c r="S192" s="16">
        <f>IF(tblBOneExport[[#This Row],[LEVEL1]]="Bonds",tblBOneExport[[#This Row],[PTF_GOV_CARRY]],"")</f>
        <v>8.4629999999999995E-7</v>
      </c>
      <c r="T192" s="16">
        <f>tblCalculation[[#This Row],[FIAttributable]]*tblBOneExport[[#This Row],[PTF_CREDIT_CARRY]]</f>
        <v>9.541999999999999E-7</v>
      </c>
      <c r="U192" s="16">
        <f>tblCalculation[[#This Row],[FIAttributable]]*tblBOneExport[[#This Row],[PTF_TOTAL_CURVE]]</f>
        <v>1.5670599999999999E-5</v>
      </c>
      <c r="V192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9.9939999999999991E-7</v>
      </c>
      <c r="W192" s="16">
        <f>IF(AND(tblCalculation[[#This Row],[Level3]]="Forward Contracts",tblBOneExport[[#This Row],[PTF_COST_OF_CARRY]]=0),tblBOneExport[[#This Row],[PTF_VALUATION]],0)</f>
        <v>0</v>
      </c>
      <c r="X192" s="16">
        <f>SUM(tblCalculation[[#This Row],[PtfTrading]:[PtfModelRes]])</f>
        <v>-2.4110000000000001E-7</v>
      </c>
      <c r="Y192" s="16">
        <f>tblCalculation[[#This Row],[FIAttributable]]*tblBOneExport[[#This Row],[PTF_TRADING]]</f>
        <v>0</v>
      </c>
      <c r="Z192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92" s="16">
        <f>tblCalculation[[#This Row],[FIAttributable]]*tblBOneExport[[#This Row],[PTF_MODEL_RESIDUAL]]-PTF_Credit_Adj*tblCalculation[[#This Row],[PtfDTSWeight]]</f>
        <v>-2.4110000000000001E-7</v>
      </c>
      <c r="AB192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92" s="16">
        <f>tblBOneExport[[#This Row],[BMK_WEIGHT]]</f>
        <v>0</v>
      </c>
      <c r="AD192" s="78">
        <f>tblCalculation[[#This Row],[FIAttributable]]*SUMIFS(tblDTS[DTSContribution_BM],tblDTS[ISIN],tblCalculation[[#This Row],[ISIN]])</f>
        <v>1.0183181016379262E-2</v>
      </c>
      <c r="AE192" s="16">
        <f>IF(SUM(tblCalculation[BMKDTS])=0,0,tblCalculation[[#This Row],[BMKDTS]]/SUM(tblCalculation[BMKDTS]))</f>
        <v>1.2102739259459252E-3</v>
      </c>
      <c r="AF192" s="16">
        <f>tblBOneExport[[#This Row],[BMK_CONTRIBUTION]]</f>
        <v>0</v>
      </c>
      <c r="AG192" s="16">
        <f>tblCalculation[[#This Row],[BMKContributionBase]]-tblBOneExport[BMK_SPOT_CCY_RETURN]-tblBOneExport[[#This Row],[BMK_CROSS_EFFECT]]</f>
        <v>0</v>
      </c>
      <c r="AH192" s="16">
        <f>tblCalculation[[#This Row],[FIAttributable]]*(tblBOneExport[[#This Row],[BMK_RETURN_GOV_CARRY]])</f>
        <v>0</v>
      </c>
      <c r="AI192" s="16">
        <f>tblCalculation[[#This Row],[FIAttributable]]*tblBOneExport[[#This Row],[BMK_CREDIT_CARRY]]</f>
        <v>0</v>
      </c>
      <c r="AJ192" s="16">
        <f>tblCalculation[[#This Row],[FIAttributable]]*tblBOneExport[[#This Row],[BMK_TOTAL_CURVE]]</f>
        <v>0</v>
      </c>
      <c r="AK192" s="16">
        <f>tblCalculation[[#This Row],[FIAttributable]]*(tblBOneExport[[#This Row],[BMK_TOTAL_SPREAD]]+BMK_Credit_Adj*tblCalculation[[#This Row],[BmkDTSWeight]])</f>
        <v>0</v>
      </c>
      <c r="AL192" s="16">
        <f>tblCalculation[[#This Row],[FIAttributable]]*tblBOneExport[[#This Row],[BMK_MODEL_RESIDUAL]]-BMK_Credit_Adj*tblCalculation[[#This Row],[BmkDTSWeight]]</f>
        <v>0</v>
      </c>
      <c r="AM192" s="16">
        <f>IF(tblCalculation[[#This Row],[Level3]]="Forward Contracts",tblCalculation[[#This Row],[BMKContributionLocal]],0)</f>
        <v>0</v>
      </c>
      <c r="AN192" s="16">
        <f>tblBOneExport[[#This Row],[BMK_SPOT_CCY_RETURN]]+tblBOneExport[[#This Row],[BMK_CROSS_EFFECT]]</f>
        <v>0</v>
      </c>
    </row>
    <row r="193" spans="5:40" x14ac:dyDescent="0.25">
      <c r="E193" s="7" t="str">
        <f>tblBOneExport[[#This Row],[INSTRUMENT_CODE]]</f>
        <v>BBX4JM0</v>
      </c>
      <c r="F193" s="7" t="str">
        <f>tblBOneExport[[#This Row],[INSTRUMENT]]</f>
        <v>UNIV OF MANCHEST 4.25 04/07/53</v>
      </c>
      <c r="G193" s="7" t="str">
        <f>IF(tblBOneExport[[#This Row],[ISIN]]&lt;&gt;"", tblBOneExport[[#This Row],[ISIN]],"")</f>
        <v>XS0947761556</v>
      </c>
      <c r="H193" s="7" t="str">
        <f>IF(tblCalculation[[#This Row],[B1Level2]]="CDS",tblBOneExport[[#This Row],[B1_TICKER]],IF(tblCalculation[[#This Row],[ISIN]]="","",INDEX(tblGetStaticData[Ticker],MATCH(tblCalculation[[#This Row],[ISIN]],tblGetStaticData[ISIN],0))))</f>
        <v>UNIMAN</v>
      </c>
      <c r="I193" s="7" t="str">
        <f>IF(tblBOneExport[[#This Row],[INSTRUMENT_TYPE]]="Forward Contract","Forward Contract",tblBOneExport[LEVEL2])</f>
        <v>Corporates</v>
      </c>
      <c r="J193" s="7" t="str">
        <f>IF(tblBOneExport[[#This Row],[INSTRUMENT_TYPE]]="Forward Contract","Forward Contract",tblBOneExport[[#This Row],[LEVEL3]])</f>
        <v>Industrials</v>
      </c>
      <c r="K193" s="7" t="str">
        <f>INDEX(tblLvl2Mapping[],MATCH(tblCalculation[[#This Row],[B1Level2]]&amp;"_"&amp;tblCalculation[[#This Row],[B1Level3]],tblLvl2Mapping[B1Level2_B1Level3],0),2)</f>
        <v>Corporate</v>
      </c>
      <c r="L193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93" s="7">
        <f>INDEX(tblAttributable[],MATCH(tblCalculation[[#This Row],[Level3]],tblAttributable[Level3],0),2)</f>
        <v>1</v>
      </c>
      <c r="N193" s="16">
        <f>tblBOneExport[[#This Row],[PTF_WEIGHT]]</f>
        <v>1.0174850900000001E-2</v>
      </c>
      <c r="O193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0.18903539819786633</v>
      </c>
      <c r="P193" s="48">
        <f>tblCalculation[[#This Row],[PtfDTS]]/SUM(tblCalculation[PtfDTS])</f>
        <v>2.2924754185364025E-2</v>
      </c>
      <c r="Q193" s="16">
        <f>tblBOneExport[[#This Row],[PTF_CONTRIBUTION]]</f>
        <v>4.027961E-4</v>
      </c>
      <c r="R193" s="16">
        <f>tblCalculation[[#This Row],[PtfContributionBase]]-tblCalculation[[#This Row],[PtfCurrencyReturn]]</f>
        <v>4.027961E-4</v>
      </c>
      <c r="S193" s="16">
        <f>IF(tblBOneExport[[#This Row],[LEVEL1]]="Bonds",tblBOneExport[[#This Row],[PTF_GOV_CARRY]],"")</f>
        <v>1.43625E-5</v>
      </c>
      <c r="T193" s="16">
        <f>tblCalculation[[#This Row],[FIAttributable]]*tblBOneExport[[#This Row],[PTF_CREDIT_CARRY]]</f>
        <v>5.4604999999999996E-6</v>
      </c>
      <c r="U193" s="16">
        <f>tblCalculation[[#This Row],[FIAttributable]]*tblBOneExport[[#This Row],[PTF_TOTAL_CURVE]]</f>
        <v>3.2240490000000002E-4</v>
      </c>
      <c r="V193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5.26721E-5</v>
      </c>
      <c r="W193" s="16">
        <f>IF(AND(tblCalculation[[#This Row],[Level3]]="Forward Contracts",tblBOneExport[[#This Row],[PTF_COST_OF_CARRY]]=0),tblBOneExport[[#This Row],[PTF_VALUATION]],0)</f>
        <v>0</v>
      </c>
      <c r="X193" s="16">
        <f>SUM(tblCalculation[[#This Row],[PtfTrading]:[PtfModelRes]])</f>
        <v>7.8961000000000005E-6</v>
      </c>
      <c r="Y193" s="16">
        <f>tblCalculation[[#This Row],[FIAttributable]]*tblBOneExport[[#This Row],[PTF_TRADING]]</f>
        <v>0</v>
      </c>
      <c r="Z193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93" s="16">
        <f>tblCalculation[[#This Row],[FIAttributable]]*tblBOneExport[[#This Row],[PTF_MODEL_RESIDUAL]]-PTF_Credit_Adj*tblCalculation[[#This Row],[PtfDTSWeight]]</f>
        <v>7.8961000000000005E-6</v>
      </c>
      <c r="AB193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93" s="16">
        <f>tblBOneExport[[#This Row],[BMK_WEIGHT]]</f>
        <v>0</v>
      </c>
      <c r="AD193" s="78">
        <f>tblCalculation[[#This Row],[FIAttributable]]*SUMIFS(tblDTS[DTSContribution_BM],tblDTS[ISIN],tblCalculation[[#This Row],[ISIN]])</f>
        <v>0.21574203279411835</v>
      </c>
      <c r="AE193" s="16">
        <f>IF(SUM(tblCalculation[BMKDTS])=0,0,tblCalculation[[#This Row],[BMKDTS]]/SUM(tblCalculation[BMKDTS]))</f>
        <v>2.5641001235400949E-2</v>
      </c>
      <c r="AF193" s="16">
        <f>tblBOneExport[[#This Row],[BMK_CONTRIBUTION]]</f>
        <v>0</v>
      </c>
      <c r="AG193" s="16">
        <f>tblCalculation[[#This Row],[BMKContributionBase]]-tblBOneExport[BMK_SPOT_CCY_RETURN]-tblBOneExport[[#This Row],[BMK_CROSS_EFFECT]]</f>
        <v>0</v>
      </c>
      <c r="AH193" s="16">
        <f>tblCalculation[[#This Row],[FIAttributable]]*(tblBOneExport[[#This Row],[BMK_RETURN_GOV_CARRY]])</f>
        <v>0</v>
      </c>
      <c r="AI193" s="16">
        <f>tblCalculation[[#This Row],[FIAttributable]]*tblBOneExport[[#This Row],[BMK_CREDIT_CARRY]]</f>
        <v>0</v>
      </c>
      <c r="AJ193" s="16">
        <f>tblCalculation[[#This Row],[FIAttributable]]*tblBOneExport[[#This Row],[BMK_TOTAL_CURVE]]</f>
        <v>0</v>
      </c>
      <c r="AK193" s="16">
        <f>tblCalculation[[#This Row],[FIAttributable]]*(tblBOneExport[[#This Row],[BMK_TOTAL_SPREAD]]+BMK_Credit_Adj*tblCalculation[[#This Row],[BmkDTSWeight]])</f>
        <v>0</v>
      </c>
      <c r="AL193" s="16">
        <f>tblCalculation[[#This Row],[FIAttributable]]*tblBOneExport[[#This Row],[BMK_MODEL_RESIDUAL]]-BMK_Credit_Adj*tblCalculation[[#This Row],[BmkDTSWeight]]</f>
        <v>0</v>
      </c>
      <c r="AM193" s="16">
        <f>IF(tblCalculation[[#This Row],[Level3]]="Forward Contracts",tblCalculation[[#This Row],[BMKContributionLocal]],0)</f>
        <v>0</v>
      </c>
      <c r="AN193" s="16">
        <f>tblBOneExport[[#This Row],[BMK_SPOT_CCY_RETURN]]+tblBOneExport[[#This Row],[BMK_CROSS_EFFECT]]</f>
        <v>0</v>
      </c>
    </row>
    <row r="194" spans="5:40" x14ac:dyDescent="0.25">
      <c r="E194" s="7" t="str">
        <f>tblBOneExport[[#This Row],[INSTRUMENT_CODE]]</f>
        <v>BCDBXQ0</v>
      </c>
      <c r="F194" s="7" t="str">
        <f>tblBOneExport[[#This Row],[INSTRUMENT]]</f>
        <v>DEUTSCH BAHN FIN 3.125 24/07/26 EMTN</v>
      </c>
      <c r="G194" s="7" t="str">
        <f>IF(tblBOneExport[[#This Row],[ISIN]]&lt;&gt;"", tblBOneExport[[#This Row],[ISIN]],"")</f>
        <v>XS0954706023</v>
      </c>
      <c r="H194" s="7" t="str">
        <f>IF(tblCalculation[[#This Row],[B1Level2]]="CDS",tblBOneExport[[#This Row],[B1_TICKER]],IF(tblCalculation[[#This Row],[ISIN]]="","",INDEX(tblGetStaticData[Ticker],MATCH(tblCalculation[[#This Row],[ISIN]],tblGetStaticData[ISIN],0))))</f>
        <v>DBHNGR</v>
      </c>
      <c r="I194" s="7" t="str">
        <f>IF(tblBOneExport[[#This Row],[INSTRUMENT_TYPE]]="Forward Contract","Forward Contract",tblBOneExport[LEVEL2])</f>
        <v>Corporates</v>
      </c>
      <c r="J194" s="7" t="str">
        <f>IF(tblBOneExport[[#This Row],[INSTRUMENT_TYPE]]="Forward Contract","Forward Contract",tblBOneExport[[#This Row],[LEVEL3]])</f>
        <v>Industrials</v>
      </c>
      <c r="K194" s="7" t="str">
        <f>INDEX(tblLvl2Mapping[],MATCH(tblCalculation[[#This Row],[B1Level2]]&amp;"_"&amp;tblCalculation[[#This Row],[B1Level3]],tblLvl2Mapping[B1Level2_B1Level3],0),2)</f>
        <v>Corporate</v>
      </c>
      <c r="L194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94" s="7">
        <f>INDEX(tblAttributable[],MATCH(tblCalculation[[#This Row],[Level3]],tblAttributable[Level3],0),2)</f>
        <v>1</v>
      </c>
      <c r="N194" s="16">
        <f>tblBOneExport[[#This Row],[PTF_WEIGHT]]</f>
        <v>1.36116724E-2</v>
      </c>
      <c r="O194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5.4262085445068615E-2</v>
      </c>
      <c r="P194" s="48">
        <f>tblCalculation[[#This Row],[PtfDTS]]/SUM(tblCalculation[PtfDTS])</f>
        <v>6.5804869472719614E-3</v>
      </c>
      <c r="Q194" s="16">
        <f>tblBOneExport[[#This Row],[PTF_CONTRIBUTION]]</f>
        <v>2.1662799999999999E-4</v>
      </c>
      <c r="R194" s="16">
        <f>tblCalculation[[#This Row],[PtfContributionBase]]-tblCalculation[[#This Row],[PtfCurrencyReturn]]</f>
        <v>2.1662799999999999E-4</v>
      </c>
      <c r="S194" s="16">
        <f>IF(tblBOneExport[[#This Row],[LEVEL1]]="Bonds",tblBOneExport[[#This Row],[PTF_GOV_CARRY]],"")</f>
        <v>1.1398400000000001E-5</v>
      </c>
      <c r="T194" s="16">
        <f>tblCalculation[[#This Row],[FIAttributable]]*tblBOneExport[[#This Row],[PTF_CREDIT_CARRY]]</f>
        <v>7.1059E-6</v>
      </c>
      <c r="U194" s="16">
        <f>tblCalculation[[#This Row],[FIAttributable]]*tblBOneExport[[#This Row],[PTF_TOTAL_CURVE]]</f>
        <v>2.127889E-4</v>
      </c>
      <c r="V194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-1.3191699999999999E-5</v>
      </c>
      <c r="W194" s="16">
        <f>IF(AND(tblCalculation[[#This Row],[Level3]]="Forward Contracts",tblBOneExport[[#This Row],[PTF_COST_OF_CARRY]]=0),tblBOneExport[[#This Row],[PTF_VALUATION]],0)</f>
        <v>0</v>
      </c>
      <c r="X194" s="16">
        <f>SUM(tblCalculation[[#This Row],[PtfTrading]:[PtfModelRes]])</f>
        <v>-1.4735E-6</v>
      </c>
      <c r="Y194" s="16">
        <f>tblCalculation[[#This Row],[FIAttributable]]*tblBOneExport[[#This Row],[PTF_TRADING]]</f>
        <v>0</v>
      </c>
      <c r="Z194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94" s="16">
        <f>tblCalculation[[#This Row],[FIAttributable]]*tblBOneExport[[#This Row],[PTF_MODEL_RESIDUAL]]-PTF_Credit_Adj*tblCalculation[[#This Row],[PtfDTSWeight]]</f>
        <v>-1.4735E-6</v>
      </c>
      <c r="AB194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94" s="16">
        <f>tblBOneExport[[#This Row],[BMK_WEIGHT]]</f>
        <v>0</v>
      </c>
      <c r="AD194" s="78">
        <f>tblCalculation[[#This Row],[FIAttributable]]*SUMIFS(tblDTS[DTSContribution_BM],tblDTS[ISIN],tblCalculation[[#This Row],[ISIN]])</f>
        <v>6.1219049658733822E-2</v>
      </c>
      <c r="AE194" s="16">
        <f>IF(SUM(tblCalculation[BMKDTS])=0,0,tblCalculation[[#This Row],[BMKDTS]]/SUM(tblCalculation[BMKDTS]))</f>
        <v>7.2759012585537309E-3</v>
      </c>
      <c r="AF194" s="16">
        <f>tblBOneExport[[#This Row],[BMK_CONTRIBUTION]]</f>
        <v>0</v>
      </c>
      <c r="AG194" s="16">
        <f>tblCalculation[[#This Row],[BMKContributionBase]]-tblBOneExport[BMK_SPOT_CCY_RETURN]-tblBOneExport[[#This Row],[BMK_CROSS_EFFECT]]</f>
        <v>0</v>
      </c>
      <c r="AH194" s="16">
        <f>tblCalculation[[#This Row],[FIAttributable]]*(tblBOneExport[[#This Row],[BMK_RETURN_GOV_CARRY]])</f>
        <v>0</v>
      </c>
      <c r="AI194" s="16">
        <f>tblCalculation[[#This Row],[FIAttributable]]*tblBOneExport[[#This Row],[BMK_CREDIT_CARRY]]</f>
        <v>0</v>
      </c>
      <c r="AJ194" s="16">
        <f>tblCalculation[[#This Row],[FIAttributable]]*tblBOneExport[[#This Row],[BMK_TOTAL_CURVE]]</f>
        <v>0</v>
      </c>
      <c r="AK194" s="16">
        <f>tblCalculation[[#This Row],[FIAttributable]]*(tblBOneExport[[#This Row],[BMK_TOTAL_SPREAD]]+BMK_Credit_Adj*tblCalculation[[#This Row],[BmkDTSWeight]])</f>
        <v>0</v>
      </c>
      <c r="AL194" s="16">
        <f>tblCalculation[[#This Row],[FIAttributable]]*tblBOneExport[[#This Row],[BMK_MODEL_RESIDUAL]]-BMK_Credit_Adj*tblCalculation[[#This Row],[BmkDTSWeight]]</f>
        <v>0</v>
      </c>
      <c r="AM194" s="16">
        <f>IF(tblCalculation[[#This Row],[Level3]]="Forward Contracts",tblCalculation[[#This Row],[BMKContributionLocal]],0)</f>
        <v>0</v>
      </c>
      <c r="AN194" s="16">
        <f>tblBOneExport[[#This Row],[BMK_SPOT_CCY_RETURN]]+tblBOneExport[[#This Row],[BMK_CROSS_EFFECT]]</f>
        <v>0</v>
      </c>
    </row>
    <row r="195" spans="5:40" x14ac:dyDescent="0.25">
      <c r="E195" s="7" t="str">
        <f>tblBOneExport[[#This Row],[INSTRUMENT_CODE]]</f>
        <v>BD007R6</v>
      </c>
      <c r="F195" s="7" t="str">
        <f>tblBOneExport[[#This Row],[INSTRUMENT]]</f>
        <v>VOLKSWAGEN FIN 1.75 21/08/17 EMTN</v>
      </c>
      <c r="G195" s="7" t="str">
        <f>IF(tblBOneExport[[#This Row],[ISIN]]&lt;&gt;"", tblBOneExport[[#This Row],[ISIN]],"")</f>
        <v>XS0963566921</v>
      </c>
      <c r="H195" s="7" t="str">
        <f>IF(tblCalculation[[#This Row],[B1Level2]]="CDS",tblBOneExport[[#This Row],[B1_TICKER]],IF(tblCalculation[[#This Row],[ISIN]]="","",INDEX(tblGetStaticData[Ticker],MATCH(tblCalculation[[#This Row],[ISIN]],tblGetStaticData[ISIN],0))))</f>
        <v>VW</v>
      </c>
      <c r="I195" s="7" t="str">
        <f>IF(tblBOneExport[[#This Row],[INSTRUMENT_TYPE]]="Forward Contract","Forward Contract",tblBOneExport[LEVEL2])</f>
        <v>Corporates</v>
      </c>
      <c r="J195" s="7" t="str">
        <f>IF(tblBOneExport[[#This Row],[INSTRUMENT_TYPE]]="Forward Contract","Forward Contract",tblBOneExport[[#This Row],[LEVEL3]])</f>
        <v>Industrials</v>
      </c>
      <c r="K195" s="7" t="str">
        <f>INDEX(tblLvl2Mapping[],MATCH(tblCalculation[[#This Row],[B1Level2]]&amp;"_"&amp;tblCalculation[[#This Row],[B1Level3]],tblLvl2Mapping[B1Level2_B1Level3],0),2)</f>
        <v>Corporate</v>
      </c>
      <c r="L195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95" s="7">
        <f>INDEX(tblAttributable[],MATCH(tblCalculation[[#This Row],[Level3]],tblAttributable[Level3],0),2)</f>
        <v>1</v>
      </c>
      <c r="N195" s="16">
        <f>tblBOneExport[[#This Row],[PTF_WEIGHT]]</f>
        <v>1.5235184999999999E-3</v>
      </c>
      <c r="O195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3.9871968754935536E-5</v>
      </c>
      <c r="P195" s="48">
        <f>tblCalculation[[#This Row],[PtfDTS]]/SUM(tblCalculation[PtfDTS])</f>
        <v>4.8353646529030299E-6</v>
      </c>
      <c r="Q195" s="16">
        <f>tblBOneExport[[#This Row],[PTF_CONTRIBUTION]]</f>
        <v>1.1778E-6</v>
      </c>
      <c r="R195" s="16">
        <f>tblCalculation[[#This Row],[PtfContributionBase]]-tblCalculation[[#This Row],[PtfCurrencyReturn]]</f>
        <v>1.1778E-6</v>
      </c>
      <c r="S195" s="16">
        <f>IF(tblBOneExport[[#This Row],[LEVEL1]]="Bonds",tblBOneExport[[#This Row],[PTF_GOV_CARRY]],"")</f>
        <v>2.8850000000000002E-7</v>
      </c>
      <c r="T195" s="16">
        <f>tblCalculation[[#This Row],[FIAttributable]]*tblBOneExport[[#This Row],[PTF_CREDIT_CARRY]]</f>
        <v>8.9980000000000005E-7</v>
      </c>
      <c r="U195" s="16">
        <f>tblCalculation[[#This Row],[FIAttributable]]*tblBOneExport[[#This Row],[PTF_TOTAL_CURVE]]</f>
        <v>1.6000000000000001E-9</v>
      </c>
      <c r="V195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-3.5499999999999999E-7</v>
      </c>
      <c r="W195" s="16">
        <f>IF(AND(tblCalculation[[#This Row],[Level3]]="Forward Contracts",tblBOneExport[[#This Row],[PTF_COST_OF_CARRY]]=0),tblBOneExport[[#This Row],[PTF_VALUATION]],0)</f>
        <v>0</v>
      </c>
      <c r="X195" s="16">
        <f>SUM(tblCalculation[[#This Row],[PtfTrading]:[PtfModelRes]])</f>
        <v>3.4280000000000003E-7</v>
      </c>
      <c r="Y195" s="16">
        <f>tblCalculation[[#This Row],[FIAttributable]]*tblBOneExport[[#This Row],[PTF_TRADING]]</f>
        <v>3.3710000000000002E-7</v>
      </c>
      <c r="Z195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95" s="16">
        <f>tblCalculation[[#This Row],[FIAttributable]]*tblBOneExport[[#This Row],[PTF_MODEL_RESIDUAL]]-PTF_Credit_Adj*tblCalculation[[#This Row],[PtfDTSWeight]]</f>
        <v>5.6999999999999998E-9</v>
      </c>
      <c r="AB195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95" s="16">
        <f>tblBOneExport[[#This Row],[BMK_WEIGHT]]</f>
        <v>0</v>
      </c>
      <c r="AD195" s="78">
        <f>tblCalculation[[#This Row],[FIAttributable]]*SUMIFS(tblDTS[DTSContribution_BM],tblDTS[ISIN],tblCalculation[[#This Row],[ISIN]])</f>
        <v>5.2585605827614311E-5</v>
      </c>
      <c r="AE195" s="16">
        <f>IF(SUM(tblCalculation[BMKDTS])=0,0,tblCalculation[[#This Row],[BMKDTS]]/SUM(tblCalculation[BMKDTS]))</f>
        <v>6.2498140326548606E-6</v>
      </c>
      <c r="AF195" s="16">
        <f>tblBOneExport[[#This Row],[BMK_CONTRIBUTION]]</f>
        <v>0</v>
      </c>
      <c r="AG195" s="16">
        <f>tblCalculation[[#This Row],[BMKContributionBase]]-tblBOneExport[BMK_SPOT_CCY_RETURN]-tblBOneExport[[#This Row],[BMK_CROSS_EFFECT]]</f>
        <v>0</v>
      </c>
      <c r="AH195" s="16">
        <f>tblCalculation[[#This Row],[FIAttributable]]*(tblBOneExport[[#This Row],[BMK_RETURN_GOV_CARRY]])</f>
        <v>0</v>
      </c>
      <c r="AI195" s="16">
        <f>tblCalculation[[#This Row],[FIAttributable]]*tblBOneExport[[#This Row],[BMK_CREDIT_CARRY]]</f>
        <v>0</v>
      </c>
      <c r="AJ195" s="16">
        <f>tblCalculation[[#This Row],[FIAttributable]]*tblBOneExport[[#This Row],[BMK_TOTAL_CURVE]]</f>
        <v>0</v>
      </c>
      <c r="AK195" s="16">
        <f>tblCalculation[[#This Row],[FIAttributable]]*(tblBOneExport[[#This Row],[BMK_TOTAL_SPREAD]]+BMK_Credit_Adj*tblCalculation[[#This Row],[BmkDTSWeight]])</f>
        <v>0</v>
      </c>
      <c r="AL195" s="16">
        <f>tblCalculation[[#This Row],[FIAttributable]]*tblBOneExport[[#This Row],[BMK_MODEL_RESIDUAL]]-BMK_Credit_Adj*tblCalculation[[#This Row],[BmkDTSWeight]]</f>
        <v>0</v>
      </c>
      <c r="AM195" s="16">
        <f>IF(tblCalculation[[#This Row],[Level3]]="Forward Contracts",tblCalculation[[#This Row],[BMKContributionLocal]],0)</f>
        <v>0</v>
      </c>
      <c r="AN195" s="16">
        <f>tblBOneExport[[#This Row],[BMK_SPOT_CCY_RETURN]]+tblBOneExport[[#This Row],[BMK_CROSS_EFFECT]]</f>
        <v>0</v>
      </c>
    </row>
    <row r="196" spans="5:40" x14ac:dyDescent="0.25">
      <c r="E196" s="7" t="str">
        <f>tblBOneExport[[#This Row],[INSTRUMENT_CODE]]</f>
        <v>BCZS7L2</v>
      </c>
      <c r="F196" s="7" t="str">
        <f>tblBOneExport[[#This Row],[INSTRUMENT]]</f>
        <v>TFL 4 12/09/33 EMTN</v>
      </c>
      <c r="G196" s="7" t="str">
        <f>IF(tblBOneExport[[#This Row],[ISIN]]&lt;&gt;"", tblBOneExport[[#This Row],[ISIN]],"")</f>
        <v>XS0969795920</v>
      </c>
      <c r="H196" s="7" t="str">
        <f>IF(tblCalculation[[#This Row],[B1Level2]]="CDS",tblBOneExport[[#This Row],[B1_TICKER]],IF(tblCalculation[[#This Row],[ISIN]]="","",INDEX(tblGetStaticData[Ticker],MATCH(tblCalculation[[#This Row],[ISIN]],tblGetStaticData[ISIN],0))))</f>
        <v>TRANLN</v>
      </c>
      <c r="I196" s="7" t="str">
        <f>IF(tblBOneExport[[#This Row],[INSTRUMENT_TYPE]]="Forward Contract","Forward Contract",tblBOneExport[LEVEL2])</f>
        <v>Non-Corporate</v>
      </c>
      <c r="J196" s="7" t="str">
        <f>IF(tblBOneExport[[#This Row],[INSTRUMENT_TYPE]]="Forward Contract","Forward Contract",tblBOneExport[[#This Row],[LEVEL3]])</f>
        <v>Foreign Agency</v>
      </c>
      <c r="K196" s="7" t="str">
        <f>INDEX(tblLvl2Mapping[],MATCH(tblCalculation[[#This Row],[B1Level2]]&amp;"_"&amp;tblCalculation[[#This Row],[B1Level3]],tblLvl2Mapping[B1Level2_B1Level3],0),2)</f>
        <v>Corporate</v>
      </c>
      <c r="L196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96" s="7">
        <f>INDEX(tblAttributable[],MATCH(tblCalculation[[#This Row],[Level3]],tblAttributable[Level3],0),2)</f>
        <v>1</v>
      </c>
      <c r="N196" s="16">
        <f>tblBOneExport[[#This Row],[PTF_WEIGHT]]</f>
        <v>3.7764629999999999E-3</v>
      </c>
      <c r="O196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3.0662340489604367E-2</v>
      </c>
      <c r="P196" s="48">
        <f>tblCalculation[[#This Row],[PtfDTS]]/SUM(tblCalculation[PtfDTS])</f>
        <v>3.7184920135241027E-3</v>
      </c>
      <c r="Q196" s="16">
        <f>tblBOneExport[[#This Row],[PTF_CONTRIBUTION]]</f>
        <v>8.2309000000000001E-5</v>
      </c>
      <c r="R196" s="16">
        <f>tblCalculation[[#This Row],[PtfContributionBase]]-tblCalculation[[#This Row],[PtfCurrencyReturn]]</f>
        <v>8.2309000000000001E-5</v>
      </c>
      <c r="S196" s="16">
        <f>IF(tblBOneExport[[#This Row],[LEVEL1]]="Bonds",tblBOneExport[[#This Row],[PTF_GOV_CARRY]],"")</f>
        <v>4.8125000000000001E-6</v>
      </c>
      <c r="T196" s="16">
        <f>tblCalculation[[#This Row],[FIAttributable]]*tblBOneExport[[#This Row],[PTF_CREDIT_CARRY]]</f>
        <v>1.7589E-6</v>
      </c>
      <c r="U196" s="16">
        <f>tblCalculation[[#This Row],[FIAttributable]]*tblBOneExport[[#This Row],[PTF_TOTAL_CURVE]]</f>
        <v>7.1882000000000001E-5</v>
      </c>
      <c r="V196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1.3405999999999999E-6</v>
      </c>
      <c r="W196" s="16">
        <f>IF(AND(tblCalculation[[#This Row],[Level3]]="Forward Contracts",tblBOneExport[[#This Row],[PTF_COST_OF_CARRY]]=0),tblBOneExport[[#This Row],[PTF_VALUATION]],0)</f>
        <v>0</v>
      </c>
      <c r="X196" s="16">
        <f>SUM(tblCalculation[[#This Row],[PtfTrading]:[PtfModelRes]])</f>
        <v>2.5150000000000001E-6</v>
      </c>
      <c r="Y196" s="16">
        <f>tblCalculation[[#This Row],[FIAttributable]]*tblBOneExport[[#This Row],[PTF_TRADING]]</f>
        <v>0</v>
      </c>
      <c r="Z196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96" s="16">
        <f>tblCalculation[[#This Row],[FIAttributable]]*tblBOneExport[[#This Row],[PTF_MODEL_RESIDUAL]]-PTF_Credit_Adj*tblCalculation[[#This Row],[PtfDTSWeight]]</f>
        <v>2.5150000000000001E-6</v>
      </c>
      <c r="AB196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96" s="16">
        <f>tblBOneExport[[#This Row],[BMK_WEIGHT]]</f>
        <v>0</v>
      </c>
      <c r="AD196" s="78">
        <f>tblCalculation[[#This Row],[FIAttributable]]*SUMIFS(tblDTS[DTSContribution_BM],tblDTS[ISIN],tblCalculation[[#This Row],[ISIN]])</f>
        <v>4.0469839816486296E-2</v>
      </c>
      <c r="AE196" s="16">
        <f>IF(SUM(tblCalculation[BMKDTS])=0,0,tblCalculation[[#This Row],[BMKDTS]]/SUM(tblCalculation[BMKDTS]))</f>
        <v>4.8098518368984867E-3</v>
      </c>
      <c r="AF196" s="16">
        <f>tblBOneExport[[#This Row],[BMK_CONTRIBUTION]]</f>
        <v>0</v>
      </c>
      <c r="AG196" s="16">
        <f>tblCalculation[[#This Row],[BMKContributionBase]]-tblBOneExport[BMK_SPOT_CCY_RETURN]-tblBOneExport[[#This Row],[BMK_CROSS_EFFECT]]</f>
        <v>0</v>
      </c>
      <c r="AH196" s="16">
        <f>tblCalculation[[#This Row],[FIAttributable]]*(tblBOneExport[[#This Row],[BMK_RETURN_GOV_CARRY]])</f>
        <v>0</v>
      </c>
      <c r="AI196" s="16">
        <f>tblCalculation[[#This Row],[FIAttributable]]*tblBOneExport[[#This Row],[BMK_CREDIT_CARRY]]</f>
        <v>0</v>
      </c>
      <c r="AJ196" s="16">
        <f>tblCalculation[[#This Row],[FIAttributable]]*tblBOneExport[[#This Row],[BMK_TOTAL_CURVE]]</f>
        <v>0</v>
      </c>
      <c r="AK196" s="16">
        <f>tblCalculation[[#This Row],[FIAttributable]]*(tblBOneExport[[#This Row],[BMK_TOTAL_SPREAD]]+BMK_Credit_Adj*tblCalculation[[#This Row],[BmkDTSWeight]])</f>
        <v>0</v>
      </c>
      <c r="AL196" s="16">
        <f>tblCalculation[[#This Row],[FIAttributable]]*tblBOneExport[[#This Row],[BMK_MODEL_RESIDUAL]]-BMK_Credit_Adj*tblCalculation[[#This Row],[BmkDTSWeight]]</f>
        <v>0</v>
      </c>
      <c r="AM196" s="16">
        <f>IF(tblCalculation[[#This Row],[Level3]]="Forward Contracts",tblCalculation[[#This Row],[BMKContributionLocal]],0)</f>
        <v>0</v>
      </c>
      <c r="AN196" s="16">
        <f>tblBOneExport[[#This Row],[BMK_SPOT_CCY_RETURN]]+tblBOneExport[[#This Row],[BMK_CROSS_EFFECT]]</f>
        <v>0</v>
      </c>
    </row>
    <row r="197" spans="5:40" x14ac:dyDescent="0.25">
      <c r="E197" s="7" t="str">
        <f>tblBOneExport[[#This Row],[INSTRUMENT_CODE]]</f>
        <v>BF5SS32</v>
      </c>
      <c r="F197" s="7" t="str">
        <f>tblBOneExport[[#This Row],[INSTRUMENT]]</f>
        <v>INT BK RECON&amp;DEV 1.25 02/10/17 EMTN</v>
      </c>
      <c r="G197" s="7" t="str">
        <f>IF(tblBOneExport[[#This Row],[ISIN]]&lt;&gt;"", tblBOneExport[[#This Row],[ISIN]],"")</f>
        <v>XS0975541961</v>
      </c>
      <c r="H197" s="7" t="str">
        <f>IF(tblCalculation[[#This Row],[B1Level2]]="CDS",tblBOneExport[[#This Row],[B1_TICKER]],IF(tblCalculation[[#This Row],[ISIN]]="","",INDEX(tblGetStaticData[Ticker],MATCH(tblCalculation[[#This Row],[ISIN]],tblGetStaticData[ISIN],0))))</f>
        <v>IBRD</v>
      </c>
      <c r="I197" s="7" t="str">
        <f>IF(tblBOneExport[[#This Row],[INSTRUMENT_TYPE]]="Forward Contract","Forward Contract",tblBOneExport[LEVEL2])</f>
        <v>Non-Corporate</v>
      </c>
      <c r="J197" s="7" t="str">
        <f>IF(tblBOneExport[[#This Row],[INSTRUMENT_TYPE]]="Forward Contract","Forward Contract",tblBOneExport[[#This Row],[LEVEL3]])</f>
        <v>Supranationals</v>
      </c>
      <c r="K197" s="7" t="str">
        <f>INDEX(tblLvl2Mapping[],MATCH(tblCalculation[[#This Row],[B1Level2]]&amp;"_"&amp;tblCalculation[[#This Row],[B1Level3]],tblLvl2Mapping[B1Level2_B1Level3],0),2)</f>
        <v>Corporate</v>
      </c>
      <c r="L197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97" s="7">
        <f>INDEX(tblAttributable[],MATCH(tblCalculation[[#This Row],[Level3]],tblAttributable[Level3],0),2)</f>
        <v>1</v>
      </c>
      <c r="N197" s="16">
        <f>tblBOneExport[[#This Row],[PTF_WEIGHT]]</f>
        <v>1.7545642E-3</v>
      </c>
      <c r="O197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4.8838285202195155E-5</v>
      </c>
      <c r="P197" s="48">
        <f>tblCalculation[[#This Row],[PtfDTS]]/SUM(tblCalculation[PtfDTS])</f>
        <v>5.9227303127804476E-6</v>
      </c>
      <c r="Q197" s="16">
        <f>tblBOneExport[[#This Row],[PTF_CONTRIBUTION]]</f>
        <v>3.6889999999999997E-7</v>
      </c>
      <c r="R197" s="16">
        <f>tblCalculation[[#This Row],[PtfContributionBase]]-tblCalculation[[#This Row],[PtfCurrencyReturn]]</f>
        <v>3.6889999999999997E-7</v>
      </c>
      <c r="S197" s="16">
        <f>IF(tblBOneExport[[#This Row],[LEVEL1]]="Bonds",tblBOneExport[[#This Row],[PTF_GOV_CARRY]],"")</f>
        <v>2.0020000000000001E-7</v>
      </c>
      <c r="T197" s="16">
        <f>tblCalculation[[#This Row],[FIAttributable]]*tblBOneExport[[#This Row],[PTF_CREDIT_CARRY]]</f>
        <v>3.9439999999999998E-7</v>
      </c>
      <c r="U197" s="16">
        <f>tblCalculation[[#This Row],[FIAttributable]]*tblBOneExport[[#This Row],[PTF_TOTAL_CURVE]]</f>
        <v>-1.5799999999999999E-8</v>
      </c>
      <c r="V197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-1.508E-7</v>
      </c>
      <c r="W197" s="16">
        <f>IF(AND(tblCalculation[[#This Row],[Level3]]="Forward Contracts",tblBOneExport[[#This Row],[PTF_COST_OF_CARRY]]=0),tblBOneExport[[#This Row],[PTF_VALUATION]],0)</f>
        <v>0</v>
      </c>
      <c r="X197" s="16">
        <f>SUM(tblCalculation[[#This Row],[PtfTrading]:[PtfModelRes]])</f>
        <v>-5.9200000000000001E-8</v>
      </c>
      <c r="Y197" s="16">
        <f>tblCalculation[[#This Row],[FIAttributable]]*tblBOneExport[[#This Row],[PTF_TRADING]]</f>
        <v>0</v>
      </c>
      <c r="Z197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97" s="16">
        <f>tblCalculation[[#This Row],[FIAttributable]]*tblBOneExport[[#This Row],[PTF_MODEL_RESIDUAL]]-PTF_Credit_Adj*tblCalculation[[#This Row],[PtfDTSWeight]]</f>
        <v>-5.9200000000000001E-8</v>
      </c>
      <c r="AB197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97" s="16">
        <f>tblBOneExport[[#This Row],[BMK_WEIGHT]]</f>
        <v>0</v>
      </c>
      <c r="AD197" s="78">
        <f>tblCalculation[[#This Row],[FIAttributable]]*SUMIFS(tblDTS[DTSContribution_BM],tblDTS[ISIN],tblCalculation[[#This Row],[ISIN]])</f>
        <v>6.4447801550931438E-5</v>
      </c>
      <c r="AE197" s="16">
        <f>IF(SUM(tblCalculation[BMKDTS])=0,0,tblCalculation[[#This Row],[BMKDTS]]/SUM(tblCalculation[BMKDTS]))</f>
        <v>7.659639328434842E-6</v>
      </c>
      <c r="AF197" s="16">
        <f>tblBOneExport[[#This Row],[BMK_CONTRIBUTION]]</f>
        <v>0</v>
      </c>
      <c r="AG197" s="16">
        <f>tblCalculation[[#This Row],[BMKContributionBase]]-tblBOneExport[BMK_SPOT_CCY_RETURN]-tblBOneExport[[#This Row],[BMK_CROSS_EFFECT]]</f>
        <v>0</v>
      </c>
      <c r="AH197" s="16">
        <f>tblCalculation[[#This Row],[FIAttributable]]*(tblBOneExport[[#This Row],[BMK_RETURN_GOV_CARRY]])</f>
        <v>0</v>
      </c>
      <c r="AI197" s="16">
        <f>tblCalculation[[#This Row],[FIAttributable]]*tblBOneExport[[#This Row],[BMK_CREDIT_CARRY]]</f>
        <v>0</v>
      </c>
      <c r="AJ197" s="16">
        <f>tblCalculation[[#This Row],[FIAttributable]]*tblBOneExport[[#This Row],[BMK_TOTAL_CURVE]]</f>
        <v>0</v>
      </c>
      <c r="AK197" s="16">
        <f>tblCalculation[[#This Row],[FIAttributable]]*(tblBOneExport[[#This Row],[BMK_TOTAL_SPREAD]]+BMK_Credit_Adj*tblCalculation[[#This Row],[BmkDTSWeight]])</f>
        <v>0</v>
      </c>
      <c r="AL197" s="16">
        <f>tblCalculation[[#This Row],[FIAttributable]]*tblBOneExport[[#This Row],[BMK_MODEL_RESIDUAL]]-BMK_Credit_Adj*tblCalculation[[#This Row],[BmkDTSWeight]]</f>
        <v>0</v>
      </c>
      <c r="AM197" s="16">
        <f>IF(tblCalculation[[#This Row],[Level3]]="Forward Contracts",tblCalculation[[#This Row],[BMKContributionLocal]],0)</f>
        <v>0</v>
      </c>
      <c r="AN197" s="16">
        <f>tblBOneExport[[#This Row],[BMK_SPOT_CCY_RETURN]]+tblBOneExport[[#This Row],[BMK_CROSS_EFFECT]]</f>
        <v>0</v>
      </c>
    </row>
    <row r="198" spans="5:40" x14ac:dyDescent="0.25">
      <c r="E198" s="7" t="str">
        <f>tblBOneExport[[#This Row],[INSTRUMENT_CODE]]</f>
        <v>BFCB759</v>
      </c>
      <c r="F198" s="7" t="str">
        <f>tblBOneExport[[#This Row],[INSTRUMENT]]</f>
        <v>NEXT PLC 4.375 02/10/26</v>
      </c>
      <c r="G198" s="7" t="str">
        <f>IF(tblBOneExport[[#This Row],[ISIN]]&lt;&gt;"", tblBOneExport[[#This Row],[ISIN]],"")</f>
        <v>XS0975833319</v>
      </c>
      <c r="H198" s="7" t="str">
        <f>IF(tblCalculation[[#This Row],[B1Level2]]="CDS",tblBOneExport[[#This Row],[B1_TICKER]],IF(tblCalculation[[#This Row],[ISIN]]="","",INDEX(tblGetStaticData[Ticker],MATCH(tblCalculation[[#This Row],[ISIN]],tblGetStaticData[ISIN],0))))</f>
        <v>NXTLN</v>
      </c>
      <c r="I198" s="7" t="str">
        <f>IF(tblBOneExport[[#This Row],[INSTRUMENT_TYPE]]="Forward Contract","Forward Contract",tblBOneExport[LEVEL2])</f>
        <v>Corporates</v>
      </c>
      <c r="J198" s="7" t="str">
        <f>IF(tblBOneExport[[#This Row],[INSTRUMENT_TYPE]]="Forward Contract","Forward Contract",tblBOneExport[[#This Row],[LEVEL3]])</f>
        <v>Industrials</v>
      </c>
      <c r="K198" s="7" t="str">
        <f>INDEX(tblLvl2Mapping[],MATCH(tblCalculation[[#This Row],[B1Level2]]&amp;"_"&amp;tblCalculation[[#This Row],[B1Level3]],tblLvl2Mapping[B1Level2_B1Level3],0),2)</f>
        <v>Corporate</v>
      </c>
      <c r="L198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98" s="7">
        <f>INDEX(tblAttributable[],MATCH(tblCalculation[[#This Row],[Level3]],tblAttributable[Level3],0),2)</f>
        <v>1</v>
      </c>
      <c r="N198" s="16">
        <f>tblBOneExport[[#This Row],[PTF_WEIGHT]]</f>
        <v>3.0081781999999999E-3</v>
      </c>
      <c r="O198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4.2648364685015261E-2</v>
      </c>
      <c r="P198" s="48">
        <f>tblCalculation[[#This Row],[PtfDTS]]/SUM(tblCalculation[PtfDTS])</f>
        <v>5.1720645240652622E-3</v>
      </c>
      <c r="Q198" s="16">
        <f>tblBOneExport[[#This Row],[PTF_CONTRIBUTION]]</f>
        <v>5.5555900000000001E-5</v>
      </c>
      <c r="R198" s="16">
        <f>tblCalculation[[#This Row],[PtfContributionBase]]-tblCalculation[[#This Row],[PtfCurrencyReturn]]</f>
        <v>5.5555900000000001E-5</v>
      </c>
      <c r="S198" s="16">
        <f>IF(tblBOneExport[[#This Row],[LEVEL1]]="Bonds",tblBOneExport[[#This Row],[PTF_GOV_CARRY]],"")</f>
        <v>2.4662000000000002E-6</v>
      </c>
      <c r="T198" s="16">
        <f>tblCalculation[[#This Row],[FIAttributable]]*tblBOneExport[[#This Row],[PTF_CREDIT_CARRY]]</f>
        <v>5.1401000000000001E-6</v>
      </c>
      <c r="U198" s="16">
        <f>tblCalculation[[#This Row],[FIAttributable]]*tblBOneExport[[#This Row],[PTF_TOTAL_CURVE]]</f>
        <v>4.2768400000000002E-5</v>
      </c>
      <c r="V198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6.6355000000000003E-6</v>
      </c>
      <c r="W198" s="16">
        <f>IF(AND(tblCalculation[[#This Row],[Level3]]="Forward Contracts",tblBOneExport[[#This Row],[PTF_COST_OF_CARRY]]=0),tblBOneExport[[#This Row],[PTF_VALUATION]],0)</f>
        <v>0</v>
      </c>
      <c r="X198" s="16">
        <f>SUM(tblCalculation[[#This Row],[PtfTrading]:[PtfModelRes]])</f>
        <v>-1.4543E-6</v>
      </c>
      <c r="Y198" s="16">
        <f>tblCalculation[[#This Row],[FIAttributable]]*tblBOneExport[[#This Row],[PTF_TRADING]]</f>
        <v>0</v>
      </c>
      <c r="Z198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98" s="16">
        <f>tblCalculation[[#This Row],[FIAttributable]]*tblBOneExport[[#This Row],[PTF_MODEL_RESIDUAL]]-PTF_Credit_Adj*tblCalculation[[#This Row],[PtfDTSWeight]]</f>
        <v>-1.4543E-6</v>
      </c>
      <c r="AB198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98" s="16">
        <f>tblBOneExport[[#This Row],[BMK_WEIGHT]]</f>
        <v>0</v>
      </c>
      <c r="AD198" s="78">
        <f>tblCalculation[[#This Row],[FIAttributable]]*SUMIFS(tblDTS[DTSContribution_BM],tblDTS[ISIN],tblCalculation[[#This Row],[ISIN]])</f>
        <v>5.6286447491398862E-2</v>
      </c>
      <c r="AE198" s="16">
        <f>IF(SUM(tblCalculation[BMKDTS])=0,0,tblCalculation[[#This Row],[BMKDTS]]/SUM(tblCalculation[BMKDTS]))</f>
        <v>6.6896601045776148E-3</v>
      </c>
      <c r="AF198" s="16">
        <f>tblBOneExport[[#This Row],[BMK_CONTRIBUTION]]</f>
        <v>0</v>
      </c>
      <c r="AG198" s="16">
        <f>tblCalculation[[#This Row],[BMKContributionBase]]-tblBOneExport[BMK_SPOT_CCY_RETURN]-tblBOneExport[[#This Row],[BMK_CROSS_EFFECT]]</f>
        <v>0</v>
      </c>
      <c r="AH198" s="16">
        <f>tblCalculation[[#This Row],[FIAttributable]]*(tblBOneExport[[#This Row],[BMK_RETURN_GOV_CARRY]])</f>
        <v>0</v>
      </c>
      <c r="AI198" s="16">
        <f>tblCalculation[[#This Row],[FIAttributable]]*tblBOneExport[[#This Row],[BMK_CREDIT_CARRY]]</f>
        <v>0</v>
      </c>
      <c r="AJ198" s="16">
        <f>tblCalculation[[#This Row],[FIAttributable]]*tblBOneExport[[#This Row],[BMK_TOTAL_CURVE]]</f>
        <v>0</v>
      </c>
      <c r="AK198" s="16">
        <f>tblCalculation[[#This Row],[FIAttributable]]*(tblBOneExport[[#This Row],[BMK_TOTAL_SPREAD]]+BMK_Credit_Adj*tblCalculation[[#This Row],[BmkDTSWeight]])</f>
        <v>0</v>
      </c>
      <c r="AL198" s="16">
        <f>tblCalculation[[#This Row],[FIAttributable]]*tblBOneExport[[#This Row],[BMK_MODEL_RESIDUAL]]-BMK_Credit_Adj*tblCalculation[[#This Row],[BmkDTSWeight]]</f>
        <v>0</v>
      </c>
      <c r="AM198" s="16">
        <f>IF(tblCalculation[[#This Row],[Level3]]="Forward Contracts",tblCalculation[[#This Row],[BMKContributionLocal]],0)</f>
        <v>0</v>
      </c>
      <c r="AN198" s="16">
        <f>tblBOneExport[[#This Row],[BMK_SPOT_CCY_RETURN]]+tblBOneExport[[#This Row],[BMK_CROSS_EFFECT]]</f>
        <v>0</v>
      </c>
    </row>
    <row r="199" spans="5:40" x14ac:dyDescent="0.25">
      <c r="E199" s="7" t="str">
        <f>tblBOneExport[[#This Row],[INSTRUMENT_CODE]]</f>
        <v>BG0QMX6</v>
      </c>
      <c r="F199" s="7" t="str">
        <f>tblBOneExport[[#This Row],[INSTRUMENT]]</f>
        <v>HEATHROW FNDG 4.625 31/10/46</v>
      </c>
      <c r="G199" s="7" t="str">
        <f>IF(tblBOneExport[[#This Row],[ISIN]]&lt;&gt;"", tblBOneExport[[#This Row],[ISIN]],"")</f>
        <v>XS0987355855</v>
      </c>
      <c r="H199" s="7" t="str">
        <f>IF(tblCalculation[[#This Row],[B1Level2]]="CDS",tblBOneExport[[#This Row],[B1_TICKER]],IF(tblCalculation[[#This Row],[ISIN]]="","",INDEX(tblGetStaticData[Ticker],MATCH(tblCalculation[[#This Row],[ISIN]],tblGetStaticData[ISIN],0))))</f>
        <v>HTHROW</v>
      </c>
      <c r="I199" s="7" t="str">
        <f>IF(tblBOneExport[[#This Row],[INSTRUMENT_TYPE]]="Forward Contract","Forward Contract",tblBOneExport[LEVEL2])</f>
        <v>Corporates</v>
      </c>
      <c r="J199" s="7" t="str">
        <f>IF(tblBOneExport[[#This Row],[INSTRUMENT_TYPE]]="Forward Contract","Forward Contract",tblBOneExport[[#This Row],[LEVEL3]])</f>
        <v>Industrials</v>
      </c>
      <c r="K199" s="7" t="str">
        <f>INDEX(tblLvl2Mapping[],MATCH(tblCalculation[[#This Row],[B1Level2]]&amp;"_"&amp;tblCalculation[[#This Row],[B1Level3]],tblLvl2Mapping[B1Level2_B1Level3],0),2)</f>
        <v>Corporate</v>
      </c>
      <c r="L199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199" s="7">
        <f>INDEX(tblAttributable[],MATCH(tblCalculation[[#This Row],[Level3]],tblAttributable[Level3],0),2)</f>
        <v>1</v>
      </c>
      <c r="N199" s="16">
        <f>tblBOneExport[[#This Row],[PTF_WEIGHT]]</f>
        <v>3.6500549000000001E-3</v>
      </c>
      <c r="O199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9.3135718891780711E-2</v>
      </c>
      <c r="P199" s="48">
        <f>tblCalculation[[#This Row],[PtfDTS]]/SUM(tblCalculation[PtfDTS])</f>
        <v>1.1294781198791034E-2</v>
      </c>
      <c r="Q199" s="16">
        <f>tblBOneExport[[#This Row],[PTF_CONTRIBUTION]]</f>
        <v>9.3682499999999996E-5</v>
      </c>
      <c r="R199" s="16">
        <f>tblCalculation[[#This Row],[PtfContributionBase]]-tblCalculation[[#This Row],[PtfCurrencyReturn]]</f>
        <v>9.3682499999999996E-5</v>
      </c>
      <c r="S199" s="16">
        <f>IF(tblBOneExport[[#This Row],[LEVEL1]]="Bonds",tblBOneExport[[#This Row],[PTF_GOV_CARRY]],"")</f>
        <v>5.3646000000000003E-6</v>
      </c>
      <c r="T199" s="16">
        <f>tblCalculation[[#This Row],[FIAttributable]]*tblBOneExport[[#This Row],[PTF_CREDIT_CARRY]]</f>
        <v>3.6326000000000002E-6</v>
      </c>
      <c r="U199" s="16">
        <f>tblCalculation[[#This Row],[FIAttributable]]*tblBOneExport[[#This Row],[PTF_TOTAL_CURVE]]</f>
        <v>1.045573E-4</v>
      </c>
      <c r="V199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-2.2089100000000002E-5</v>
      </c>
      <c r="W199" s="16">
        <f>IF(AND(tblCalculation[[#This Row],[Level3]]="Forward Contracts",tblBOneExport[[#This Row],[PTF_COST_OF_CARRY]]=0),tblBOneExport[[#This Row],[PTF_VALUATION]],0)</f>
        <v>0</v>
      </c>
      <c r="X199" s="16">
        <f>SUM(tblCalculation[[#This Row],[PtfTrading]:[PtfModelRes]])</f>
        <v>2.2170000000000001E-6</v>
      </c>
      <c r="Y199" s="16">
        <f>tblCalculation[[#This Row],[FIAttributable]]*tblBOneExport[[#This Row],[PTF_TRADING]]</f>
        <v>0</v>
      </c>
      <c r="Z199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199" s="16">
        <f>tblCalculation[[#This Row],[FIAttributable]]*tblBOneExport[[#This Row],[PTF_MODEL_RESIDUAL]]-PTF_Credit_Adj*tblCalculation[[#This Row],[PtfDTSWeight]]</f>
        <v>2.2170000000000001E-6</v>
      </c>
      <c r="AB199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199" s="16">
        <f>tblBOneExport[[#This Row],[BMK_WEIGHT]]</f>
        <v>0</v>
      </c>
      <c r="AD199" s="78">
        <f>tblCalculation[[#This Row],[FIAttributable]]*SUMIFS(tblDTS[DTSContribution_BM],tblDTS[ISIN],tblCalculation[[#This Row],[ISIN]])</f>
        <v>8.0169873684742071E-2</v>
      </c>
      <c r="AE199" s="16">
        <f>IF(SUM(tblCalculation[BMKDTS])=0,0,tblCalculation[[#This Row],[BMKDTS]]/SUM(tblCalculation[BMKDTS]))</f>
        <v>9.5282120204832482E-3</v>
      </c>
      <c r="AF199" s="16">
        <f>tblBOneExport[[#This Row],[BMK_CONTRIBUTION]]</f>
        <v>0</v>
      </c>
      <c r="AG199" s="16">
        <f>tblCalculation[[#This Row],[BMKContributionBase]]-tblBOneExport[BMK_SPOT_CCY_RETURN]-tblBOneExport[[#This Row],[BMK_CROSS_EFFECT]]</f>
        <v>0</v>
      </c>
      <c r="AH199" s="16">
        <f>tblCalculation[[#This Row],[FIAttributable]]*(tblBOneExport[[#This Row],[BMK_RETURN_GOV_CARRY]])</f>
        <v>0</v>
      </c>
      <c r="AI199" s="16">
        <f>tblCalculation[[#This Row],[FIAttributable]]*tblBOneExport[[#This Row],[BMK_CREDIT_CARRY]]</f>
        <v>0</v>
      </c>
      <c r="AJ199" s="16">
        <f>tblCalculation[[#This Row],[FIAttributable]]*tblBOneExport[[#This Row],[BMK_TOTAL_CURVE]]</f>
        <v>0</v>
      </c>
      <c r="AK199" s="16">
        <f>tblCalculation[[#This Row],[FIAttributable]]*(tblBOneExport[[#This Row],[BMK_TOTAL_SPREAD]]+BMK_Credit_Adj*tblCalculation[[#This Row],[BmkDTSWeight]])</f>
        <v>0</v>
      </c>
      <c r="AL199" s="16">
        <f>tblCalculation[[#This Row],[FIAttributable]]*tblBOneExport[[#This Row],[BMK_MODEL_RESIDUAL]]-BMK_Credit_Adj*tblCalculation[[#This Row],[BmkDTSWeight]]</f>
        <v>0</v>
      </c>
      <c r="AM199" s="16">
        <f>IF(tblCalculation[[#This Row],[Level3]]="Forward Contracts",tblCalculation[[#This Row],[BMKContributionLocal]],0)</f>
        <v>0</v>
      </c>
      <c r="AN199" s="16">
        <f>tblBOneExport[[#This Row],[BMK_SPOT_CCY_RETURN]]+tblBOneExport[[#This Row],[BMK_CROSS_EFFECT]]</f>
        <v>0</v>
      </c>
    </row>
    <row r="200" spans="5:40" x14ac:dyDescent="0.25">
      <c r="E200" s="7" t="str">
        <f>tblBOneExport[[#This Row],[INSTRUMENT_CODE]]</f>
        <v>BG6M078</v>
      </c>
      <c r="F200" s="7" t="str">
        <f>tblBOneExport[[#This Row],[INSTRUMENT]]</f>
        <v>DAIMLER AG 1.75 08/11/17 EMTN</v>
      </c>
      <c r="G200" s="7" t="str">
        <f>IF(tblBOneExport[[#This Row],[ISIN]]&lt;&gt;"", tblBOneExport[[#This Row],[ISIN]],"")</f>
        <v>XS0989397921</v>
      </c>
      <c r="H200" s="7" t="str">
        <f>IF(tblCalculation[[#This Row],[B1Level2]]="CDS",tblBOneExport[[#This Row],[B1_TICKER]],IF(tblCalculation[[#This Row],[ISIN]]="","",INDEX(tblGetStaticData[Ticker],MATCH(tblCalculation[[#This Row],[ISIN]],tblGetStaticData[ISIN],0))))</f>
        <v>DAIGR</v>
      </c>
      <c r="I200" s="7" t="str">
        <f>IF(tblBOneExport[[#This Row],[INSTRUMENT_TYPE]]="Forward Contract","Forward Contract",tblBOneExport[LEVEL2])</f>
        <v>Corporates</v>
      </c>
      <c r="J200" s="7" t="str">
        <f>IF(tblBOneExport[[#This Row],[INSTRUMENT_TYPE]]="Forward Contract","Forward Contract",tblBOneExport[[#This Row],[LEVEL3]])</f>
        <v>Industrials</v>
      </c>
      <c r="K200" s="7" t="str">
        <f>INDEX(tblLvl2Mapping[],MATCH(tblCalculation[[#This Row],[B1Level2]]&amp;"_"&amp;tblCalculation[[#This Row],[B1Level3]],tblLvl2Mapping[B1Level2_B1Level3],0),2)</f>
        <v>Corporate</v>
      </c>
      <c r="L200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00" s="7">
        <f>INDEX(tblAttributable[],MATCH(tblCalculation[[#This Row],[Level3]],tblAttributable[Level3],0),2)</f>
        <v>1</v>
      </c>
      <c r="N200" s="16">
        <f>tblBOneExport[[#This Row],[PTF_WEIGHT]]</f>
        <v>3.5220294E-3</v>
      </c>
      <c r="O200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5.161629063021719E-4</v>
      </c>
      <c r="P200" s="48">
        <f>tblCalculation[[#This Row],[PtfDTS]]/SUM(tblCalculation[PtfDTS])</f>
        <v>6.2596253714315895E-5</v>
      </c>
      <c r="Q200" s="16">
        <f>tblBOneExport[[#This Row],[PTF_CONTRIBUTION]]</f>
        <v>2.5009999999999999E-6</v>
      </c>
      <c r="R200" s="16">
        <f>tblCalculation[[#This Row],[PtfContributionBase]]-tblCalculation[[#This Row],[PtfCurrencyReturn]]</f>
        <v>2.5009999999999999E-6</v>
      </c>
      <c r="S200" s="16">
        <f>IF(tblBOneExport[[#This Row],[LEVEL1]]="Bonds",tblBOneExport[[#This Row],[PTF_GOV_CARRY]],"")</f>
        <v>4.559E-7</v>
      </c>
      <c r="T200" s="16">
        <f>tblCalculation[[#This Row],[FIAttributable]]*tblBOneExport[[#This Row],[PTF_CREDIT_CARRY]]</f>
        <v>2.0613000000000001E-6</v>
      </c>
      <c r="U200" s="16">
        <f>tblCalculation[[#This Row],[FIAttributable]]*tblBOneExport[[#This Row],[PTF_TOTAL_CURVE]]</f>
        <v>-2.0209999999999999E-7</v>
      </c>
      <c r="V200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-1.043E-6</v>
      </c>
      <c r="W200" s="16">
        <f>IF(AND(tblCalculation[[#This Row],[Level3]]="Forward Contracts",tblBOneExport[[#This Row],[PTF_COST_OF_CARRY]]=0),tblBOneExport[[#This Row],[PTF_VALUATION]],0)</f>
        <v>0</v>
      </c>
      <c r="X200" s="16">
        <f>SUM(tblCalculation[[#This Row],[PtfTrading]:[PtfModelRes]])</f>
        <v>1.229E-6</v>
      </c>
      <c r="Y200" s="16">
        <f>tblCalculation[[#This Row],[FIAttributable]]*tblBOneExport[[#This Row],[PTF_TRADING]]</f>
        <v>0</v>
      </c>
      <c r="Z200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00" s="16">
        <f>tblCalculation[[#This Row],[FIAttributable]]*tblBOneExport[[#This Row],[PTF_MODEL_RESIDUAL]]-PTF_Credit_Adj*tblCalculation[[#This Row],[PtfDTSWeight]]</f>
        <v>1.229E-6</v>
      </c>
      <c r="AB200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00" s="16">
        <f>tblBOneExport[[#This Row],[BMK_WEIGHT]]</f>
        <v>0</v>
      </c>
      <c r="AD200" s="78">
        <f>tblCalculation[[#This Row],[FIAttributable]]*SUMIFS(tblDTS[DTSContribution_BM],tblDTS[ISIN],tblCalculation[[#This Row],[ISIN]])</f>
        <v>6.811945350419479E-4</v>
      </c>
      <c r="AE200" s="16">
        <f>IF(SUM(tblCalculation[BMKDTS])=0,0,tblCalculation[[#This Row],[BMKDTS]]/SUM(tblCalculation[BMKDTS]))</f>
        <v>8.096016195057907E-5</v>
      </c>
      <c r="AF200" s="16">
        <f>tblBOneExport[[#This Row],[BMK_CONTRIBUTION]]</f>
        <v>0</v>
      </c>
      <c r="AG200" s="16">
        <f>tblCalculation[[#This Row],[BMKContributionBase]]-tblBOneExport[BMK_SPOT_CCY_RETURN]-tblBOneExport[[#This Row],[BMK_CROSS_EFFECT]]</f>
        <v>0</v>
      </c>
      <c r="AH200" s="16">
        <f>tblCalculation[[#This Row],[FIAttributable]]*(tblBOneExport[[#This Row],[BMK_RETURN_GOV_CARRY]])</f>
        <v>0</v>
      </c>
      <c r="AI200" s="16">
        <f>tblCalculation[[#This Row],[FIAttributable]]*tblBOneExport[[#This Row],[BMK_CREDIT_CARRY]]</f>
        <v>0</v>
      </c>
      <c r="AJ200" s="16">
        <f>tblCalculation[[#This Row],[FIAttributable]]*tblBOneExport[[#This Row],[BMK_TOTAL_CURVE]]</f>
        <v>0</v>
      </c>
      <c r="AK200" s="16">
        <f>tblCalculation[[#This Row],[FIAttributable]]*(tblBOneExport[[#This Row],[BMK_TOTAL_SPREAD]]+BMK_Credit_Adj*tblCalculation[[#This Row],[BmkDTSWeight]])</f>
        <v>0</v>
      </c>
      <c r="AL200" s="16">
        <f>tblCalculation[[#This Row],[FIAttributable]]*tblBOneExport[[#This Row],[BMK_MODEL_RESIDUAL]]-BMK_Credit_Adj*tblCalculation[[#This Row],[BmkDTSWeight]]</f>
        <v>0</v>
      </c>
      <c r="AM200" s="16">
        <f>IF(tblCalculation[[#This Row],[Level3]]="Forward Contracts",tblCalculation[[#This Row],[BMKContributionLocal]],0)</f>
        <v>0</v>
      </c>
      <c r="AN200" s="16">
        <f>tblBOneExport[[#This Row],[BMK_SPOT_CCY_RETURN]]+tblBOneExport[[#This Row],[BMK_CROSS_EFFECT]]</f>
        <v>0</v>
      </c>
    </row>
    <row r="201" spans="5:40" x14ac:dyDescent="0.25">
      <c r="E201" s="7" t="str">
        <f>tblBOneExport[[#This Row],[INSTRUMENT_CODE]]</f>
        <v>BGH14G1</v>
      </c>
      <c r="F201" s="7" t="str">
        <f>tblBOneExport[[#This Row],[INSTRUMENT]]</f>
        <v>INTERAMER DEV BK 1.25 15/12/17 GDIF</v>
      </c>
      <c r="G201" s="7" t="str">
        <f>IF(tblBOneExport[[#This Row],[ISIN]]&lt;&gt;"", tblBOneExport[[#This Row],[ISIN]],"")</f>
        <v>XS0993756807</v>
      </c>
      <c r="H201" s="7" t="str">
        <f>IF(tblCalculation[[#This Row],[B1Level2]]="CDS",tblBOneExport[[#This Row],[B1_TICKER]],IF(tblCalculation[[#This Row],[ISIN]]="","",INDEX(tblGetStaticData[Ticker],MATCH(tblCalculation[[#This Row],[ISIN]],tblGetStaticData[ISIN],0))))</f>
        <v>IADB</v>
      </c>
      <c r="I201" s="7" t="str">
        <f>IF(tblBOneExport[[#This Row],[INSTRUMENT_TYPE]]="Forward Contract","Forward Contract",tblBOneExport[LEVEL2])</f>
        <v>Non-Corporate</v>
      </c>
      <c r="J201" s="7" t="str">
        <f>IF(tblBOneExport[[#This Row],[INSTRUMENT_TYPE]]="Forward Contract","Forward Contract",tblBOneExport[[#This Row],[LEVEL3]])</f>
        <v>Supranationals</v>
      </c>
      <c r="K201" s="7" t="str">
        <f>INDEX(tblLvl2Mapping[],MATCH(tblCalculation[[#This Row],[B1Level2]]&amp;"_"&amp;tblCalculation[[#This Row],[B1Level3]],tblLvl2Mapping[B1Level2_B1Level3],0),2)</f>
        <v>Corporate</v>
      </c>
      <c r="L201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01" s="7">
        <f>INDEX(tblAttributable[],MATCH(tblCalculation[[#This Row],[Level3]],tblAttributable[Level3],0),2)</f>
        <v>1</v>
      </c>
      <c r="N201" s="16">
        <f>tblBOneExport[[#This Row],[PTF_WEIGHT]]</f>
        <v>1.1689063E-3</v>
      </c>
      <c r="O201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7.8432074682309975E-5</v>
      </c>
      <c r="P201" s="48">
        <f>tblCalculation[[#This Row],[PtfDTS]]/SUM(tblCalculation[PtfDTS])</f>
        <v>9.5116367065708855E-6</v>
      </c>
      <c r="Q201" s="16">
        <f>tblBOneExport[[#This Row],[PTF_CONTRIBUTION]]</f>
        <v>3.277E-7</v>
      </c>
      <c r="R201" s="16">
        <f>tblCalculation[[#This Row],[PtfContributionBase]]-tblCalculation[[#This Row],[PtfCurrencyReturn]]</f>
        <v>3.277E-7</v>
      </c>
      <c r="S201" s="16">
        <f>IF(tblBOneExport[[#This Row],[LEVEL1]]="Bonds",tblBOneExport[[#This Row],[PTF_GOV_CARRY]],"")</f>
        <v>1.6920000000000001E-7</v>
      </c>
      <c r="T201" s="16">
        <f>tblCalculation[[#This Row],[FIAttributable]]*tblBOneExport[[#This Row],[PTF_CREDIT_CARRY]]</f>
        <v>1.9710000000000001E-7</v>
      </c>
      <c r="U201" s="16">
        <f>tblCalculation[[#This Row],[FIAttributable]]*tblBOneExport[[#This Row],[PTF_TOTAL_CURVE]]</f>
        <v>-3.6300000000000001E-8</v>
      </c>
      <c r="V201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-9.3000000000000006E-9</v>
      </c>
      <c r="W201" s="16">
        <f>IF(AND(tblCalculation[[#This Row],[Level3]]="Forward Contracts",tblBOneExport[[#This Row],[PTF_COST_OF_CARRY]]=0),tblBOneExport[[#This Row],[PTF_VALUATION]],0)</f>
        <v>0</v>
      </c>
      <c r="X201" s="16">
        <f>SUM(tblCalculation[[#This Row],[PtfTrading]:[PtfModelRes]])</f>
        <v>6.8999999999999997E-9</v>
      </c>
      <c r="Y201" s="16">
        <f>tblCalculation[[#This Row],[FIAttributable]]*tblBOneExport[[#This Row],[PTF_TRADING]]</f>
        <v>0</v>
      </c>
      <c r="Z201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01" s="16">
        <f>tblCalculation[[#This Row],[FIAttributable]]*tblBOneExport[[#This Row],[PTF_MODEL_RESIDUAL]]-PTF_Credit_Adj*tblCalculation[[#This Row],[PtfDTSWeight]]</f>
        <v>6.8999999999999997E-9</v>
      </c>
      <c r="AB201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01" s="16">
        <f>tblBOneExport[[#This Row],[BMK_WEIGHT]]</f>
        <v>0</v>
      </c>
      <c r="AD201" s="78">
        <f>tblCalculation[[#This Row],[FIAttributable]]*SUMIFS(tblDTS[DTSContribution_BM],tblDTS[ISIN],tblCalculation[[#This Row],[ISIN]])</f>
        <v>1.0350838835756032E-4</v>
      </c>
      <c r="AE201" s="16">
        <f>IF(SUM(tblCalculation[BMKDTS])=0,0,tblCalculation[[#This Row],[BMKDTS]]/SUM(tblCalculation[BMKDTS]))</f>
        <v>1.2302001049018211E-5</v>
      </c>
      <c r="AF201" s="16">
        <f>tblBOneExport[[#This Row],[BMK_CONTRIBUTION]]</f>
        <v>0</v>
      </c>
      <c r="AG201" s="16">
        <f>tblCalculation[[#This Row],[BMKContributionBase]]-tblBOneExport[BMK_SPOT_CCY_RETURN]-tblBOneExport[[#This Row],[BMK_CROSS_EFFECT]]</f>
        <v>0</v>
      </c>
      <c r="AH201" s="16">
        <f>tblCalculation[[#This Row],[FIAttributable]]*(tblBOneExport[[#This Row],[BMK_RETURN_GOV_CARRY]])</f>
        <v>0</v>
      </c>
      <c r="AI201" s="16">
        <f>tblCalculation[[#This Row],[FIAttributable]]*tblBOneExport[[#This Row],[BMK_CREDIT_CARRY]]</f>
        <v>0</v>
      </c>
      <c r="AJ201" s="16">
        <f>tblCalculation[[#This Row],[FIAttributable]]*tblBOneExport[[#This Row],[BMK_TOTAL_CURVE]]</f>
        <v>0</v>
      </c>
      <c r="AK201" s="16">
        <f>tblCalculation[[#This Row],[FIAttributable]]*(tblBOneExport[[#This Row],[BMK_TOTAL_SPREAD]]+BMK_Credit_Adj*tblCalculation[[#This Row],[BmkDTSWeight]])</f>
        <v>0</v>
      </c>
      <c r="AL201" s="16">
        <f>tblCalculation[[#This Row],[FIAttributable]]*tblBOneExport[[#This Row],[BMK_MODEL_RESIDUAL]]-BMK_Credit_Adj*tblCalculation[[#This Row],[BmkDTSWeight]]</f>
        <v>0</v>
      </c>
      <c r="AM201" s="16">
        <f>IF(tblCalculation[[#This Row],[Level3]]="Forward Contracts",tblCalculation[[#This Row],[BMKContributionLocal]],0)</f>
        <v>0</v>
      </c>
      <c r="AN201" s="16">
        <f>tblBOneExport[[#This Row],[BMK_SPOT_CCY_RETURN]]+tblBOneExport[[#This Row],[BMK_CROSS_EFFECT]]</f>
        <v>0</v>
      </c>
    </row>
    <row r="202" spans="5:40" x14ac:dyDescent="0.25">
      <c r="E202" s="7" t="str">
        <f>tblBOneExport[[#This Row],[INSTRUMENT_CODE]]</f>
        <v>BGLCYS2</v>
      </c>
      <c r="F202" s="7" t="str">
        <f>tblBOneExport[[#This Row],[INSTRUMENT]]</f>
        <v>IBM CORP 2.75 21/12/20 EMTN</v>
      </c>
      <c r="G202" s="7" t="str">
        <f>IF(tblBOneExport[[#This Row],[ISIN]]&lt;&gt;"", tblBOneExport[[#This Row],[ISIN]],"")</f>
        <v>XS0996288717</v>
      </c>
      <c r="H202" s="7" t="str">
        <f>IF(tblCalculation[[#This Row],[B1Level2]]="CDS",tblBOneExport[[#This Row],[B1_TICKER]],IF(tblCalculation[[#This Row],[ISIN]]="","",INDEX(tblGetStaticData[Ticker],MATCH(tblCalculation[[#This Row],[ISIN]],tblGetStaticData[ISIN],0))))</f>
        <v>IBM</v>
      </c>
      <c r="I202" s="7" t="str">
        <f>IF(tblBOneExport[[#This Row],[INSTRUMENT_TYPE]]="Forward Contract","Forward Contract",tblBOneExport[LEVEL2])</f>
        <v>Corporates</v>
      </c>
      <c r="J202" s="7" t="str">
        <f>IF(tblBOneExport[[#This Row],[INSTRUMENT_TYPE]]="Forward Contract","Forward Contract",tblBOneExport[[#This Row],[LEVEL3]])</f>
        <v>Industrials</v>
      </c>
      <c r="K202" s="7" t="str">
        <f>INDEX(tblLvl2Mapping[],MATCH(tblCalculation[[#This Row],[B1Level2]]&amp;"_"&amp;tblCalculation[[#This Row],[B1Level3]],tblLvl2Mapping[B1Level2_B1Level3],0),2)</f>
        <v>Corporate</v>
      </c>
      <c r="L202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02" s="7">
        <f>INDEX(tblAttributable[],MATCH(tblCalculation[[#This Row],[Level3]],tblAttributable[Level3],0),2)</f>
        <v>1</v>
      </c>
      <c r="N202" s="16">
        <f>tblBOneExport[[#This Row],[PTF_WEIGHT]]</f>
        <v>2.5454290000000001E-3</v>
      </c>
      <c r="O202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1.6497592015382741E-3</v>
      </c>
      <c r="P202" s="48">
        <f>tblCalculation[[#This Row],[PtfDTS]]/SUM(tblCalculation[PtfDTS])</f>
        <v>2.0007006370690547E-4</v>
      </c>
      <c r="Q202" s="16">
        <f>tblBOneExport[[#This Row],[PTF_CONTRIBUTION]]</f>
        <v>1.041E-5</v>
      </c>
      <c r="R202" s="16">
        <f>tblCalculation[[#This Row],[PtfContributionBase]]-tblCalculation[[#This Row],[PtfCurrencyReturn]]</f>
        <v>1.041E-5</v>
      </c>
      <c r="S202" s="16">
        <f>IF(tblBOneExport[[#This Row],[LEVEL1]]="Bonds",tblBOneExport[[#This Row],[PTF_GOV_CARRY]],"")</f>
        <v>5.7960000000000003E-7</v>
      </c>
      <c r="T202" s="16">
        <f>tblCalculation[[#This Row],[FIAttributable]]*tblBOneExport[[#This Row],[PTF_CREDIT_CARRY]]</f>
        <v>1.3169E-6</v>
      </c>
      <c r="U202" s="16">
        <f>tblCalculation[[#This Row],[FIAttributable]]*tblBOneExport[[#This Row],[PTF_TOTAL_CURVE]]</f>
        <v>1.0023E-5</v>
      </c>
      <c r="V202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-1.1253000000000001E-6</v>
      </c>
      <c r="W202" s="16">
        <f>IF(AND(tblCalculation[[#This Row],[Level3]]="Forward Contracts",tblBOneExport[[#This Row],[PTF_COST_OF_CARRY]]=0),tblBOneExport[[#This Row],[PTF_VALUATION]],0)</f>
        <v>0</v>
      </c>
      <c r="X202" s="16">
        <f>SUM(tblCalculation[[#This Row],[PtfTrading]:[PtfModelRes]])</f>
        <v>-3.841E-7</v>
      </c>
      <c r="Y202" s="16">
        <f>tblCalculation[[#This Row],[FIAttributable]]*tblBOneExport[[#This Row],[PTF_TRADING]]</f>
        <v>0</v>
      </c>
      <c r="Z202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02" s="16">
        <f>tblCalculation[[#This Row],[FIAttributable]]*tblBOneExport[[#This Row],[PTF_MODEL_RESIDUAL]]-PTF_Credit_Adj*tblCalculation[[#This Row],[PtfDTSWeight]]</f>
        <v>-3.841E-7</v>
      </c>
      <c r="AB202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02" s="16">
        <f>tblBOneExport[[#This Row],[BMK_WEIGHT]]</f>
        <v>0</v>
      </c>
      <c r="AD202" s="78">
        <f>tblCalculation[[#This Row],[FIAttributable]]*SUMIFS(tblDTS[DTSContribution_BM],tblDTS[ISIN],tblCalculation[[#This Row],[ISIN]])</f>
        <v>2.1778464804318386E-3</v>
      </c>
      <c r="AE202" s="16">
        <f>IF(SUM(tblCalculation[BMKDTS])=0,0,tblCalculation[[#This Row],[BMKDTS]]/SUM(tblCalculation[BMKDTS]))</f>
        <v>2.5883766631862743E-4</v>
      </c>
      <c r="AF202" s="16">
        <f>tblBOneExport[[#This Row],[BMK_CONTRIBUTION]]</f>
        <v>0</v>
      </c>
      <c r="AG202" s="16">
        <f>tblCalculation[[#This Row],[BMKContributionBase]]-tblBOneExport[BMK_SPOT_CCY_RETURN]-tblBOneExport[[#This Row],[BMK_CROSS_EFFECT]]</f>
        <v>0</v>
      </c>
      <c r="AH202" s="16">
        <f>tblCalculation[[#This Row],[FIAttributable]]*(tblBOneExport[[#This Row],[BMK_RETURN_GOV_CARRY]])</f>
        <v>0</v>
      </c>
      <c r="AI202" s="16">
        <f>tblCalculation[[#This Row],[FIAttributable]]*tblBOneExport[[#This Row],[BMK_CREDIT_CARRY]]</f>
        <v>0</v>
      </c>
      <c r="AJ202" s="16">
        <f>tblCalculation[[#This Row],[FIAttributable]]*tblBOneExport[[#This Row],[BMK_TOTAL_CURVE]]</f>
        <v>0</v>
      </c>
      <c r="AK202" s="16">
        <f>tblCalculation[[#This Row],[FIAttributable]]*(tblBOneExport[[#This Row],[BMK_TOTAL_SPREAD]]+BMK_Credit_Adj*tblCalculation[[#This Row],[BmkDTSWeight]])</f>
        <v>0</v>
      </c>
      <c r="AL202" s="16">
        <f>tblCalculation[[#This Row],[FIAttributable]]*tblBOneExport[[#This Row],[BMK_MODEL_RESIDUAL]]-BMK_Credit_Adj*tblCalculation[[#This Row],[BmkDTSWeight]]</f>
        <v>0</v>
      </c>
      <c r="AM202" s="16">
        <f>IF(tblCalculation[[#This Row],[Level3]]="Forward Contracts",tblCalculation[[#This Row],[BMKContributionLocal]],0)</f>
        <v>0</v>
      </c>
      <c r="AN202" s="16">
        <f>tblBOneExport[[#This Row],[BMK_SPOT_CCY_RETURN]]+tblBOneExport[[#This Row],[BMK_CROSS_EFFECT]]</f>
        <v>0</v>
      </c>
    </row>
    <row r="203" spans="5:40" x14ac:dyDescent="0.25">
      <c r="E203" s="7" t="str">
        <f>tblBOneExport[[#This Row],[INSTRUMENT_CODE]]</f>
        <v>BJ0KDW5</v>
      </c>
      <c r="F203" s="7" t="str">
        <f>tblBOneExport[[#This Row],[INSTRUMENT]]</f>
        <v>DAIMLER AG 2.375 16/07/18 EMTN</v>
      </c>
      <c r="G203" s="7" t="str">
        <f>IF(tblBOneExport[[#This Row],[ISIN]]&lt;&gt;"", tblBOneExport[[#This Row],[ISIN]],"")</f>
        <v>XS1015890210</v>
      </c>
      <c r="H203" s="7" t="str">
        <f>IF(tblCalculation[[#This Row],[B1Level2]]="CDS",tblBOneExport[[#This Row],[B1_TICKER]],IF(tblCalculation[[#This Row],[ISIN]]="","",INDEX(tblGetStaticData[Ticker],MATCH(tblCalculation[[#This Row],[ISIN]],tblGetStaticData[ISIN],0))))</f>
        <v>DAIGR</v>
      </c>
      <c r="I203" s="7" t="str">
        <f>IF(tblBOneExport[[#This Row],[INSTRUMENT_TYPE]]="Forward Contract","Forward Contract",tblBOneExport[LEVEL2])</f>
        <v>Corporates</v>
      </c>
      <c r="J203" s="7" t="str">
        <f>IF(tblBOneExport[[#This Row],[INSTRUMENT_TYPE]]="Forward Contract","Forward Contract",tblBOneExport[[#This Row],[LEVEL3]])</f>
        <v>Industrials</v>
      </c>
      <c r="K203" s="7" t="str">
        <f>INDEX(tblLvl2Mapping[],MATCH(tblCalculation[[#This Row],[B1Level2]]&amp;"_"&amp;tblCalculation[[#This Row],[B1Level3]],tblLvl2Mapping[B1Level2_B1Level3],0),2)</f>
        <v>Corporate</v>
      </c>
      <c r="L203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03" s="7">
        <f>INDEX(tblAttributable[],MATCH(tblCalculation[[#This Row],[Level3]],tblAttributable[Level3],0),2)</f>
        <v>1</v>
      </c>
      <c r="N203" s="16">
        <f>tblBOneExport[[#This Row],[PTF_WEIGHT]]</f>
        <v>1.7611902E-3</v>
      </c>
      <c r="O203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8.8459313354087999E-4</v>
      </c>
      <c r="P203" s="48">
        <f>tblCalculation[[#This Row],[PtfDTS]]/SUM(tblCalculation[PtfDTS])</f>
        <v>1.072766282601692E-4</v>
      </c>
      <c r="Q203" s="16">
        <f>tblBOneExport[[#This Row],[PTF_CONTRIBUTION]]</f>
        <v>4.1895999999999997E-6</v>
      </c>
      <c r="R203" s="16">
        <f>tblCalculation[[#This Row],[PtfContributionBase]]-tblCalculation[[#This Row],[PtfCurrencyReturn]]</f>
        <v>4.1895999999999997E-6</v>
      </c>
      <c r="S203" s="16">
        <f>IF(tblBOneExport[[#This Row],[LEVEL1]]="Bonds",tblBOneExport[[#This Row],[PTF_GOV_CARRY]],"")</f>
        <v>3.185E-7</v>
      </c>
      <c r="T203" s="16">
        <f>tblCalculation[[#This Row],[FIAttributable]]*tblBOneExport[[#This Row],[PTF_CREDIT_CARRY]]</f>
        <v>1.0184000000000001E-6</v>
      </c>
      <c r="U203" s="16">
        <f>tblCalculation[[#This Row],[FIAttributable]]*tblBOneExport[[#This Row],[PTF_TOTAL_CURVE]]</f>
        <v>2.1169E-6</v>
      </c>
      <c r="V203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5.0259999999999996E-7</v>
      </c>
      <c r="W203" s="16">
        <f>IF(AND(tblCalculation[[#This Row],[Level3]]="Forward Contracts",tblBOneExport[[#This Row],[PTF_COST_OF_CARRY]]=0),tblBOneExport[[#This Row],[PTF_VALUATION]],0)</f>
        <v>0</v>
      </c>
      <c r="X203" s="16">
        <f>SUM(tblCalculation[[#This Row],[PtfTrading]:[PtfModelRes]])</f>
        <v>2.332E-7</v>
      </c>
      <c r="Y203" s="16">
        <f>tblCalculation[[#This Row],[FIAttributable]]*tblBOneExport[[#This Row],[PTF_TRADING]]</f>
        <v>0</v>
      </c>
      <c r="Z203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03" s="16">
        <f>tblCalculation[[#This Row],[FIAttributable]]*tblBOneExport[[#This Row],[PTF_MODEL_RESIDUAL]]-PTF_Credit_Adj*tblCalculation[[#This Row],[PtfDTSWeight]]</f>
        <v>2.332E-7</v>
      </c>
      <c r="AB203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03" s="16">
        <f>tblBOneExport[[#This Row],[BMK_WEIGHT]]</f>
        <v>0</v>
      </c>
      <c r="AD203" s="78">
        <f>tblCalculation[[#This Row],[FIAttributable]]*SUMIFS(tblDTS[DTSContribution_BM],tblDTS[ISIN],tblCalculation[[#This Row],[ISIN]])</f>
        <v>1.1675140257938548E-3</v>
      </c>
      <c r="AE203" s="16">
        <f>IF(SUM(tblCalculation[BMKDTS])=0,0,tblCalculation[[#This Row],[BMKDTS]]/SUM(tblCalculation[BMKDTS]))</f>
        <v>1.3875937011447451E-4</v>
      </c>
      <c r="AF203" s="16">
        <f>tblBOneExport[[#This Row],[BMK_CONTRIBUTION]]</f>
        <v>0</v>
      </c>
      <c r="AG203" s="16">
        <f>tblCalculation[[#This Row],[BMKContributionBase]]-tblBOneExport[BMK_SPOT_CCY_RETURN]-tblBOneExport[[#This Row],[BMK_CROSS_EFFECT]]</f>
        <v>0</v>
      </c>
      <c r="AH203" s="16">
        <f>tblCalculation[[#This Row],[FIAttributable]]*(tblBOneExport[[#This Row],[BMK_RETURN_GOV_CARRY]])</f>
        <v>0</v>
      </c>
      <c r="AI203" s="16">
        <f>tblCalculation[[#This Row],[FIAttributable]]*tblBOneExport[[#This Row],[BMK_CREDIT_CARRY]]</f>
        <v>0</v>
      </c>
      <c r="AJ203" s="16">
        <f>tblCalculation[[#This Row],[FIAttributable]]*tblBOneExport[[#This Row],[BMK_TOTAL_CURVE]]</f>
        <v>0</v>
      </c>
      <c r="AK203" s="16">
        <f>tblCalculation[[#This Row],[FIAttributable]]*(tblBOneExport[[#This Row],[BMK_TOTAL_SPREAD]]+BMK_Credit_Adj*tblCalculation[[#This Row],[BmkDTSWeight]])</f>
        <v>0</v>
      </c>
      <c r="AL203" s="16">
        <f>tblCalculation[[#This Row],[FIAttributable]]*tblBOneExport[[#This Row],[BMK_MODEL_RESIDUAL]]-BMK_Credit_Adj*tblCalculation[[#This Row],[BmkDTSWeight]]</f>
        <v>0</v>
      </c>
      <c r="AM203" s="16">
        <f>IF(tblCalculation[[#This Row],[Level3]]="Forward Contracts",tblCalculation[[#This Row],[BMKContributionLocal]],0)</f>
        <v>0</v>
      </c>
      <c r="AN203" s="16">
        <f>tblBOneExport[[#This Row],[BMK_SPOT_CCY_RETURN]]+tblBOneExport[[#This Row],[BMK_CROSS_EFFECT]]</f>
        <v>0</v>
      </c>
    </row>
    <row r="204" spans="5:40" x14ac:dyDescent="0.25">
      <c r="E204" s="7" t="str">
        <f>tblBOneExport[[#This Row],[INSTRUMENT_CODE]]</f>
        <v>BJ2SH03</v>
      </c>
      <c r="F204" s="7" t="str">
        <f>tblBOneExport[[#This Row],[INSTRUMENT]]</f>
        <v>VOLKSWAGEN FIN 2.625 22/07/19 EMTN</v>
      </c>
      <c r="G204" s="7" t="str">
        <f>IF(tblBOneExport[[#This Row],[ISIN]]&lt;&gt;"", tblBOneExport[[#This Row],[ISIN]],"")</f>
        <v>XS1017618783</v>
      </c>
      <c r="H204" s="7" t="str">
        <f>IF(tblCalculation[[#This Row],[B1Level2]]="CDS",tblBOneExport[[#This Row],[B1_TICKER]],IF(tblCalculation[[#This Row],[ISIN]]="","",INDEX(tblGetStaticData[Ticker],MATCH(tblCalculation[[#This Row],[ISIN]],tblGetStaticData[ISIN],0))))</f>
        <v>VW</v>
      </c>
      <c r="I204" s="7" t="str">
        <f>IF(tblBOneExport[[#This Row],[INSTRUMENT_TYPE]]="Forward Contract","Forward Contract",tblBOneExport[LEVEL2])</f>
        <v>Corporates</v>
      </c>
      <c r="J204" s="7" t="str">
        <f>IF(tblBOneExport[[#This Row],[INSTRUMENT_TYPE]]="Forward Contract","Forward Contract",tblBOneExport[[#This Row],[LEVEL3]])</f>
        <v>Industrials</v>
      </c>
      <c r="K204" s="7" t="str">
        <f>INDEX(tblLvl2Mapping[],MATCH(tblCalculation[[#This Row],[B1Level2]]&amp;"_"&amp;tblCalculation[[#This Row],[B1Level3]],tblLvl2Mapping[B1Level2_B1Level3],0),2)</f>
        <v>Corporate</v>
      </c>
      <c r="L204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04" s="7">
        <f>INDEX(tblAttributable[],MATCH(tblCalculation[[#This Row],[Level3]],tblAttributable[Level3],0),2)</f>
        <v>1</v>
      </c>
      <c r="N204" s="16">
        <f>tblBOneExport[[#This Row],[PTF_WEIGHT]]</f>
        <v>4.4020276000000004E-3</v>
      </c>
      <c r="O204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6.3816367268231386E-3</v>
      </c>
      <c r="P204" s="48">
        <f>tblCalculation[[#This Row],[PtfDTS]]/SUM(tblCalculation[PtfDTS])</f>
        <v>7.7391565102309396E-4</v>
      </c>
      <c r="Q204" s="16">
        <f>tblBOneExport[[#This Row],[PTF_CONTRIBUTION]]</f>
        <v>1.53482E-5</v>
      </c>
      <c r="R204" s="16">
        <f>tblCalculation[[#This Row],[PtfContributionBase]]-tblCalculation[[#This Row],[PtfCurrencyReturn]]</f>
        <v>1.53482E-5</v>
      </c>
      <c r="S204" s="16">
        <f>IF(tblBOneExport[[#This Row],[LEVEL1]]="Bonds",tblBOneExport[[#This Row],[PTF_GOV_CARRY]],"")</f>
        <v>7.9080000000000001E-7</v>
      </c>
      <c r="T204" s="16">
        <f>tblCalculation[[#This Row],[FIAttributable]]*tblBOneExport[[#This Row],[PTF_CREDIT_CARRY]]</f>
        <v>3.8218999999999998E-6</v>
      </c>
      <c r="U204" s="16">
        <f>tblCalculation[[#This Row],[FIAttributable]]*tblBOneExport[[#This Row],[PTF_TOTAL_CURVE]]</f>
        <v>8.1503000000000006E-6</v>
      </c>
      <c r="V204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2.4144999999999999E-6</v>
      </c>
      <c r="W204" s="16">
        <f>IF(AND(tblCalculation[[#This Row],[Level3]]="Forward Contracts",tblBOneExport[[#This Row],[PTF_COST_OF_CARRY]]=0),tblBOneExport[[#This Row],[PTF_VALUATION]],0)</f>
        <v>0</v>
      </c>
      <c r="X204" s="16">
        <f>SUM(tblCalculation[[#This Row],[PtfTrading]:[PtfModelRes]])</f>
        <v>1.7070000000000001E-7</v>
      </c>
      <c r="Y204" s="16">
        <f>tblCalculation[[#This Row],[FIAttributable]]*tblBOneExport[[#This Row],[PTF_TRADING]]</f>
        <v>0</v>
      </c>
      <c r="Z204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04" s="16">
        <f>tblCalculation[[#This Row],[FIAttributable]]*tblBOneExport[[#This Row],[PTF_MODEL_RESIDUAL]]-PTF_Credit_Adj*tblCalculation[[#This Row],[PtfDTSWeight]]</f>
        <v>1.7070000000000001E-7</v>
      </c>
      <c r="AB204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04" s="16">
        <f>tblBOneExport[[#This Row],[BMK_WEIGHT]]</f>
        <v>0</v>
      </c>
      <c r="AD204" s="78">
        <f>tblCalculation[[#This Row],[FIAttributable]]*SUMIFS(tblDTS[DTSContribution_BM],tblDTS[ISIN],tblCalculation[[#This Row],[ISIN]])</f>
        <v>8.423837009259855E-3</v>
      </c>
      <c r="AE204" s="16">
        <f>IF(SUM(tblCalculation[BMKDTS])=0,0,tblCalculation[[#This Row],[BMKDTS]]/SUM(tblCalculation[BMKDTS]))</f>
        <v>1.0011753962074319E-3</v>
      </c>
      <c r="AF204" s="16">
        <f>tblBOneExport[[#This Row],[BMK_CONTRIBUTION]]</f>
        <v>0</v>
      </c>
      <c r="AG204" s="16">
        <f>tblCalculation[[#This Row],[BMKContributionBase]]-tblBOneExport[BMK_SPOT_CCY_RETURN]-tblBOneExport[[#This Row],[BMK_CROSS_EFFECT]]</f>
        <v>0</v>
      </c>
      <c r="AH204" s="16">
        <f>tblCalculation[[#This Row],[FIAttributable]]*(tblBOneExport[[#This Row],[BMK_RETURN_GOV_CARRY]])</f>
        <v>0</v>
      </c>
      <c r="AI204" s="16">
        <f>tblCalculation[[#This Row],[FIAttributable]]*tblBOneExport[[#This Row],[BMK_CREDIT_CARRY]]</f>
        <v>0</v>
      </c>
      <c r="AJ204" s="16">
        <f>tblCalculation[[#This Row],[FIAttributable]]*tblBOneExport[[#This Row],[BMK_TOTAL_CURVE]]</f>
        <v>0</v>
      </c>
      <c r="AK204" s="16">
        <f>tblCalculation[[#This Row],[FIAttributable]]*(tblBOneExport[[#This Row],[BMK_TOTAL_SPREAD]]+BMK_Credit_Adj*tblCalculation[[#This Row],[BmkDTSWeight]])</f>
        <v>0</v>
      </c>
      <c r="AL204" s="16">
        <f>tblCalculation[[#This Row],[FIAttributable]]*tblBOneExport[[#This Row],[BMK_MODEL_RESIDUAL]]-BMK_Credit_Adj*tblCalculation[[#This Row],[BmkDTSWeight]]</f>
        <v>0</v>
      </c>
      <c r="AM204" s="16">
        <f>IF(tblCalculation[[#This Row],[Level3]]="Forward Contracts",tblCalculation[[#This Row],[BMKContributionLocal]],0)</f>
        <v>0</v>
      </c>
      <c r="AN204" s="16">
        <f>tblBOneExport[[#This Row],[BMK_SPOT_CCY_RETURN]]+tblBOneExport[[#This Row],[BMK_CROSS_EFFECT]]</f>
        <v>0</v>
      </c>
    </row>
    <row r="205" spans="5:40" x14ac:dyDescent="0.25">
      <c r="E205" s="7" t="str">
        <f>tblBOneExport[[#This Row],[INSTRUMENT_CODE]]</f>
        <v>BJ59714</v>
      </c>
      <c r="F205" s="7" t="str">
        <f>tblBOneExport[[#This Row],[INSTRUMENT]]</f>
        <v>EXPORT DEV CAN 1.875 17/12/18 EMTN</v>
      </c>
      <c r="G205" s="7" t="str">
        <f>IF(tblBOneExport[[#This Row],[ISIN]]&lt;&gt;"", tblBOneExport[[#This Row],[ISIN]],"")</f>
        <v>XS1019727046</v>
      </c>
      <c r="H205" s="7" t="str">
        <f>IF(tblCalculation[[#This Row],[B1Level2]]="CDS",tblBOneExport[[#This Row],[B1_TICKER]],IF(tblCalculation[[#This Row],[ISIN]]="","",INDEX(tblGetStaticData[Ticker],MATCH(tblCalculation[[#This Row],[ISIN]],tblGetStaticData[ISIN],0))))</f>
        <v>EDC</v>
      </c>
      <c r="I205" s="7" t="str">
        <f>IF(tblBOneExport[[#This Row],[INSTRUMENT_TYPE]]="Forward Contract","Forward Contract",tblBOneExport[LEVEL2])</f>
        <v>Non-Corporate</v>
      </c>
      <c r="J205" s="7" t="str">
        <f>IF(tblBOneExport[[#This Row],[INSTRUMENT_TYPE]]="Forward Contract","Forward Contract",tblBOneExport[[#This Row],[LEVEL3]])</f>
        <v>Foreign Agency</v>
      </c>
      <c r="K205" s="7" t="str">
        <f>INDEX(tblLvl2Mapping[],MATCH(tblCalculation[[#This Row],[B1Level2]]&amp;"_"&amp;tblCalculation[[#This Row],[B1Level3]],tblLvl2Mapping[B1Level2_B1Level3],0),2)</f>
        <v>Corporate</v>
      </c>
      <c r="L205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05" s="7">
        <f>INDEX(tblAttributable[],MATCH(tblCalculation[[#This Row],[Level3]],tblAttributable[Level3],0),2)</f>
        <v>1</v>
      </c>
      <c r="N205" s="16">
        <f>tblBOneExport[[#This Row],[PTF_WEIGHT]]</f>
        <v>2.265474E-3</v>
      </c>
      <c r="O205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5.9791566589479446E-4</v>
      </c>
      <c r="P205" s="48">
        <f>tblCalculation[[#This Row],[PtfDTS]]/SUM(tblCalculation[PtfDTS])</f>
        <v>7.2510597458942585E-5</v>
      </c>
      <c r="Q205" s="16">
        <f>tblBOneExport[[#This Row],[PTF_CONTRIBUTION]]</f>
        <v>4.6554000000000004E-6</v>
      </c>
      <c r="R205" s="16">
        <f>tblCalculation[[#This Row],[PtfContributionBase]]-tblCalculation[[#This Row],[PtfCurrencyReturn]]</f>
        <v>4.6554000000000004E-6</v>
      </c>
      <c r="S205" s="16">
        <f>IF(tblBOneExport[[#This Row],[LEVEL1]]="Bonds",tblBOneExport[[#This Row],[PTF_GOV_CARRY]],"")</f>
        <v>4.1329999999999998E-7</v>
      </c>
      <c r="T205" s="16">
        <f>tblCalculation[[#This Row],[FIAttributable]]*tblBOneExport[[#This Row],[PTF_CREDIT_CARRY]]</f>
        <v>4.679E-7</v>
      </c>
      <c r="U205" s="16">
        <f>tblCalculation[[#This Row],[FIAttributable]]*tblBOneExport[[#This Row],[PTF_TOTAL_CURVE]]</f>
        <v>3.9438999999999996E-6</v>
      </c>
      <c r="V205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-7.9300000000000002E-8</v>
      </c>
      <c r="W205" s="16">
        <f>IF(AND(tblCalculation[[#This Row],[Level3]]="Forward Contracts",tblBOneExport[[#This Row],[PTF_COST_OF_CARRY]]=0),tblBOneExport[[#This Row],[PTF_VALUATION]],0)</f>
        <v>0</v>
      </c>
      <c r="X205" s="16">
        <f>SUM(tblCalculation[[#This Row],[PtfTrading]:[PtfModelRes]])</f>
        <v>-9.0400000000000002E-8</v>
      </c>
      <c r="Y205" s="16">
        <f>tblCalculation[[#This Row],[FIAttributable]]*tblBOneExport[[#This Row],[PTF_TRADING]]</f>
        <v>0</v>
      </c>
      <c r="Z205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05" s="16">
        <f>tblCalculation[[#This Row],[FIAttributable]]*tblBOneExport[[#This Row],[PTF_MODEL_RESIDUAL]]-PTF_Credit_Adj*tblCalculation[[#This Row],[PtfDTSWeight]]</f>
        <v>-9.0400000000000002E-8</v>
      </c>
      <c r="AB205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05" s="16">
        <f>tblBOneExport[[#This Row],[BMK_WEIGHT]]</f>
        <v>0</v>
      </c>
      <c r="AD205" s="78">
        <f>tblCalculation[[#This Row],[FIAttributable]]*SUMIFS(tblDTS[DTSContribution_BM],tblDTS[ISIN],tblCalculation[[#This Row],[ISIN]])</f>
        <v>7.89198212136704E-4</v>
      </c>
      <c r="AE205" s="16">
        <f>IF(SUM(tblCalculation[BMKDTS])=0,0,tblCalculation[[#This Row],[BMKDTS]]/SUM(tblCalculation[BMKDTS]))</f>
        <v>9.379642932948728E-5</v>
      </c>
      <c r="AF205" s="16">
        <f>tblBOneExport[[#This Row],[BMK_CONTRIBUTION]]</f>
        <v>0</v>
      </c>
      <c r="AG205" s="16">
        <f>tblCalculation[[#This Row],[BMKContributionBase]]-tblBOneExport[BMK_SPOT_CCY_RETURN]-tblBOneExport[[#This Row],[BMK_CROSS_EFFECT]]</f>
        <v>0</v>
      </c>
      <c r="AH205" s="16">
        <f>tblCalculation[[#This Row],[FIAttributable]]*(tblBOneExport[[#This Row],[BMK_RETURN_GOV_CARRY]])</f>
        <v>0</v>
      </c>
      <c r="AI205" s="16">
        <f>tblCalculation[[#This Row],[FIAttributable]]*tblBOneExport[[#This Row],[BMK_CREDIT_CARRY]]</f>
        <v>0</v>
      </c>
      <c r="AJ205" s="16">
        <f>tblCalculation[[#This Row],[FIAttributable]]*tblBOneExport[[#This Row],[BMK_TOTAL_CURVE]]</f>
        <v>0</v>
      </c>
      <c r="AK205" s="16">
        <f>tblCalculation[[#This Row],[FIAttributable]]*(tblBOneExport[[#This Row],[BMK_TOTAL_SPREAD]]+BMK_Credit_Adj*tblCalculation[[#This Row],[BmkDTSWeight]])</f>
        <v>0</v>
      </c>
      <c r="AL205" s="16">
        <f>tblCalculation[[#This Row],[FIAttributable]]*tblBOneExport[[#This Row],[BMK_MODEL_RESIDUAL]]-BMK_Credit_Adj*tblCalculation[[#This Row],[BmkDTSWeight]]</f>
        <v>0</v>
      </c>
      <c r="AM205" s="16">
        <f>IF(tblCalculation[[#This Row],[Level3]]="Forward Contracts",tblCalculation[[#This Row],[BMKContributionLocal]],0)</f>
        <v>0</v>
      </c>
      <c r="AN205" s="16">
        <f>tblBOneExport[[#This Row],[BMK_SPOT_CCY_RETURN]]+tblBOneExport[[#This Row],[BMK_CROSS_EFFECT]]</f>
        <v>0</v>
      </c>
    </row>
    <row r="206" spans="5:40" x14ac:dyDescent="0.25">
      <c r="E206" s="7" t="str">
        <f>tblBOneExport[[#This Row],[INSTRUMENT_CODE]]</f>
        <v>BJMZGF2</v>
      </c>
      <c r="F206" s="7" t="str">
        <f>tblBOneExport[[#This Row],[INSTRUMENT]]</f>
        <v>COUNCIL OF EUROP 1.875 22/12/18 EMTN</v>
      </c>
      <c r="G206" s="7" t="str">
        <f>IF(tblBOneExport[[#This Row],[ISIN]]&lt;&gt;"", tblBOneExport[[#This Row],[ISIN]],"")</f>
        <v>XS1028901673</v>
      </c>
      <c r="H206" s="7" t="str">
        <f>IF(tblCalculation[[#This Row],[B1Level2]]="CDS",tblBOneExport[[#This Row],[B1_TICKER]],IF(tblCalculation[[#This Row],[ISIN]]="","",INDEX(tblGetStaticData[Ticker],MATCH(tblCalculation[[#This Row],[ISIN]],tblGetStaticData[ISIN],0))))</f>
        <v>COE</v>
      </c>
      <c r="I206" s="7" t="str">
        <f>IF(tblBOneExport[[#This Row],[INSTRUMENT_TYPE]]="Forward Contract","Forward Contract",tblBOneExport[LEVEL2])</f>
        <v>Non-Corporate</v>
      </c>
      <c r="J206" s="7" t="str">
        <f>IF(tblBOneExport[[#This Row],[INSTRUMENT_TYPE]]="Forward Contract","Forward Contract",tblBOneExport[[#This Row],[LEVEL3]])</f>
        <v>Supranationals</v>
      </c>
      <c r="K206" s="7" t="str">
        <f>INDEX(tblLvl2Mapping[],MATCH(tblCalculation[[#This Row],[B1Level2]]&amp;"_"&amp;tblCalculation[[#This Row],[B1Level3]],tblLvl2Mapping[B1Level2_B1Level3],0),2)</f>
        <v>Corporate</v>
      </c>
      <c r="L206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06" s="7">
        <f>INDEX(tblAttributable[],MATCH(tblCalculation[[#This Row],[Level3]],tblAttributable[Level3],0),2)</f>
        <v>1</v>
      </c>
      <c r="N206" s="16">
        <f>tblBOneExport[[#This Row],[PTF_WEIGHT]]</f>
        <v>1.787585E-3</v>
      </c>
      <c r="O206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4.7650401045330417E-4</v>
      </c>
      <c r="P206" s="48">
        <f>tblCalculation[[#This Row],[PtfDTS]]/SUM(tblCalculation[PtfDTS])</f>
        <v>5.7786728899039744E-5</v>
      </c>
      <c r="Q206" s="16">
        <f>tblBOneExport[[#This Row],[PTF_CONTRIBUTION]]</f>
        <v>3.7660999999999998E-6</v>
      </c>
      <c r="R206" s="16">
        <f>tblCalculation[[#This Row],[PtfContributionBase]]-tblCalculation[[#This Row],[PtfCurrencyReturn]]</f>
        <v>3.7660999999999998E-6</v>
      </c>
      <c r="S206" s="16">
        <f>IF(tblBOneExport[[#This Row],[LEVEL1]]="Bonds",tblBOneExport[[#This Row],[PTF_GOV_CARRY]],"")</f>
        <v>3.2599999999999998E-7</v>
      </c>
      <c r="T206" s="16">
        <f>tblCalculation[[#This Row],[FIAttributable]]*tblBOneExport[[#This Row],[PTF_CREDIT_CARRY]]</f>
        <v>4.129E-7</v>
      </c>
      <c r="U206" s="16">
        <f>tblCalculation[[#This Row],[FIAttributable]]*tblBOneExport[[#This Row],[PTF_TOTAL_CURVE]]</f>
        <v>3.1258000000000002E-6</v>
      </c>
      <c r="V206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-5.4399999999999997E-8</v>
      </c>
      <c r="W206" s="16">
        <f>IF(AND(tblCalculation[[#This Row],[Level3]]="Forward Contracts",tblBOneExport[[#This Row],[PTF_COST_OF_CARRY]]=0),tblBOneExport[[#This Row],[PTF_VALUATION]],0)</f>
        <v>0</v>
      </c>
      <c r="X206" s="16">
        <f>SUM(tblCalculation[[#This Row],[PtfTrading]:[PtfModelRes]])</f>
        <v>-4.4099999999999998E-8</v>
      </c>
      <c r="Y206" s="16">
        <f>tblCalculation[[#This Row],[FIAttributable]]*tblBOneExport[[#This Row],[PTF_TRADING]]</f>
        <v>0</v>
      </c>
      <c r="Z206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06" s="16">
        <f>tblCalculation[[#This Row],[FIAttributable]]*tblBOneExport[[#This Row],[PTF_MODEL_RESIDUAL]]-PTF_Credit_Adj*tblCalculation[[#This Row],[PtfDTSWeight]]</f>
        <v>-4.4099999999999998E-8</v>
      </c>
      <c r="AB206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06" s="16">
        <f>tblBOneExport[[#This Row],[BMK_WEIGHT]]</f>
        <v>0</v>
      </c>
      <c r="AD206" s="78">
        <f>tblCalculation[[#This Row],[FIAttributable]]*SUMIFS(tblDTS[DTSContribution_BM],tblDTS[ISIN],tblCalculation[[#This Row],[ISIN]])</f>
        <v>6.2884641014007388E-4</v>
      </c>
      <c r="AE206" s="16">
        <f>IF(SUM(tblCalculation[BMKDTS])=0,0,tblCalculation[[#This Row],[BMKDTS]]/SUM(tblCalculation[BMKDTS]))</f>
        <v>7.4738572592696336E-5</v>
      </c>
      <c r="AF206" s="16">
        <f>tblBOneExport[[#This Row],[BMK_CONTRIBUTION]]</f>
        <v>0</v>
      </c>
      <c r="AG206" s="16">
        <f>tblCalculation[[#This Row],[BMKContributionBase]]-tblBOneExport[BMK_SPOT_CCY_RETURN]-tblBOneExport[[#This Row],[BMK_CROSS_EFFECT]]</f>
        <v>0</v>
      </c>
      <c r="AH206" s="16">
        <f>tblCalculation[[#This Row],[FIAttributable]]*(tblBOneExport[[#This Row],[BMK_RETURN_GOV_CARRY]])</f>
        <v>0</v>
      </c>
      <c r="AI206" s="16">
        <f>tblCalculation[[#This Row],[FIAttributable]]*tblBOneExport[[#This Row],[BMK_CREDIT_CARRY]]</f>
        <v>0</v>
      </c>
      <c r="AJ206" s="16">
        <f>tblCalculation[[#This Row],[FIAttributable]]*tblBOneExport[[#This Row],[BMK_TOTAL_CURVE]]</f>
        <v>0</v>
      </c>
      <c r="AK206" s="16">
        <f>tblCalculation[[#This Row],[FIAttributable]]*(tblBOneExport[[#This Row],[BMK_TOTAL_SPREAD]]+BMK_Credit_Adj*tblCalculation[[#This Row],[BmkDTSWeight]])</f>
        <v>0</v>
      </c>
      <c r="AL206" s="16">
        <f>tblCalculation[[#This Row],[FIAttributable]]*tblBOneExport[[#This Row],[BMK_MODEL_RESIDUAL]]-BMK_Credit_Adj*tblCalculation[[#This Row],[BmkDTSWeight]]</f>
        <v>0</v>
      </c>
      <c r="AM206" s="16">
        <f>IF(tblCalculation[[#This Row],[Level3]]="Forward Contracts",tblCalculation[[#This Row],[BMKContributionLocal]],0)</f>
        <v>0</v>
      </c>
      <c r="AN206" s="16">
        <f>tblBOneExport[[#This Row],[BMK_SPOT_CCY_RETURN]]+tblBOneExport[[#This Row],[BMK_CROSS_EFFECT]]</f>
        <v>0</v>
      </c>
    </row>
    <row r="207" spans="5:40" x14ac:dyDescent="0.25">
      <c r="E207" s="7" t="str">
        <f>tblBOneExport[[#This Row],[INSTRUMENT_CODE]]</f>
        <v>BJT2T79</v>
      </c>
      <c r="F207" s="7" t="str">
        <f>tblBOneExport[[#This Row],[INSTRUMENT]]</f>
        <v>VERIZON COMM INC 4.75 17/02/34 EMTN</v>
      </c>
      <c r="G207" s="7" t="str">
        <f>IF(tblBOneExport[[#This Row],[ISIN]]&lt;&gt;"", tblBOneExport[[#This Row],[ISIN]],"")</f>
        <v>XS1030900325</v>
      </c>
      <c r="H207" s="7" t="str">
        <f>IF(tblCalculation[[#This Row],[B1Level2]]="CDS",tblBOneExport[[#This Row],[B1_TICKER]],IF(tblCalculation[[#This Row],[ISIN]]="","",INDEX(tblGetStaticData[Ticker],MATCH(tblCalculation[[#This Row],[ISIN]],tblGetStaticData[ISIN],0))))</f>
        <v>VZ</v>
      </c>
      <c r="I207" s="7" t="str">
        <f>IF(tblBOneExport[[#This Row],[INSTRUMENT_TYPE]]="Forward Contract","Forward Contract",tblBOneExport[LEVEL2])</f>
        <v>Corporates</v>
      </c>
      <c r="J207" s="7" t="str">
        <f>IF(tblBOneExport[[#This Row],[INSTRUMENT_TYPE]]="Forward Contract","Forward Contract",tblBOneExport[[#This Row],[LEVEL3]])</f>
        <v>Industrials</v>
      </c>
      <c r="K207" s="7" t="str">
        <f>INDEX(tblLvl2Mapping[],MATCH(tblCalculation[[#This Row],[B1Level2]]&amp;"_"&amp;tblCalculation[[#This Row],[B1Level3]],tblLvl2Mapping[B1Level2_B1Level3],0),2)</f>
        <v>Corporate</v>
      </c>
      <c r="L207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07" s="7">
        <f>INDEX(tblAttributable[],MATCH(tblCalculation[[#This Row],[Level3]],tblAttributable[Level3],0),2)</f>
        <v>1</v>
      </c>
      <c r="N207" s="16">
        <f>tblBOneExport[[#This Row],[PTF_WEIGHT]]</f>
        <v>6.7064055999999997E-3</v>
      </c>
      <c r="O207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0.15147092886335023</v>
      </c>
      <c r="P207" s="48">
        <f>tblCalculation[[#This Row],[PtfDTS]]/SUM(tblCalculation[PtfDTS])</f>
        <v>1.8369225253708373E-2</v>
      </c>
      <c r="Q207" s="16">
        <f>tblBOneExport[[#This Row],[PTF_CONTRIBUTION]]</f>
        <v>1.1957830000000001E-4</v>
      </c>
      <c r="R207" s="16">
        <f>tblCalculation[[#This Row],[PtfContributionBase]]-tblCalculation[[#This Row],[PtfCurrencyReturn]]</f>
        <v>1.1957830000000001E-4</v>
      </c>
      <c r="S207" s="16">
        <f>IF(tblBOneExport[[#This Row],[LEVEL1]]="Bonds",tblBOneExport[[#This Row],[PTF_GOV_CARRY]],"")</f>
        <v>8.5306999999999995E-6</v>
      </c>
      <c r="T207" s="16">
        <f>tblCalculation[[#This Row],[FIAttributable]]*tblBOneExport[[#This Row],[PTF_CREDIT_CARRY]]</f>
        <v>1.01265E-5</v>
      </c>
      <c r="U207" s="16">
        <f>tblCalculation[[#This Row],[FIAttributable]]*tblBOneExport[[#This Row],[PTF_TOTAL_CURVE]]</f>
        <v>1.1628449999999999E-4</v>
      </c>
      <c r="V207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-1.5435100000000001E-5</v>
      </c>
      <c r="W207" s="16">
        <f>IF(AND(tblCalculation[[#This Row],[Level3]]="Forward Contracts",tblBOneExport[[#This Row],[PTF_COST_OF_CARRY]]=0),tblBOneExport[[#This Row],[PTF_VALUATION]],0)</f>
        <v>0</v>
      </c>
      <c r="X207" s="16">
        <f>SUM(tblCalculation[[#This Row],[PtfTrading]:[PtfModelRes]])</f>
        <v>7.17E-8</v>
      </c>
      <c r="Y207" s="16">
        <f>tblCalculation[[#This Row],[FIAttributable]]*tblBOneExport[[#This Row],[PTF_TRADING]]</f>
        <v>0</v>
      </c>
      <c r="Z207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07" s="16">
        <f>tblCalculation[[#This Row],[FIAttributable]]*tblBOneExport[[#This Row],[PTF_MODEL_RESIDUAL]]-PTF_Credit_Adj*tblCalculation[[#This Row],[PtfDTSWeight]]</f>
        <v>7.17E-8</v>
      </c>
      <c r="AB207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07" s="16">
        <f>tblBOneExport[[#This Row],[BMK_WEIGHT]]</f>
        <v>0</v>
      </c>
      <c r="AD207" s="78">
        <f>tblCalculation[[#This Row],[FIAttributable]]*SUMIFS(tblDTS[DTSContribution_BM],tblDTS[ISIN],tblCalculation[[#This Row],[ISIN]])</f>
        <v>0.14160590050374297</v>
      </c>
      <c r="AE207" s="16">
        <f>IF(SUM(tblCalculation[BMKDTS])=0,0,tblCalculation[[#This Row],[BMKDTS]]/SUM(tblCalculation[BMKDTS]))</f>
        <v>1.6829901075519692E-2</v>
      </c>
      <c r="AF207" s="16">
        <f>tblBOneExport[[#This Row],[BMK_CONTRIBUTION]]</f>
        <v>0</v>
      </c>
      <c r="AG207" s="16">
        <f>tblCalculation[[#This Row],[BMKContributionBase]]-tblBOneExport[BMK_SPOT_CCY_RETURN]-tblBOneExport[[#This Row],[BMK_CROSS_EFFECT]]</f>
        <v>0</v>
      </c>
      <c r="AH207" s="16">
        <f>tblCalculation[[#This Row],[FIAttributable]]*(tblBOneExport[[#This Row],[BMK_RETURN_GOV_CARRY]])</f>
        <v>0</v>
      </c>
      <c r="AI207" s="16">
        <f>tblCalculation[[#This Row],[FIAttributable]]*tblBOneExport[[#This Row],[BMK_CREDIT_CARRY]]</f>
        <v>0</v>
      </c>
      <c r="AJ207" s="16">
        <f>tblCalculation[[#This Row],[FIAttributable]]*tblBOneExport[[#This Row],[BMK_TOTAL_CURVE]]</f>
        <v>0</v>
      </c>
      <c r="AK207" s="16">
        <f>tblCalculation[[#This Row],[FIAttributable]]*(tblBOneExport[[#This Row],[BMK_TOTAL_SPREAD]]+BMK_Credit_Adj*tblCalculation[[#This Row],[BmkDTSWeight]])</f>
        <v>0</v>
      </c>
      <c r="AL207" s="16">
        <f>tblCalculation[[#This Row],[FIAttributable]]*tblBOneExport[[#This Row],[BMK_MODEL_RESIDUAL]]-BMK_Credit_Adj*tblCalculation[[#This Row],[BmkDTSWeight]]</f>
        <v>0</v>
      </c>
      <c r="AM207" s="16">
        <f>IF(tblCalculation[[#This Row],[Level3]]="Forward Contracts",tblCalculation[[#This Row],[BMKContributionLocal]],0)</f>
        <v>0</v>
      </c>
      <c r="AN207" s="16">
        <f>tblBOneExport[[#This Row],[BMK_SPOT_CCY_RETURN]]+tblBOneExport[[#This Row],[BMK_CROSS_EFFECT]]</f>
        <v>0</v>
      </c>
    </row>
    <row r="208" spans="5:40" x14ac:dyDescent="0.25">
      <c r="E208" s="7" t="str">
        <f>tblBOneExport[[#This Row],[INSTRUMENT_CODE]]</f>
        <v>BJSPFP9</v>
      </c>
      <c r="F208" s="7" t="str">
        <f>tblBOneExport[[#This Row],[INSTRUMENT]]</f>
        <v>EXPERIAN FINANCE 3.5 15/10/21 EMTN</v>
      </c>
      <c r="G208" s="7" t="str">
        <f>IF(tblBOneExport[[#This Row],[ISIN]]&lt;&gt;"", tblBOneExport[[#This Row],[ISIN]],"")</f>
        <v>XS1030998469</v>
      </c>
      <c r="H208" s="7" t="str">
        <f>IF(tblCalculation[[#This Row],[B1Level2]]="CDS",tblBOneExport[[#This Row],[B1_TICKER]],IF(tblCalculation[[#This Row],[ISIN]]="","",INDEX(tblGetStaticData[Ticker],MATCH(tblCalculation[[#This Row],[ISIN]],tblGetStaticData[ISIN],0))))</f>
        <v>EXPNLN</v>
      </c>
      <c r="I208" s="7" t="str">
        <f>IF(tblBOneExport[[#This Row],[INSTRUMENT_TYPE]]="Forward Contract","Forward Contract",tblBOneExport[LEVEL2])</f>
        <v>Corporates</v>
      </c>
      <c r="J208" s="7" t="str">
        <f>IF(tblBOneExport[[#This Row],[INSTRUMENT_TYPE]]="Forward Contract","Forward Contract",tblBOneExport[[#This Row],[LEVEL3]])</f>
        <v>Industrials</v>
      </c>
      <c r="K208" s="7" t="str">
        <f>INDEX(tblLvl2Mapping[],MATCH(tblCalculation[[#This Row],[B1Level2]]&amp;"_"&amp;tblCalculation[[#This Row],[B1Level3]],tblLvl2Mapping[B1Level2_B1Level3],0),2)</f>
        <v>Corporate</v>
      </c>
      <c r="L208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08" s="7">
        <f>INDEX(tblAttributable[],MATCH(tblCalculation[[#This Row],[Level3]],tblAttributable[Level3],0),2)</f>
        <v>1</v>
      </c>
      <c r="N208" s="16">
        <f>tblBOneExport[[#This Row],[PTF_WEIGHT]]</f>
        <v>5.4547177000000002E-3</v>
      </c>
      <c r="O208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9.6823002032372513E-3</v>
      </c>
      <c r="P208" s="48">
        <f>tblCalculation[[#This Row],[PtfDTS]]/SUM(tblCalculation[PtfDTS])</f>
        <v>1.1741946440940153E-3</v>
      </c>
      <c r="Q208" s="16">
        <f>tblBOneExport[[#This Row],[PTF_CONTRIBUTION]]</f>
        <v>2.9212300000000002E-5</v>
      </c>
      <c r="R208" s="16">
        <f>tblCalculation[[#This Row],[PtfContributionBase]]-tblCalculation[[#This Row],[PtfCurrencyReturn]]</f>
        <v>2.9212300000000002E-5</v>
      </c>
      <c r="S208" s="16">
        <f>IF(tblBOneExport[[#This Row],[LEVEL1]]="Bonds",tblBOneExport[[#This Row],[PTF_GOV_CARRY]],"")</f>
        <v>1.3998999999999999E-6</v>
      </c>
      <c r="T208" s="16">
        <f>tblCalculation[[#This Row],[FIAttributable]]*tblBOneExport[[#This Row],[PTF_CREDIT_CARRY]]</f>
        <v>3.5677000000000002E-6</v>
      </c>
      <c r="U208" s="16">
        <f>tblCalculation[[#This Row],[FIAttributable]]*tblBOneExport[[#This Row],[PTF_TOTAL_CURVE]]</f>
        <v>2.5570100000000001E-5</v>
      </c>
      <c r="V208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-1.1294999999999999E-6</v>
      </c>
      <c r="W208" s="16">
        <f>IF(AND(tblCalculation[[#This Row],[Level3]]="Forward Contracts",tblBOneExport[[#This Row],[PTF_COST_OF_CARRY]]=0),tblBOneExport[[#This Row],[PTF_VALUATION]],0)</f>
        <v>0</v>
      </c>
      <c r="X208" s="16">
        <f>SUM(tblCalculation[[#This Row],[PtfTrading]:[PtfModelRes]])</f>
        <v>-1.9600000000000001E-7</v>
      </c>
      <c r="Y208" s="16">
        <f>tblCalculation[[#This Row],[FIAttributable]]*tblBOneExport[[#This Row],[PTF_TRADING]]</f>
        <v>0</v>
      </c>
      <c r="Z208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08" s="16">
        <f>tblCalculation[[#This Row],[FIAttributable]]*tblBOneExport[[#This Row],[PTF_MODEL_RESIDUAL]]-PTF_Credit_Adj*tblCalculation[[#This Row],[PtfDTSWeight]]</f>
        <v>-1.9600000000000001E-7</v>
      </c>
      <c r="AB208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08" s="16">
        <f>tblBOneExport[[#This Row],[BMK_WEIGHT]]</f>
        <v>0</v>
      </c>
      <c r="AD208" s="78">
        <f>tblCalculation[[#This Row],[FIAttributable]]*SUMIFS(tblDTS[DTSContribution_BM],tblDTS[ISIN],tblCalculation[[#This Row],[ISIN]])</f>
        <v>8.5196968108876454E-3</v>
      </c>
      <c r="AE208" s="16">
        <f>IF(SUM(tblCalculation[BMKDTS])=0,0,tblCalculation[[#This Row],[BMKDTS]]/SUM(tblCalculation[BMKDTS]))</f>
        <v>1.0125683605738567E-3</v>
      </c>
      <c r="AF208" s="16">
        <f>tblBOneExport[[#This Row],[BMK_CONTRIBUTION]]</f>
        <v>0</v>
      </c>
      <c r="AG208" s="16">
        <f>tblCalculation[[#This Row],[BMKContributionBase]]-tblBOneExport[BMK_SPOT_CCY_RETURN]-tblBOneExport[[#This Row],[BMK_CROSS_EFFECT]]</f>
        <v>0</v>
      </c>
      <c r="AH208" s="16">
        <f>tblCalculation[[#This Row],[FIAttributable]]*(tblBOneExport[[#This Row],[BMK_RETURN_GOV_CARRY]])</f>
        <v>0</v>
      </c>
      <c r="AI208" s="16">
        <f>tblCalculation[[#This Row],[FIAttributable]]*tblBOneExport[[#This Row],[BMK_CREDIT_CARRY]]</f>
        <v>0</v>
      </c>
      <c r="AJ208" s="16">
        <f>tblCalculation[[#This Row],[FIAttributable]]*tblBOneExport[[#This Row],[BMK_TOTAL_CURVE]]</f>
        <v>0</v>
      </c>
      <c r="AK208" s="16">
        <f>tblCalculation[[#This Row],[FIAttributable]]*(tblBOneExport[[#This Row],[BMK_TOTAL_SPREAD]]+BMK_Credit_Adj*tblCalculation[[#This Row],[BmkDTSWeight]])</f>
        <v>0</v>
      </c>
      <c r="AL208" s="16">
        <f>tblCalculation[[#This Row],[FIAttributable]]*tblBOneExport[[#This Row],[BMK_MODEL_RESIDUAL]]-BMK_Credit_Adj*tblCalculation[[#This Row],[BmkDTSWeight]]</f>
        <v>0</v>
      </c>
      <c r="AM208" s="16">
        <f>IF(tblCalculation[[#This Row],[Level3]]="Forward Contracts",tblCalculation[[#This Row],[BMKContributionLocal]],0)</f>
        <v>0</v>
      </c>
      <c r="AN208" s="16">
        <f>tblBOneExport[[#This Row],[BMK_SPOT_CCY_RETURN]]+tblBOneExport[[#This Row],[BMK_CROSS_EFFECT]]</f>
        <v>0</v>
      </c>
    </row>
    <row r="209" spans="5:40" x14ac:dyDescent="0.25">
      <c r="E209" s="7" t="str">
        <f>tblBOneExport[[#This Row],[INSTRUMENT_CODE]]</f>
        <v>BJT0F42</v>
      </c>
      <c r="F209" s="7" t="str">
        <f>tblBOneExport[[#This Row],[INSTRUMENT]]</f>
        <v>SWEDISH EXP CRED 1.875 21/12/18 EMTN</v>
      </c>
      <c r="G209" s="7" t="str">
        <f>IF(tblBOneExport[[#This Row],[ISIN]]&lt;&gt;"", tblBOneExport[[#This Row],[ISIN]],"")</f>
        <v>XS1031020495</v>
      </c>
      <c r="H209" s="7" t="str">
        <f>IF(tblCalculation[[#This Row],[B1Level2]]="CDS",tblBOneExport[[#This Row],[B1_TICKER]],IF(tblCalculation[[#This Row],[ISIN]]="","",INDEX(tblGetStaticData[Ticker],MATCH(tblCalculation[[#This Row],[ISIN]],tblGetStaticData[ISIN],0))))</f>
        <v>SEK</v>
      </c>
      <c r="I209" s="7" t="str">
        <f>IF(tblBOneExport[[#This Row],[INSTRUMENT_TYPE]]="Forward Contract","Forward Contract",tblBOneExport[LEVEL2])</f>
        <v>Non-Corporate</v>
      </c>
      <c r="J209" s="7" t="str">
        <f>IF(tblBOneExport[[#This Row],[INSTRUMENT_TYPE]]="Forward Contract","Forward Contract",tblBOneExport[[#This Row],[LEVEL3]])</f>
        <v>Foreign Agency</v>
      </c>
      <c r="K209" s="7" t="str">
        <f>INDEX(tblLvl2Mapping[],MATCH(tblCalculation[[#This Row],[B1Level2]]&amp;"_"&amp;tblCalculation[[#This Row],[B1Level3]],tblLvl2Mapping[B1Level2_B1Level3],0),2)</f>
        <v>Corporate</v>
      </c>
      <c r="L209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09" s="7">
        <f>INDEX(tblAttributable[],MATCH(tblCalculation[[#This Row],[Level3]],tblAttributable[Level3],0),2)</f>
        <v>1</v>
      </c>
      <c r="N209" s="16">
        <f>tblBOneExport[[#This Row],[PTF_WEIGHT]]</f>
        <v>1.7869095999999999E-3</v>
      </c>
      <c r="O209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4.7523037709258718E-4</v>
      </c>
      <c r="P209" s="48">
        <f>tblCalculation[[#This Row],[PtfDTS]]/SUM(tblCalculation[PtfDTS])</f>
        <v>5.7632272474501972E-5</v>
      </c>
      <c r="Q209" s="16">
        <f>tblBOneExport[[#This Row],[PTF_CONTRIBUTION]]</f>
        <v>4.0813999999999996E-6</v>
      </c>
      <c r="R209" s="16">
        <f>tblCalculation[[#This Row],[PtfContributionBase]]-tblCalculation[[#This Row],[PtfCurrencyReturn]]</f>
        <v>4.0813999999999996E-6</v>
      </c>
      <c r="S209" s="16">
        <f>IF(tblBOneExport[[#This Row],[LEVEL1]]="Bonds",tblBOneExport[[#This Row],[PTF_GOV_CARRY]],"")</f>
        <v>3.2580000000000002E-7</v>
      </c>
      <c r="T209" s="16">
        <f>tblCalculation[[#This Row],[FIAttributable]]*tblBOneExport[[#This Row],[PTF_CREDIT_CARRY]]</f>
        <v>4.623E-7</v>
      </c>
      <c r="U209" s="16">
        <f>tblCalculation[[#This Row],[FIAttributable]]*tblBOneExport[[#This Row],[PTF_TOTAL_CURVE]]</f>
        <v>3.1199E-6</v>
      </c>
      <c r="V209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2.1089999999999999E-7</v>
      </c>
      <c r="W209" s="16">
        <f>IF(AND(tblCalculation[[#This Row],[Level3]]="Forward Contracts",tblBOneExport[[#This Row],[PTF_COST_OF_CARRY]]=0),tblBOneExport[[#This Row],[PTF_VALUATION]],0)</f>
        <v>0</v>
      </c>
      <c r="X209" s="16">
        <f>SUM(tblCalculation[[#This Row],[PtfTrading]:[PtfModelRes]])</f>
        <v>-3.7399999999999997E-8</v>
      </c>
      <c r="Y209" s="16">
        <f>tblCalculation[[#This Row],[FIAttributable]]*tblBOneExport[[#This Row],[PTF_TRADING]]</f>
        <v>0</v>
      </c>
      <c r="Z209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09" s="16">
        <f>tblCalculation[[#This Row],[FIAttributable]]*tblBOneExport[[#This Row],[PTF_MODEL_RESIDUAL]]-PTF_Credit_Adj*tblCalculation[[#This Row],[PtfDTSWeight]]</f>
        <v>-3.7399999999999997E-8</v>
      </c>
      <c r="AB209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09" s="16">
        <f>tblBOneExport[[#This Row],[BMK_WEIGHT]]</f>
        <v>0</v>
      </c>
      <c r="AD209" s="78">
        <f>tblCalculation[[#This Row],[FIAttributable]]*SUMIFS(tblDTS[DTSContribution_BM],tblDTS[ISIN],tblCalculation[[#This Row],[ISIN]])</f>
        <v>6.2719324714319128E-4</v>
      </c>
      <c r="AE209" s="16">
        <f>IF(SUM(tblCalculation[BMKDTS])=0,0,tblCalculation[[#This Row],[BMKDTS]]/SUM(tblCalculation[BMKDTS]))</f>
        <v>7.4542093705868388E-5</v>
      </c>
      <c r="AF209" s="16">
        <f>tblBOneExport[[#This Row],[BMK_CONTRIBUTION]]</f>
        <v>0</v>
      </c>
      <c r="AG209" s="16">
        <f>tblCalculation[[#This Row],[BMKContributionBase]]-tblBOneExport[BMK_SPOT_CCY_RETURN]-tblBOneExport[[#This Row],[BMK_CROSS_EFFECT]]</f>
        <v>0</v>
      </c>
      <c r="AH209" s="16">
        <f>tblCalculation[[#This Row],[FIAttributable]]*(tblBOneExport[[#This Row],[BMK_RETURN_GOV_CARRY]])</f>
        <v>0</v>
      </c>
      <c r="AI209" s="16">
        <f>tblCalculation[[#This Row],[FIAttributable]]*tblBOneExport[[#This Row],[BMK_CREDIT_CARRY]]</f>
        <v>0</v>
      </c>
      <c r="AJ209" s="16">
        <f>tblCalculation[[#This Row],[FIAttributable]]*tblBOneExport[[#This Row],[BMK_TOTAL_CURVE]]</f>
        <v>0</v>
      </c>
      <c r="AK209" s="16">
        <f>tblCalculation[[#This Row],[FIAttributable]]*(tblBOneExport[[#This Row],[BMK_TOTAL_SPREAD]]+BMK_Credit_Adj*tblCalculation[[#This Row],[BmkDTSWeight]])</f>
        <v>0</v>
      </c>
      <c r="AL209" s="16">
        <f>tblCalculation[[#This Row],[FIAttributable]]*tblBOneExport[[#This Row],[BMK_MODEL_RESIDUAL]]-BMK_Credit_Adj*tblCalculation[[#This Row],[BmkDTSWeight]]</f>
        <v>0</v>
      </c>
      <c r="AM209" s="16">
        <f>IF(tblCalculation[[#This Row],[Level3]]="Forward Contracts",tblCalculation[[#This Row],[BMKContributionLocal]],0)</f>
        <v>0</v>
      </c>
      <c r="AN209" s="16">
        <f>tblBOneExport[[#This Row],[BMK_SPOT_CCY_RETURN]]+tblBOneExport[[#This Row],[BMK_CROSS_EFFECT]]</f>
        <v>0</v>
      </c>
    </row>
    <row r="210" spans="5:40" x14ac:dyDescent="0.25">
      <c r="E210" s="7" t="str">
        <f>tblBOneExport[[#This Row],[INSTRUMENT_CODE]]</f>
        <v>BJTMRG4</v>
      </c>
      <c r="F210" s="7" t="str">
        <f>tblBOneExport[[#This Row],[INSTRUMENT]]</f>
        <v>MANCHESTER AGF 4.75 31/03/34 EMTN</v>
      </c>
      <c r="G210" s="7" t="str">
        <f>IF(tblBOneExport[[#This Row],[ISIN]]&lt;&gt;"", tblBOneExport[[#This Row],[ISIN]],"")</f>
        <v>XS1032630771</v>
      </c>
      <c r="H210" s="7" t="str">
        <f>IF(tblCalculation[[#This Row],[B1Level2]]="CDS",tblBOneExport[[#This Row],[B1_TICKER]],IF(tblCalculation[[#This Row],[ISIN]]="","",INDEX(tblGetStaticData[Ticker],MATCH(tblCalculation[[#This Row],[ISIN]],tblGetStaticData[ISIN],0))))</f>
        <v>MAGAIR</v>
      </c>
      <c r="I210" s="7" t="str">
        <f>IF(tblBOneExport[[#This Row],[INSTRUMENT_TYPE]]="Forward Contract","Forward Contract",tblBOneExport[LEVEL2])</f>
        <v>Corporates</v>
      </c>
      <c r="J210" s="7" t="str">
        <f>IF(tblBOneExport[[#This Row],[INSTRUMENT_TYPE]]="Forward Contract","Forward Contract",tblBOneExport[[#This Row],[LEVEL3]])</f>
        <v>Industrials</v>
      </c>
      <c r="K210" s="7" t="str">
        <f>INDEX(tblLvl2Mapping[],MATCH(tblCalculation[[#This Row],[B1Level2]]&amp;"_"&amp;tblCalculation[[#This Row],[B1Level3]],tblLvl2Mapping[B1Level2_B1Level3],0),2)</f>
        <v>Corporate</v>
      </c>
      <c r="L210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10" s="7">
        <f>INDEX(tblAttributable[],MATCH(tblCalculation[[#This Row],[Level3]],tblAttributable[Level3],0),2)</f>
        <v>1</v>
      </c>
      <c r="N210" s="16">
        <f>tblBOneExport[[#This Row],[PTF_WEIGHT]]</f>
        <v>5.7375563000000001E-3</v>
      </c>
      <c r="O210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8.8275164434657327E-2</v>
      </c>
      <c r="P210" s="48">
        <f>tblCalculation[[#This Row],[PtfDTS]]/SUM(tblCalculation[PtfDTS])</f>
        <v>1.0705330666264334E-2</v>
      </c>
      <c r="Q210" s="16">
        <f>tblBOneExport[[#This Row],[PTF_CONTRIBUTION]]</f>
        <v>1.289021E-4</v>
      </c>
      <c r="R210" s="16">
        <f>tblCalculation[[#This Row],[PtfContributionBase]]-tblCalculation[[#This Row],[PtfCurrencyReturn]]</f>
        <v>1.289021E-4</v>
      </c>
      <c r="S210" s="16">
        <f>IF(tblBOneExport[[#This Row],[LEVEL1]]="Bonds",tblBOneExport[[#This Row],[PTF_GOV_CARRY]],"")</f>
        <v>7.3647E-6</v>
      </c>
      <c r="T210" s="16">
        <f>tblCalculation[[#This Row],[FIAttributable]]*tblBOneExport[[#This Row],[PTF_CREDIT_CARRY]]</f>
        <v>5.4593999999999998E-6</v>
      </c>
      <c r="U210" s="16">
        <f>tblCalculation[[#This Row],[FIAttributable]]*tblBOneExport[[#This Row],[PTF_TOTAL_CURVE]]</f>
        <v>1.010436E-4</v>
      </c>
      <c r="V210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1.21411E-5</v>
      </c>
      <c r="W210" s="16">
        <f>IF(AND(tblCalculation[[#This Row],[Level3]]="Forward Contracts",tblBOneExport[[#This Row],[PTF_COST_OF_CARRY]]=0),tblBOneExport[[#This Row],[PTF_VALUATION]],0)</f>
        <v>0</v>
      </c>
      <c r="X210" s="16">
        <f>SUM(tblCalculation[[#This Row],[PtfTrading]:[PtfModelRes]])</f>
        <v>2.8934000000000001E-6</v>
      </c>
      <c r="Y210" s="16">
        <f>tblCalculation[[#This Row],[FIAttributable]]*tblBOneExport[[#This Row],[PTF_TRADING]]</f>
        <v>0</v>
      </c>
      <c r="Z210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10" s="16">
        <f>tblCalculation[[#This Row],[FIAttributable]]*tblBOneExport[[#This Row],[PTF_MODEL_RESIDUAL]]-PTF_Credit_Adj*tblCalculation[[#This Row],[PtfDTSWeight]]</f>
        <v>2.8934000000000001E-6</v>
      </c>
      <c r="AB210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10" s="16">
        <f>tblBOneExport[[#This Row],[BMK_WEIGHT]]</f>
        <v>0</v>
      </c>
      <c r="AD210" s="78">
        <f>tblCalculation[[#This Row],[FIAttributable]]*SUMIFS(tblDTS[DTSContribution_BM],tblDTS[ISIN],tblCalculation[[#This Row],[ISIN]])</f>
        <v>9.7909188878393394E-2</v>
      </c>
      <c r="AE210" s="16">
        <f>IF(SUM(tblCalculation[BMKDTS])=0,0,tblCalculation[[#This Row],[BMKDTS]]/SUM(tblCalculation[BMKDTS]))</f>
        <v>1.163653461717281E-2</v>
      </c>
      <c r="AF210" s="16">
        <f>tblBOneExport[[#This Row],[BMK_CONTRIBUTION]]</f>
        <v>0</v>
      </c>
      <c r="AG210" s="16">
        <f>tblCalculation[[#This Row],[BMKContributionBase]]-tblBOneExport[BMK_SPOT_CCY_RETURN]-tblBOneExport[[#This Row],[BMK_CROSS_EFFECT]]</f>
        <v>0</v>
      </c>
      <c r="AH210" s="16">
        <f>tblCalculation[[#This Row],[FIAttributable]]*(tblBOneExport[[#This Row],[BMK_RETURN_GOV_CARRY]])</f>
        <v>0</v>
      </c>
      <c r="AI210" s="16">
        <f>tblCalculation[[#This Row],[FIAttributable]]*tblBOneExport[[#This Row],[BMK_CREDIT_CARRY]]</f>
        <v>0</v>
      </c>
      <c r="AJ210" s="16">
        <f>tblCalculation[[#This Row],[FIAttributable]]*tblBOneExport[[#This Row],[BMK_TOTAL_CURVE]]</f>
        <v>0</v>
      </c>
      <c r="AK210" s="16">
        <f>tblCalculation[[#This Row],[FIAttributable]]*(tblBOneExport[[#This Row],[BMK_TOTAL_SPREAD]]+BMK_Credit_Adj*tblCalculation[[#This Row],[BmkDTSWeight]])</f>
        <v>0</v>
      </c>
      <c r="AL210" s="16">
        <f>tblCalculation[[#This Row],[FIAttributable]]*tblBOneExport[[#This Row],[BMK_MODEL_RESIDUAL]]-BMK_Credit_Adj*tblCalculation[[#This Row],[BmkDTSWeight]]</f>
        <v>0</v>
      </c>
      <c r="AM210" s="16">
        <f>IF(tblCalculation[[#This Row],[Level3]]="Forward Contracts",tblCalculation[[#This Row],[BMKContributionLocal]],0)</f>
        <v>0</v>
      </c>
      <c r="AN210" s="16">
        <f>tblBOneExport[[#This Row],[BMK_SPOT_CCY_RETURN]]+tblBOneExport[[#This Row],[BMK_CROSS_EFFECT]]</f>
        <v>0</v>
      </c>
    </row>
    <row r="211" spans="5:40" x14ac:dyDescent="0.25">
      <c r="E211" s="7" t="str">
        <f>tblBOneExport[[#This Row],[INSTRUMENT_CODE]]</f>
        <v>BKRTYB8</v>
      </c>
      <c r="F211" s="7" t="str">
        <f>tblBOneExport[[#This Row],[INSTRUMENT]]</f>
        <v>TFL 4 07/04/64 EMTN</v>
      </c>
      <c r="G211" s="7" t="str">
        <f>IF(tblBOneExport[[#This Row],[ISIN]]&lt;&gt;"", tblBOneExport[[#This Row],[ISIN]],"")</f>
        <v>XS1045127393</v>
      </c>
      <c r="H211" s="7" t="str">
        <f>IF(tblCalculation[[#This Row],[B1Level2]]="CDS",tblBOneExport[[#This Row],[B1_TICKER]],IF(tblCalculation[[#This Row],[ISIN]]="","",INDEX(tblGetStaticData[Ticker],MATCH(tblCalculation[[#This Row],[ISIN]],tblGetStaticData[ISIN],0))))</f>
        <v>TRANLN</v>
      </c>
      <c r="I211" s="7" t="str">
        <f>IF(tblBOneExport[[#This Row],[INSTRUMENT_TYPE]]="Forward Contract","Forward Contract",tblBOneExport[LEVEL2])</f>
        <v>Non-Corporate</v>
      </c>
      <c r="J211" s="7" t="str">
        <f>IF(tblBOneExport[[#This Row],[INSTRUMENT_TYPE]]="Forward Contract","Forward Contract",tblBOneExport[[#This Row],[LEVEL3]])</f>
        <v>Foreign Agency</v>
      </c>
      <c r="K211" s="7" t="str">
        <f>INDEX(tblLvl2Mapping[],MATCH(tblCalculation[[#This Row],[B1Level2]]&amp;"_"&amp;tblCalculation[[#This Row],[B1Level3]],tblLvl2Mapping[B1Level2_B1Level3],0),2)</f>
        <v>Corporate</v>
      </c>
      <c r="L211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11" s="7">
        <f>INDEX(tblAttributable[],MATCH(tblCalculation[[#This Row],[Level3]],tblAttributable[Level3],0),2)</f>
        <v>1</v>
      </c>
      <c r="N211" s="16">
        <f>tblBOneExport[[#This Row],[PTF_WEIGHT]]</f>
        <v>2.6653711000000002E-3</v>
      </c>
      <c r="O211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5.5468973745789435E-2</v>
      </c>
      <c r="P211" s="48">
        <f>tblCalculation[[#This Row],[PtfDTS]]/SUM(tblCalculation[PtfDTS])</f>
        <v>6.7268490460480664E-3</v>
      </c>
      <c r="Q211" s="16">
        <f>tblBOneExport[[#This Row],[PTF_CONTRIBUTION]]</f>
        <v>1.162388E-4</v>
      </c>
      <c r="R211" s="16">
        <f>tblCalculation[[#This Row],[PtfContributionBase]]-tblCalculation[[#This Row],[PtfCurrencyReturn]]</f>
        <v>1.162388E-4</v>
      </c>
      <c r="S211" s="16">
        <f>IF(tblBOneExport[[#This Row],[LEVEL1]]="Bonds",tblBOneExport[[#This Row],[PTF_GOV_CARRY]],"")</f>
        <v>3.6128E-6</v>
      </c>
      <c r="T211" s="16">
        <f>tblCalculation[[#This Row],[FIAttributable]]*tblBOneExport[[#This Row],[PTF_CREDIT_CARRY]]</f>
        <v>1.4078000000000001E-6</v>
      </c>
      <c r="U211" s="16">
        <f>tblCalculation[[#This Row],[FIAttributable]]*tblBOneExport[[#This Row],[PTF_TOTAL_CURVE]]</f>
        <v>1.057826E-4</v>
      </c>
      <c r="V211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3.9474999999999999E-6</v>
      </c>
      <c r="W211" s="16">
        <f>IF(AND(tblCalculation[[#This Row],[Level3]]="Forward Contracts",tblBOneExport[[#This Row],[PTF_COST_OF_CARRY]]=0),tblBOneExport[[#This Row],[PTF_VALUATION]],0)</f>
        <v>0</v>
      </c>
      <c r="X211" s="16">
        <f>SUM(tblCalculation[[#This Row],[PtfTrading]:[PtfModelRes]])</f>
        <v>1.4881E-6</v>
      </c>
      <c r="Y211" s="16">
        <f>tblCalculation[[#This Row],[FIAttributable]]*tblBOneExport[[#This Row],[PTF_TRADING]]</f>
        <v>0</v>
      </c>
      <c r="Z211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11" s="16">
        <f>tblCalculation[[#This Row],[FIAttributable]]*tblBOneExport[[#This Row],[PTF_MODEL_RESIDUAL]]-PTF_Credit_Adj*tblCalculation[[#This Row],[PtfDTSWeight]]</f>
        <v>1.4881E-6</v>
      </c>
      <c r="AB211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11" s="16">
        <f>tblBOneExport[[#This Row],[BMK_WEIGHT]]</f>
        <v>0</v>
      </c>
      <c r="AD211" s="78">
        <f>tblCalculation[[#This Row],[FIAttributable]]*SUMIFS(tblDTS[DTSContribution_BM],tblDTS[ISIN],tblCalculation[[#This Row],[ISIN]])</f>
        <v>7.3213138288327928E-2</v>
      </c>
      <c r="AE211" s="16">
        <f>IF(SUM(tblCalculation[BMKDTS])=0,0,tblCalculation[[#This Row],[BMKDTS]]/SUM(tblCalculation[BMKDTS]))</f>
        <v>8.7014020633153846E-3</v>
      </c>
      <c r="AF211" s="16">
        <f>tblBOneExport[[#This Row],[BMK_CONTRIBUTION]]</f>
        <v>0</v>
      </c>
      <c r="AG211" s="16">
        <f>tblCalculation[[#This Row],[BMKContributionBase]]-tblBOneExport[BMK_SPOT_CCY_RETURN]-tblBOneExport[[#This Row],[BMK_CROSS_EFFECT]]</f>
        <v>0</v>
      </c>
      <c r="AH211" s="16">
        <f>tblCalculation[[#This Row],[FIAttributable]]*(tblBOneExport[[#This Row],[BMK_RETURN_GOV_CARRY]])</f>
        <v>0</v>
      </c>
      <c r="AI211" s="16">
        <f>tblCalculation[[#This Row],[FIAttributable]]*tblBOneExport[[#This Row],[BMK_CREDIT_CARRY]]</f>
        <v>0</v>
      </c>
      <c r="AJ211" s="16">
        <f>tblCalculation[[#This Row],[FIAttributable]]*tblBOneExport[[#This Row],[BMK_TOTAL_CURVE]]</f>
        <v>0</v>
      </c>
      <c r="AK211" s="16">
        <f>tblCalculation[[#This Row],[FIAttributable]]*(tblBOneExport[[#This Row],[BMK_TOTAL_SPREAD]]+BMK_Credit_Adj*tblCalculation[[#This Row],[BmkDTSWeight]])</f>
        <v>0</v>
      </c>
      <c r="AL211" s="16">
        <f>tblCalculation[[#This Row],[FIAttributable]]*tblBOneExport[[#This Row],[BMK_MODEL_RESIDUAL]]-BMK_Credit_Adj*tblCalculation[[#This Row],[BmkDTSWeight]]</f>
        <v>0</v>
      </c>
      <c r="AM211" s="16">
        <f>IF(tblCalculation[[#This Row],[Level3]]="Forward Contracts",tblCalculation[[#This Row],[BMKContributionLocal]],0)</f>
        <v>0</v>
      </c>
      <c r="AN211" s="16">
        <f>tblBOneExport[[#This Row],[BMK_SPOT_CCY_RETURN]]+tblBOneExport[[#This Row],[BMK_CROSS_EFFECT]]</f>
        <v>0</v>
      </c>
    </row>
    <row r="212" spans="5:40" x14ac:dyDescent="0.25">
      <c r="E212" s="7" t="str">
        <f>tblBOneExport[[#This Row],[INSTRUMENT_CODE]]</f>
        <v>BKXNHR1</v>
      </c>
      <c r="F212" s="7" t="str">
        <f>tblBOneExport[[#This Row],[INSTRUMENT]]</f>
        <v>GATWICK FND LTD 4.625 27/03/34 EMTN</v>
      </c>
      <c r="G212" s="7" t="str">
        <f>IF(tblBOneExport[[#This Row],[ISIN]]&lt;&gt;"", tblBOneExport[[#This Row],[ISIN]],"")</f>
        <v>XS1047788523</v>
      </c>
      <c r="H212" s="7" t="str">
        <f>IF(tblCalculation[[#This Row],[B1Level2]]="CDS",tblBOneExport[[#This Row],[B1_TICKER]],IF(tblCalculation[[#This Row],[ISIN]]="","",INDEX(tblGetStaticData[Ticker],MATCH(tblCalculation[[#This Row],[ISIN]],tblGetStaticData[ISIN],0))))</f>
        <v>GATAIR</v>
      </c>
      <c r="I212" s="7" t="str">
        <f>IF(tblBOneExport[[#This Row],[INSTRUMENT_TYPE]]="Forward Contract","Forward Contract",tblBOneExport[LEVEL2])</f>
        <v>Corporates</v>
      </c>
      <c r="J212" s="7" t="str">
        <f>IF(tblBOneExport[[#This Row],[INSTRUMENT_TYPE]]="Forward Contract","Forward Contract",tblBOneExport[[#This Row],[LEVEL3]])</f>
        <v>Industrials</v>
      </c>
      <c r="K212" s="7" t="str">
        <f>INDEX(tblLvl2Mapping[],MATCH(tblCalculation[[#This Row],[B1Level2]]&amp;"_"&amp;tblCalculation[[#This Row],[B1Level3]],tblLvl2Mapping[B1Level2_B1Level3],0),2)</f>
        <v>Corporate</v>
      </c>
      <c r="L212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12" s="7">
        <f>INDEX(tblAttributable[],MATCH(tblCalculation[[#This Row],[Level3]],tblAttributable[Level3],0),2)</f>
        <v>1</v>
      </c>
      <c r="N212" s="16">
        <f>tblBOneExport[[#This Row],[PTF_WEIGHT]]</f>
        <v>2.4965736E-3</v>
      </c>
      <c r="O212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4.1152594310303152E-2</v>
      </c>
      <c r="P212" s="48">
        <f>tblCalculation[[#This Row],[PtfDTS]]/SUM(tblCalculation[PtfDTS])</f>
        <v>4.9906690368447526E-3</v>
      </c>
      <c r="Q212" s="16">
        <f>tblBOneExport[[#This Row],[PTF_CONTRIBUTION]]</f>
        <v>5.0153700000000001E-5</v>
      </c>
      <c r="R212" s="16">
        <f>tblCalculation[[#This Row],[PtfContributionBase]]-tblCalculation[[#This Row],[PtfCurrencyReturn]]</f>
        <v>5.0153700000000001E-5</v>
      </c>
      <c r="S212" s="16">
        <f>IF(tblBOneExport[[#This Row],[LEVEL1]]="Bonds",tblBOneExport[[#This Row],[PTF_GOV_CARRY]],"")</f>
        <v>3.2007000000000001E-6</v>
      </c>
      <c r="T212" s="16">
        <f>tblCalculation[[#This Row],[FIAttributable]]*tblBOneExport[[#This Row],[PTF_CREDIT_CARRY]]</f>
        <v>2.5795E-6</v>
      </c>
      <c r="U212" s="16">
        <f>tblCalculation[[#This Row],[FIAttributable]]*tblBOneExport[[#This Row],[PTF_TOTAL_CURVE]]</f>
        <v>4.4083499999999999E-5</v>
      </c>
      <c r="V212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4.9009999999999997E-7</v>
      </c>
      <c r="W212" s="16">
        <f>IF(AND(tblCalculation[[#This Row],[Level3]]="Forward Contracts",tblBOneExport[[#This Row],[PTF_COST_OF_CARRY]]=0),tblBOneExport[[#This Row],[PTF_VALUATION]],0)</f>
        <v>0</v>
      </c>
      <c r="X212" s="16">
        <f>SUM(tblCalculation[[#This Row],[PtfTrading]:[PtfModelRes]])</f>
        <v>-2.0020000000000001E-7</v>
      </c>
      <c r="Y212" s="16">
        <f>tblCalculation[[#This Row],[FIAttributable]]*tblBOneExport[[#This Row],[PTF_TRADING]]</f>
        <v>0</v>
      </c>
      <c r="Z212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12" s="16">
        <f>tblCalculation[[#This Row],[FIAttributable]]*tblBOneExport[[#This Row],[PTF_MODEL_RESIDUAL]]-PTF_Credit_Adj*tblCalculation[[#This Row],[PtfDTSWeight]]</f>
        <v>-2.0020000000000001E-7</v>
      </c>
      <c r="AB212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12" s="16">
        <f>tblBOneExport[[#This Row],[BMK_WEIGHT]]</f>
        <v>0</v>
      </c>
      <c r="AD212" s="78">
        <f>tblCalculation[[#This Row],[FIAttributable]]*SUMIFS(tblDTS[DTSContribution_BM],tblDTS[ISIN],tblCalculation[[#This Row],[ISIN]])</f>
        <v>5.4314968041580328E-2</v>
      </c>
      <c r="AE212" s="16">
        <f>IF(SUM(tblCalculation[BMKDTS])=0,0,tblCalculation[[#This Row],[BMKDTS]]/SUM(tblCalculation[BMKDTS]))</f>
        <v>6.4553492178502005E-3</v>
      </c>
      <c r="AF212" s="16">
        <f>tblBOneExport[[#This Row],[BMK_CONTRIBUTION]]</f>
        <v>0</v>
      </c>
      <c r="AG212" s="16">
        <f>tblCalculation[[#This Row],[BMKContributionBase]]-tblBOneExport[BMK_SPOT_CCY_RETURN]-tblBOneExport[[#This Row],[BMK_CROSS_EFFECT]]</f>
        <v>0</v>
      </c>
      <c r="AH212" s="16">
        <f>tblCalculation[[#This Row],[FIAttributable]]*(tblBOneExport[[#This Row],[BMK_RETURN_GOV_CARRY]])</f>
        <v>0</v>
      </c>
      <c r="AI212" s="16">
        <f>tblCalculation[[#This Row],[FIAttributable]]*tblBOneExport[[#This Row],[BMK_CREDIT_CARRY]]</f>
        <v>0</v>
      </c>
      <c r="AJ212" s="16">
        <f>tblCalculation[[#This Row],[FIAttributable]]*tblBOneExport[[#This Row],[BMK_TOTAL_CURVE]]</f>
        <v>0</v>
      </c>
      <c r="AK212" s="16">
        <f>tblCalculation[[#This Row],[FIAttributable]]*(tblBOneExport[[#This Row],[BMK_TOTAL_SPREAD]]+BMK_Credit_Adj*tblCalculation[[#This Row],[BmkDTSWeight]])</f>
        <v>0</v>
      </c>
      <c r="AL212" s="16">
        <f>tblCalculation[[#This Row],[FIAttributable]]*tblBOneExport[[#This Row],[BMK_MODEL_RESIDUAL]]-BMK_Credit_Adj*tblCalculation[[#This Row],[BmkDTSWeight]]</f>
        <v>0</v>
      </c>
      <c r="AM212" s="16">
        <f>IF(tblCalculation[[#This Row],[Level3]]="Forward Contracts",tblCalculation[[#This Row],[BMKContributionLocal]],0)</f>
        <v>0</v>
      </c>
      <c r="AN212" s="16">
        <f>tblBOneExport[[#This Row],[BMK_SPOT_CCY_RETURN]]+tblBOneExport[[#This Row],[BMK_CROSS_EFFECT]]</f>
        <v>0</v>
      </c>
    </row>
    <row r="213" spans="5:40" x14ac:dyDescent="0.25">
      <c r="E213" s="7" t="str">
        <f>tblBOneExport[[#This Row],[INSTRUMENT_CODE]]</f>
        <v>BLG2TM1</v>
      </c>
      <c r="F213" s="7" t="str">
        <f>tblBOneExport[[#This Row],[INSTRUMENT]]</f>
        <v>PORTERBROOK RAIL 4.625 04/04/29 EMTN</v>
      </c>
      <c r="G213" s="7" t="str">
        <f>IF(tblBOneExport[[#This Row],[ISIN]]&lt;&gt;"", tblBOneExport[[#This Row],[ISIN]],"")</f>
        <v>XS1053449028</v>
      </c>
      <c r="H213" s="7" t="str">
        <f>IF(tblCalculation[[#This Row],[B1Level2]]="CDS",tblBOneExport[[#This Row],[B1_TICKER]],IF(tblCalculation[[#This Row],[ISIN]]="","",INDEX(tblGetStaticData[Ticker],MATCH(tblCalculation[[#This Row],[ISIN]],tblGetStaticData[ISIN],0))))</f>
        <v>PORTER</v>
      </c>
      <c r="I213" s="7" t="str">
        <f>IF(tblBOneExport[[#This Row],[INSTRUMENT_TYPE]]="Forward Contract","Forward Contract",tblBOneExport[LEVEL2])</f>
        <v>Corporates</v>
      </c>
      <c r="J213" s="7" t="str">
        <f>IF(tblBOneExport[[#This Row],[INSTRUMENT_TYPE]]="Forward Contract","Forward Contract",tblBOneExport[[#This Row],[LEVEL3]])</f>
        <v>Industrials</v>
      </c>
      <c r="K213" s="7" t="str">
        <f>INDEX(tblLvl2Mapping[],MATCH(tblCalculation[[#This Row],[B1Level2]]&amp;"_"&amp;tblCalculation[[#This Row],[B1Level3]],tblLvl2Mapping[B1Level2_B1Level3],0),2)</f>
        <v>Corporate</v>
      </c>
      <c r="L213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13" s="7">
        <f>INDEX(tblAttributable[],MATCH(tblCalculation[[#This Row],[Level3]],tblAttributable[Level3],0),2)</f>
        <v>1</v>
      </c>
      <c r="N213" s="16">
        <f>tblBOneExport[[#This Row],[PTF_WEIGHT]]</f>
        <v>6.2260266000000002E-3</v>
      </c>
      <c r="O213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7.8648532713040745E-2</v>
      </c>
      <c r="P213" s="48">
        <f>tblCalculation[[#This Row],[PtfDTS]]/SUM(tblCalculation[PtfDTS])</f>
        <v>9.5378870659917001E-3</v>
      </c>
      <c r="Q213" s="16">
        <f>tblBOneExport[[#This Row],[PTF_CONTRIBUTION]]</f>
        <v>1.064392E-4</v>
      </c>
      <c r="R213" s="16">
        <f>tblCalculation[[#This Row],[PtfContributionBase]]-tblCalculation[[#This Row],[PtfCurrencyReturn]]</f>
        <v>1.064392E-4</v>
      </c>
      <c r="S213" s="16">
        <f>IF(tblBOneExport[[#This Row],[LEVEL1]]="Bonds",tblBOneExport[[#This Row],[PTF_GOV_CARRY]],"")</f>
        <v>6.8486E-6</v>
      </c>
      <c r="T213" s="16">
        <f>tblCalculation[[#This Row],[FIAttributable]]*tblBOneExport[[#This Row],[PTF_CREDIT_CARRY]]</f>
        <v>6.7676000000000002E-6</v>
      </c>
      <c r="U213" s="16">
        <f>tblCalculation[[#This Row],[FIAttributable]]*tblBOneExport[[#This Row],[PTF_TOTAL_CURVE]]</f>
        <v>1.1470480000000001E-4</v>
      </c>
      <c r="V213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-1.72519E-5</v>
      </c>
      <c r="W213" s="16">
        <f>IF(AND(tblCalculation[[#This Row],[Level3]]="Forward Contracts",tblBOneExport[[#This Row],[PTF_COST_OF_CARRY]]=0),tblBOneExport[[#This Row],[PTF_VALUATION]],0)</f>
        <v>0</v>
      </c>
      <c r="X213" s="16">
        <f>SUM(tblCalculation[[#This Row],[PtfTrading]:[PtfModelRes]])</f>
        <v>-4.6298000000000001E-6</v>
      </c>
      <c r="Y213" s="16">
        <f>tblCalculation[[#This Row],[FIAttributable]]*tblBOneExport[[#This Row],[PTF_TRADING]]</f>
        <v>0</v>
      </c>
      <c r="Z213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13" s="16">
        <f>tblCalculation[[#This Row],[FIAttributable]]*tblBOneExport[[#This Row],[PTF_MODEL_RESIDUAL]]-PTF_Credit_Adj*tblCalculation[[#This Row],[PtfDTSWeight]]</f>
        <v>-4.6298000000000001E-6</v>
      </c>
      <c r="AB213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13" s="16">
        <f>tblBOneExport[[#This Row],[BMK_WEIGHT]]</f>
        <v>0</v>
      </c>
      <c r="AD213" s="78">
        <f>tblCalculation[[#This Row],[FIAttributable]]*SUMIFS(tblDTS[DTSContribution_BM],tblDTS[ISIN],tblCalculation[[#This Row],[ISIN]])</f>
        <v>0.10380600660609865</v>
      </c>
      <c r="AE213" s="16">
        <f>IF(SUM(tblCalculation[BMKDTS])=0,0,tblCalculation[[#This Row],[BMKDTS]]/SUM(tblCalculation[BMKDTS]))</f>
        <v>1.2337373061507459E-2</v>
      </c>
      <c r="AF213" s="16">
        <f>tblBOneExport[[#This Row],[BMK_CONTRIBUTION]]</f>
        <v>0</v>
      </c>
      <c r="AG213" s="16">
        <f>tblCalculation[[#This Row],[BMKContributionBase]]-tblBOneExport[BMK_SPOT_CCY_RETURN]-tblBOneExport[[#This Row],[BMK_CROSS_EFFECT]]</f>
        <v>0</v>
      </c>
      <c r="AH213" s="16">
        <f>tblCalculation[[#This Row],[FIAttributable]]*(tblBOneExport[[#This Row],[BMK_RETURN_GOV_CARRY]])</f>
        <v>0</v>
      </c>
      <c r="AI213" s="16">
        <f>tblCalculation[[#This Row],[FIAttributable]]*tblBOneExport[[#This Row],[BMK_CREDIT_CARRY]]</f>
        <v>0</v>
      </c>
      <c r="AJ213" s="16">
        <f>tblCalculation[[#This Row],[FIAttributable]]*tblBOneExport[[#This Row],[BMK_TOTAL_CURVE]]</f>
        <v>0</v>
      </c>
      <c r="AK213" s="16">
        <f>tblCalculation[[#This Row],[FIAttributable]]*(tblBOneExport[[#This Row],[BMK_TOTAL_SPREAD]]+BMK_Credit_Adj*tblCalculation[[#This Row],[BmkDTSWeight]])</f>
        <v>0</v>
      </c>
      <c r="AL213" s="16">
        <f>tblCalculation[[#This Row],[FIAttributable]]*tblBOneExport[[#This Row],[BMK_MODEL_RESIDUAL]]-BMK_Credit_Adj*tblCalculation[[#This Row],[BmkDTSWeight]]</f>
        <v>0</v>
      </c>
      <c r="AM213" s="16">
        <f>IF(tblCalculation[[#This Row],[Level3]]="Forward Contracts",tblCalculation[[#This Row],[BMKContributionLocal]],0)</f>
        <v>0</v>
      </c>
      <c r="AN213" s="16">
        <f>tblBOneExport[[#This Row],[BMK_SPOT_CCY_RETURN]]+tblBOneExport[[#This Row],[BMK_CROSS_EFFECT]]</f>
        <v>0</v>
      </c>
    </row>
    <row r="214" spans="5:40" x14ac:dyDescent="0.25">
      <c r="E214" s="7" t="str">
        <f>tblBOneExport[[#This Row],[INSTRUMENT_CODE]]</f>
        <v>BLMQBB0</v>
      </c>
      <c r="F214" s="7" t="str">
        <f>tblBOneExport[[#This Row],[INSTRUMENT]]</f>
        <v>MANCHESTER AGF 4.125 02/04/24 EMTN</v>
      </c>
      <c r="G214" s="7" t="str">
        <f>IF(tblBOneExport[[#This Row],[ISIN]]&lt;&gt;"", tblBOneExport[[#This Row],[ISIN]],"")</f>
        <v>XS1057530393</v>
      </c>
      <c r="H214" s="7" t="str">
        <f>IF(tblCalculation[[#This Row],[B1Level2]]="CDS",tblBOneExport[[#This Row],[B1_TICKER]],IF(tblCalculation[[#This Row],[ISIN]]="","",INDEX(tblGetStaticData[Ticker],MATCH(tblCalculation[[#This Row],[ISIN]],tblGetStaticData[ISIN],0))))</f>
        <v>MAGAIR</v>
      </c>
      <c r="I214" s="7" t="str">
        <f>IF(tblBOneExport[[#This Row],[INSTRUMENT_TYPE]]="Forward Contract","Forward Contract",tblBOneExport[LEVEL2])</f>
        <v>Corporates</v>
      </c>
      <c r="J214" s="7" t="str">
        <f>IF(tblBOneExport[[#This Row],[INSTRUMENT_TYPE]]="Forward Contract","Forward Contract",tblBOneExport[[#This Row],[LEVEL3]])</f>
        <v>Industrials</v>
      </c>
      <c r="K214" s="7" t="str">
        <f>INDEX(tblLvl2Mapping[],MATCH(tblCalculation[[#This Row],[B1Level2]]&amp;"_"&amp;tblCalculation[[#This Row],[B1Level3]],tblLvl2Mapping[B1Level2_B1Level3],0),2)</f>
        <v>Corporate</v>
      </c>
      <c r="L214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14" s="7">
        <f>INDEX(tblAttributable[],MATCH(tblCalculation[[#This Row],[Level3]],tblAttributable[Level3],0),2)</f>
        <v>1</v>
      </c>
      <c r="N214" s="16">
        <f>tblBOneExport[[#This Row],[PTF_WEIGHT]]</f>
        <v>3.2189395999999999E-3</v>
      </c>
      <c r="O214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1.640131206884771E-2</v>
      </c>
      <c r="P214" s="48">
        <f>tblCalculation[[#This Row],[PtfDTS]]/SUM(tblCalculation[PtfDTS])</f>
        <v>1.9890245482077225E-3</v>
      </c>
      <c r="Q214" s="16">
        <f>tblBOneExport[[#This Row],[PTF_CONTRIBUTION]]</f>
        <v>3.4861299999999998E-5</v>
      </c>
      <c r="R214" s="16">
        <f>tblCalculation[[#This Row],[PtfContributionBase]]-tblCalculation[[#This Row],[PtfCurrencyReturn]]</f>
        <v>3.4861299999999998E-5</v>
      </c>
      <c r="S214" s="16">
        <f>IF(tblBOneExport[[#This Row],[LEVEL1]]="Bonds",tblBOneExport[[#This Row],[PTF_GOV_CARRY]],"")</f>
        <v>1.9E-6</v>
      </c>
      <c r="T214" s="16">
        <f>tblCalculation[[#This Row],[FIAttributable]]*tblBOneExport[[#This Row],[PTF_CREDIT_CARRY]]</f>
        <v>3.0062999999999999E-6</v>
      </c>
      <c r="U214" s="16">
        <f>tblCalculation[[#This Row],[FIAttributable]]*tblBOneExport[[#This Row],[PTF_TOTAL_CURVE]]</f>
        <v>3.03317E-5</v>
      </c>
      <c r="V214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-7.4140000000000001E-7</v>
      </c>
      <c r="W214" s="16">
        <f>IF(AND(tblCalculation[[#This Row],[Level3]]="Forward Contracts",tblBOneExport[[#This Row],[PTF_COST_OF_CARRY]]=0),tblBOneExport[[#This Row],[PTF_VALUATION]],0)</f>
        <v>0</v>
      </c>
      <c r="X214" s="16">
        <f>SUM(tblCalculation[[#This Row],[PtfTrading]:[PtfModelRes]])</f>
        <v>3.6479999999999998E-7</v>
      </c>
      <c r="Y214" s="16">
        <f>tblCalculation[[#This Row],[FIAttributable]]*tblBOneExport[[#This Row],[PTF_TRADING]]</f>
        <v>0</v>
      </c>
      <c r="Z214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14" s="16">
        <f>tblCalculation[[#This Row],[FIAttributable]]*tblBOneExport[[#This Row],[PTF_MODEL_RESIDUAL]]-PTF_Credit_Adj*tblCalculation[[#This Row],[PtfDTSWeight]]</f>
        <v>3.6479999999999998E-7</v>
      </c>
      <c r="AB214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14" s="16">
        <f>tblBOneExport[[#This Row],[BMK_WEIGHT]]</f>
        <v>0</v>
      </c>
      <c r="AD214" s="78">
        <f>tblCalculation[[#This Row],[FIAttributable]]*SUMIFS(tblDTS[DTSContribution_BM],tblDTS[ISIN],tblCalculation[[#This Row],[ISIN]])</f>
        <v>2.1647579180511932E-2</v>
      </c>
      <c r="AE214" s="16">
        <f>IF(SUM(tblCalculation[BMKDTS])=0,0,tblCalculation[[#This Row],[BMKDTS]]/SUM(tblCalculation[BMKDTS]))</f>
        <v>2.5728208700093362E-3</v>
      </c>
      <c r="AF214" s="16">
        <f>tblBOneExport[[#This Row],[BMK_CONTRIBUTION]]</f>
        <v>0</v>
      </c>
      <c r="AG214" s="16">
        <f>tblCalculation[[#This Row],[BMKContributionBase]]-tblBOneExport[BMK_SPOT_CCY_RETURN]-tblBOneExport[[#This Row],[BMK_CROSS_EFFECT]]</f>
        <v>0</v>
      </c>
      <c r="AH214" s="16">
        <f>tblCalculation[[#This Row],[FIAttributable]]*(tblBOneExport[[#This Row],[BMK_RETURN_GOV_CARRY]])</f>
        <v>0</v>
      </c>
      <c r="AI214" s="16">
        <f>tblCalculation[[#This Row],[FIAttributable]]*tblBOneExport[[#This Row],[BMK_CREDIT_CARRY]]</f>
        <v>0</v>
      </c>
      <c r="AJ214" s="16">
        <f>tblCalculation[[#This Row],[FIAttributable]]*tblBOneExport[[#This Row],[BMK_TOTAL_CURVE]]</f>
        <v>0</v>
      </c>
      <c r="AK214" s="16">
        <f>tblCalculation[[#This Row],[FIAttributable]]*(tblBOneExport[[#This Row],[BMK_TOTAL_SPREAD]]+BMK_Credit_Adj*tblCalculation[[#This Row],[BmkDTSWeight]])</f>
        <v>0</v>
      </c>
      <c r="AL214" s="16">
        <f>tblCalculation[[#This Row],[FIAttributable]]*tblBOneExport[[#This Row],[BMK_MODEL_RESIDUAL]]-BMK_Credit_Adj*tblCalculation[[#This Row],[BmkDTSWeight]]</f>
        <v>0</v>
      </c>
      <c r="AM214" s="16">
        <f>IF(tblCalculation[[#This Row],[Level3]]="Forward Contracts",tblCalculation[[#This Row],[BMKContributionLocal]],0)</f>
        <v>0</v>
      </c>
      <c r="AN214" s="16">
        <f>tblBOneExport[[#This Row],[BMK_SPOT_CCY_RETURN]]+tblBOneExport[[#This Row],[BMK_CROSS_EFFECT]]</f>
        <v>0</v>
      </c>
    </row>
    <row r="215" spans="5:40" x14ac:dyDescent="0.25">
      <c r="E215" s="7" t="str">
        <f>tblBOneExport[[#This Row],[INSTRUMENT_CODE]]</f>
        <v>BMMVG28</v>
      </c>
      <c r="F215" s="7" t="str">
        <f>tblBOneExport[[#This Row],[INSTRUMENT]]</f>
        <v>FCE BANK PLC 2.625 20/11/18 EMTN</v>
      </c>
      <c r="G215" s="7" t="str">
        <f>IF(tblBOneExport[[#This Row],[ISIN]]&lt;&gt;"", tblBOneExport[[#This Row],[ISIN]],"")</f>
        <v>XS1069529490</v>
      </c>
      <c r="H215" s="7" t="str">
        <f>IF(tblCalculation[[#This Row],[B1Level2]]="CDS",tblBOneExport[[#This Row],[B1_TICKER]],IF(tblCalculation[[#This Row],[ISIN]]="","",INDEX(tblGetStaticData[Ticker],MATCH(tblCalculation[[#This Row],[ISIN]],tblGetStaticData[ISIN],0))))</f>
        <v>F</v>
      </c>
      <c r="I215" s="7" t="str">
        <f>IF(tblBOneExport[[#This Row],[INSTRUMENT_TYPE]]="Forward Contract","Forward Contract",tblBOneExport[LEVEL2])</f>
        <v>Corporates</v>
      </c>
      <c r="J215" s="7" t="str">
        <f>IF(tblBOneExport[[#This Row],[INSTRUMENT_TYPE]]="Forward Contract","Forward Contract",tblBOneExport[[#This Row],[LEVEL3]])</f>
        <v>Industrials</v>
      </c>
      <c r="K215" s="7" t="str">
        <f>INDEX(tblLvl2Mapping[],MATCH(tblCalculation[[#This Row],[B1Level2]]&amp;"_"&amp;tblCalculation[[#This Row],[B1Level3]],tblLvl2Mapping[B1Level2_B1Level3],0),2)</f>
        <v>Corporate</v>
      </c>
      <c r="L215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15" s="7">
        <f>INDEX(tblAttributable[],MATCH(tblCalculation[[#This Row],[Level3]],tblAttributable[Level3],0),2)</f>
        <v>1</v>
      </c>
      <c r="N215" s="16">
        <f>tblBOneExport[[#This Row],[PTF_WEIGHT]]</f>
        <v>2.8814397999999998E-3</v>
      </c>
      <c r="O215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2.5667089223611324E-3</v>
      </c>
      <c r="P215" s="48">
        <f>tblCalculation[[#This Row],[PtfDTS]]/SUM(tblCalculation[PtfDTS])</f>
        <v>3.1127064915598281E-4</v>
      </c>
      <c r="Q215" s="16">
        <f>tblBOneExport[[#This Row],[PTF_CONTRIBUTION]]</f>
        <v>7.9874999999999993E-6</v>
      </c>
      <c r="R215" s="16">
        <f>tblCalculation[[#This Row],[PtfContributionBase]]-tblCalculation[[#This Row],[PtfCurrencyReturn]]</f>
        <v>7.9874999999999993E-6</v>
      </c>
      <c r="S215" s="16">
        <f>IF(tblBOneExport[[#This Row],[LEVEL1]]="Bonds",tblBOneExport[[#This Row],[PTF_GOV_CARRY]],"")</f>
        <v>5.228E-7</v>
      </c>
      <c r="T215" s="16">
        <f>tblCalculation[[#This Row],[FIAttributable]]*tblBOneExport[[#This Row],[PTF_CREDIT_CARRY]]</f>
        <v>2.1913000000000001E-6</v>
      </c>
      <c r="U215" s="16">
        <f>tblCalculation[[#This Row],[FIAttributable]]*tblBOneExport[[#This Row],[PTF_TOTAL_CURVE]]</f>
        <v>4.8281000000000004E-6</v>
      </c>
      <c r="V215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8.6749999999999995E-7</v>
      </c>
      <c r="W215" s="16">
        <f>IF(AND(tblCalculation[[#This Row],[Level3]]="Forward Contracts",tblBOneExport[[#This Row],[PTF_COST_OF_CARRY]]=0),tblBOneExport[[#This Row],[PTF_VALUATION]],0)</f>
        <v>0</v>
      </c>
      <c r="X215" s="16">
        <f>SUM(tblCalculation[[#This Row],[PtfTrading]:[PtfModelRes]])</f>
        <v>-4.2220000000000001E-7</v>
      </c>
      <c r="Y215" s="16">
        <f>tblCalculation[[#This Row],[FIAttributable]]*tblBOneExport[[#This Row],[PTF_TRADING]]</f>
        <v>0</v>
      </c>
      <c r="Z215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15" s="16">
        <f>tblCalculation[[#This Row],[FIAttributable]]*tblBOneExport[[#This Row],[PTF_MODEL_RESIDUAL]]-PTF_Credit_Adj*tblCalculation[[#This Row],[PtfDTSWeight]]</f>
        <v>-4.2220000000000001E-7</v>
      </c>
      <c r="AB215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15" s="16">
        <f>tblBOneExport[[#This Row],[BMK_WEIGHT]]</f>
        <v>0</v>
      </c>
      <c r="AD215" s="78">
        <f>tblCalculation[[#This Row],[FIAttributable]]*SUMIFS(tblDTS[DTSContribution_BM],tblDTS[ISIN],tblCalculation[[#This Row],[ISIN]])</f>
        <v>3.3877429052622944E-3</v>
      </c>
      <c r="AE215" s="16">
        <f>IF(SUM(tblCalculation[BMKDTS])=0,0,tblCalculation[[#This Row],[BMKDTS]]/SUM(tblCalculation[BMKDTS]))</f>
        <v>4.0263419647086705E-4</v>
      </c>
      <c r="AF215" s="16">
        <f>tblBOneExport[[#This Row],[BMK_CONTRIBUTION]]</f>
        <v>0</v>
      </c>
      <c r="AG215" s="16">
        <f>tblCalculation[[#This Row],[BMKContributionBase]]-tblBOneExport[BMK_SPOT_CCY_RETURN]-tblBOneExport[[#This Row],[BMK_CROSS_EFFECT]]</f>
        <v>0</v>
      </c>
      <c r="AH215" s="16">
        <f>tblCalculation[[#This Row],[FIAttributable]]*(tblBOneExport[[#This Row],[BMK_RETURN_GOV_CARRY]])</f>
        <v>0</v>
      </c>
      <c r="AI215" s="16">
        <f>tblCalculation[[#This Row],[FIAttributable]]*tblBOneExport[[#This Row],[BMK_CREDIT_CARRY]]</f>
        <v>0</v>
      </c>
      <c r="AJ215" s="16">
        <f>tblCalculation[[#This Row],[FIAttributable]]*tblBOneExport[[#This Row],[BMK_TOTAL_CURVE]]</f>
        <v>0</v>
      </c>
      <c r="AK215" s="16">
        <f>tblCalculation[[#This Row],[FIAttributable]]*(tblBOneExport[[#This Row],[BMK_TOTAL_SPREAD]]+BMK_Credit_Adj*tblCalculation[[#This Row],[BmkDTSWeight]])</f>
        <v>0</v>
      </c>
      <c r="AL215" s="16">
        <f>tblCalculation[[#This Row],[FIAttributable]]*tblBOneExport[[#This Row],[BMK_MODEL_RESIDUAL]]-BMK_Credit_Adj*tblCalculation[[#This Row],[BmkDTSWeight]]</f>
        <v>0</v>
      </c>
      <c r="AM215" s="16">
        <f>IF(tblCalculation[[#This Row],[Level3]]="Forward Contracts",tblCalculation[[#This Row],[BMKContributionLocal]],0)</f>
        <v>0</v>
      </c>
      <c r="AN215" s="16">
        <f>tblBOneExport[[#This Row],[BMK_SPOT_CCY_RETURN]]+tblBOneExport[[#This Row],[BMK_CROSS_EFFECT]]</f>
        <v>0</v>
      </c>
    </row>
    <row r="216" spans="5:40" x14ac:dyDescent="0.25">
      <c r="E216" s="7" t="str">
        <f>tblBOneExport[[#This Row],[INSTRUMENT_CODE]]</f>
        <v>BNB6YV6</v>
      </c>
      <c r="F216" s="7" t="str">
        <f>tblBOneExport[[#This Row],[INSTRUMENT]]</f>
        <v>BUPA FINANCE 3.375 17/06/21</v>
      </c>
      <c r="G216" s="7" t="str">
        <f>IF(tblBOneExport[[#This Row],[ISIN]]&lt;&gt;"", tblBOneExport[[#This Row],[ISIN]],"")</f>
        <v>XS1075309754</v>
      </c>
      <c r="H216" s="7" t="str">
        <f>IF(tblCalculation[[#This Row],[B1Level2]]="CDS",tblBOneExport[[#This Row],[B1_TICKER]],IF(tblCalculation[[#This Row],[ISIN]]="","",INDEX(tblGetStaticData[Ticker],MATCH(tblCalculation[[#This Row],[ISIN]],tblGetStaticData[ISIN],0))))</f>
        <v>BUPA</v>
      </c>
      <c r="I216" s="7" t="str">
        <f>IF(tblBOneExport[[#This Row],[INSTRUMENT_TYPE]]="Forward Contract","Forward Contract",tblBOneExport[LEVEL2])</f>
        <v>Corporates</v>
      </c>
      <c r="J216" s="7" t="str">
        <f>IF(tblBOneExport[[#This Row],[INSTRUMENT_TYPE]]="Forward Contract","Forward Contract",tblBOneExport[[#This Row],[LEVEL3]])</f>
        <v>Financial Institutions</v>
      </c>
      <c r="K216" s="7" t="str">
        <f>INDEX(tblLvl2Mapping[],MATCH(tblCalculation[[#This Row],[B1Level2]]&amp;"_"&amp;tblCalculation[[#This Row],[B1Level3]],tblLvl2Mapping[B1Level2_B1Level3],0),2)</f>
        <v>Corporate</v>
      </c>
      <c r="L216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16" s="7">
        <f>INDEX(tblAttributable[],MATCH(tblCalculation[[#This Row],[Level3]],tblAttributable[Level3],0),2)</f>
        <v>1</v>
      </c>
      <c r="N216" s="16">
        <f>tblBOneExport[[#This Row],[PTF_WEIGHT]]</f>
        <v>4.6082370000000003E-3</v>
      </c>
      <c r="O216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8.9905614604665826E-3</v>
      </c>
      <c r="P216" s="48">
        <f>tblCalculation[[#This Row],[PtfDTS]]/SUM(tblCalculation[PtfDTS])</f>
        <v>1.0903059079647556E-3</v>
      </c>
      <c r="Q216" s="16">
        <f>tblBOneExport[[#This Row],[PTF_CONTRIBUTION]]</f>
        <v>1.4013699999999999E-5</v>
      </c>
      <c r="R216" s="16">
        <f>tblCalculation[[#This Row],[PtfContributionBase]]-tblCalculation[[#This Row],[PtfCurrencyReturn]]</f>
        <v>1.4013699999999999E-5</v>
      </c>
      <c r="S216" s="16">
        <f>IF(tblBOneExport[[#This Row],[LEVEL1]]="Bonds",tblBOneExport[[#This Row],[PTF_GOV_CARRY]],"")</f>
        <v>1.1621000000000001E-6</v>
      </c>
      <c r="T216" s="16">
        <f>tblCalculation[[#This Row],[FIAttributable]]*tblBOneExport[[#This Row],[PTF_CREDIT_CARRY]]</f>
        <v>3.8066000000000001E-6</v>
      </c>
      <c r="U216" s="16">
        <f>tblCalculation[[#This Row],[FIAttributable]]*tblBOneExport[[#This Row],[PTF_TOTAL_CURVE]]</f>
        <v>2.1501600000000001E-5</v>
      </c>
      <c r="V216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-1.03173E-5</v>
      </c>
      <c r="W216" s="16">
        <f>IF(AND(tblCalculation[[#This Row],[Level3]]="Forward Contracts",tblBOneExport[[#This Row],[PTF_COST_OF_CARRY]]=0),tblBOneExport[[#This Row],[PTF_VALUATION]],0)</f>
        <v>0</v>
      </c>
      <c r="X216" s="16">
        <f>SUM(tblCalculation[[#This Row],[PtfTrading]:[PtfModelRes]])</f>
        <v>-2.1392000000000002E-6</v>
      </c>
      <c r="Y216" s="16">
        <f>tblCalculation[[#This Row],[FIAttributable]]*tblBOneExport[[#This Row],[PTF_TRADING]]</f>
        <v>0</v>
      </c>
      <c r="Z216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16" s="16">
        <f>tblCalculation[[#This Row],[FIAttributable]]*tblBOneExport[[#This Row],[PTF_MODEL_RESIDUAL]]-PTF_Credit_Adj*tblCalculation[[#This Row],[PtfDTSWeight]]</f>
        <v>-2.1392000000000002E-6</v>
      </c>
      <c r="AB216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16" s="16">
        <f>tblBOneExport[[#This Row],[BMK_WEIGHT]]</f>
        <v>0</v>
      </c>
      <c r="AD216" s="78">
        <f>tblCalculation[[#This Row],[FIAttributable]]*SUMIFS(tblDTS[DTSContribution_BM],tblDTS[ISIN],tblCalculation[[#This Row],[ISIN]])</f>
        <v>0</v>
      </c>
      <c r="AE216" s="16">
        <f>IF(SUM(tblCalculation[BMKDTS])=0,0,tblCalculation[[#This Row],[BMKDTS]]/SUM(tblCalculation[BMKDTS]))</f>
        <v>0</v>
      </c>
      <c r="AF216" s="16">
        <f>tblBOneExport[[#This Row],[BMK_CONTRIBUTION]]</f>
        <v>0</v>
      </c>
      <c r="AG216" s="16">
        <f>tblCalculation[[#This Row],[BMKContributionBase]]-tblBOneExport[BMK_SPOT_CCY_RETURN]-tblBOneExport[[#This Row],[BMK_CROSS_EFFECT]]</f>
        <v>0</v>
      </c>
      <c r="AH216" s="16">
        <f>tblCalculation[[#This Row],[FIAttributable]]*(tblBOneExport[[#This Row],[BMK_RETURN_GOV_CARRY]])</f>
        <v>0</v>
      </c>
      <c r="AI216" s="16">
        <f>tblCalculation[[#This Row],[FIAttributable]]*tblBOneExport[[#This Row],[BMK_CREDIT_CARRY]]</f>
        <v>0</v>
      </c>
      <c r="AJ216" s="16">
        <f>tblCalculation[[#This Row],[FIAttributable]]*tblBOneExport[[#This Row],[BMK_TOTAL_CURVE]]</f>
        <v>0</v>
      </c>
      <c r="AK216" s="16">
        <f>tblCalculation[[#This Row],[FIAttributable]]*(tblBOneExport[[#This Row],[BMK_TOTAL_SPREAD]]+BMK_Credit_Adj*tblCalculation[[#This Row],[BmkDTSWeight]])</f>
        <v>0</v>
      </c>
      <c r="AL216" s="16">
        <f>tblCalculation[[#This Row],[FIAttributable]]*tblBOneExport[[#This Row],[BMK_MODEL_RESIDUAL]]-BMK_Credit_Adj*tblCalculation[[#This Row],[BmkDTSWeight]]</f>
        <v>0</v>
      </c>
      <c r="AM216" s="16">
        <f>IF(tblCalculation[[#This Row],[Level3]]="Forward Contracts",tblCalculation[[#This Row],[BMKContributionLocal]],0)</f>
        <v>0</v>
      </c>
      <c r="AN216" s="16">
        <f>tblBOneExport[[#This Row],[BMK_SPOT_CCY_RETURN]]+tblBOneExport[[#This Row],[BMK_CROSS_EFFECT]]</f>
        <v>0</v>
      </c>
    </row>
    <row r="217" spans="5:40" x14ac:dyDescent="0.25">
      <c r="E217" s="7" t="str">
        <f>tblBOneExport[[#This Row],[INSTRUMENT_CODE]]</f>
        <v>BN79J25</v>
      </c>
      <c r="F217" s="7" t="str">
        <f>tblBOneExport[[#This Row],[INSTRUMENT]]</f>
        <v>DAIMLER AG 2.75 04/12/20 EMTN</v>
      </c>
      <c r="G217" s="7" t="str">
        <f>IF(tblBOneExport[[#This Row],[ISIN]]&lt;&gt;"", tblBOneExport[[#This Row],[ISIN]],"")</f>
        <v>XS1076016432</v>
      </c>
      <c r="H217" s="7" t="str">
        <f>IF(tblCalculation[[#This Row],[B1Level2]]="CDS",tblBOneExport[[#This Row],[B1_TICKER]],IF(tblCalculation[[#This Row],[ISIN]]="","",INDEX(tblGetStaticData[Ticker],MATCH(tblCalculation[[#This Row],[ISIN]],tblGetStaticData[ISIN],0))))</f>
        <v>DAIGR</v>
      </c>
      <c r="I217" s="7" t="str">
        <f>IF(tblBOneExport[[#This Row],[INSTRUMENT_TYPE]]="Forward Contract","Forward Contract",tblBOneExport[LEVEL2])</f>
        <v>Corporates</v>
      </c>
      <c r="J217" s="7" t="str">
        <f>IF(tblBOneExport[[#This Row],[INSTRUMENT_TYPE]]="Forward Contract","Forward Contract",tblBOneExport[[#This Row],[LEVEL3]])</f>
        <v>Industrials</v>
      </c>
      <c r="K217" s="7" t="str">
        <f>INDEX(tblLvl2Mapping[],MATCH(tblCalculation[[#This Row],[B1Level2]]&amp;"_"&amp;tblCalculation[[#This Row],[B1Level3]],tblLvl2Mapping[B1Level2_B1Level3],0),2)</f>
        <v>Corporate</v>
      </c>
      <c r="L217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17" s="7">
        <f>INDEX(tblAttributable[],MATCH(tblCalculation[[#This Row],[Level3]],tblAttributable[Level3],0),2)</f>
        <v>1</v>
      </c>
      <c r="N217" s="16">
        <f>tblBOneExport[[#This Row],[PTF_WEIGHT]]</f>
        <v>7.4461410000000003E-4</v>
      </c>
      <c r="O217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1.0094788065010583E-3</v>
      </c>
      <c r="P217" s="48">
        <f>tblCalculation[[#This Row],[PtfDTS]]/SUM(tblCalculation[PtfDTS])</f>
        <v>1.2242179885350502E-4</v>
      </c>
      <c r="Q217" s="16">
        <f>tblBOneExport[[#This Row],[PTF_CONTRIBUTION]]</f>
        <v>2.8177000000000001E-6</v>
      </c>
      <c r="R217" s="16">
        <f>tblCalculation[[#This Row],[PtfContributionBase]]-tblCalculation[[#This Row],[PtfCurrencyReturn]]</f>
        <v>2.8177000000000001E-6</v>
      </c>
      <c r="S217" s="16">
        <f>IF(tblBOneExport[[#This Row],[LEVEL1]]="Bonds",tblBOneExport[[#This Row],[PTF_GOV_CARRY]],"")</f>
        <v>1.674E-7</v>
      </c>
      <c r="T217" s="16">
        <f>tblCalculation[[#This Row],[FIAttributable]]*tblBOneExport[[#This Row],[PTF_CREDIT_CARRY]]</f>
        <v>5.257E-7</v>
      </c>
      <c r="U217" s="16">
        <f>tblCalculation[[#This Row],[FIAttributable]]*tblBOneExport[[#This Row],[PTF_TOTAL_CURVE]]</f>
        <v>2.8710999999999999E-6</v>
      </c>
      <c r="V217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-6.3379999999999997E-7</v>
      </c>
      <c r="W217" s="16">
        <f>IF(AND(tblCalculation[[#This Row],[Level3]]="Forward Contracts",tblBOneExport[[#This Row],[PTF_COST_OF_CARRY]]=0),tblBOneExport[[#This Row],[PTF_VALUATION]],0)</f>
        <v>0</v>
      </c>
      <c r="X217" s="16">
        <f>SUM(tblCalculation[[#This Row],[PtfTrading]:[PtfModelRes]])</f>
        <v>-1.127E-7</v>
      </c>
      <c r="Y217" s="16">
        <f>tblCalculation[[#This Row],[FIAttributable]]*tblBOneExport[[#This Row],[PTF_TRADING]]</f>
        <v>0</v>
      </c>
      <c r="Z217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17" s="16">
        <f>tblCalculation[[#This Row],[FIAttributable]]*tblBOneExport[[#This Row],[PTF_MODEL_RESIDUAL]]-PTF_Credit_Adj*tblCalculation[[#This Row],[PtfDTSWeight]]</f>
        <v>-1.127E-7</v>
      </c>
      <c r="AB217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17" s="16">
        <f>tblBOneExport[[#This Row],[BMK_WEIGHT]]</f>
        <v>0</v>
      </c>
      <c r="AD217" s="78">
        <f>tblCalculation[[#This Row],[FIAttributable]]*SUMIFS(tblDTS[DTSContribution_BM],tblDTS[ISIN],tblCalculation[[#This Row],[ISIN]])</f>
        <v>1.3322694719094771E-3</v>
      </c>
      <c r="AE217" s="16">
        <f>IF(SUM(tblCalculation[BMKDTS])=0,0,tblCalculation[[#This Row],[BMKDTS]]/SUM(tblCalculation[BMKDTS]))</f>
        <v>1.5834060119252375E-4</v>
      </c>
      <c r="AF217" s="16">
        <f>tblBOneExport[[#This Row],[BMK_CONTRIBUTION]]</f>
        <v>0</v>
      </c>
      <c r="AG217" s="16">
        <f>tblCalculation[[#This Row],[BMKContributionBase]]-tblBOneExport[BMK_SPOT_CCY_RETURN]-tblBOneExport[[#This Row],[BMK_CROSS_EFFECT]]</f>
        <v>0</v>
      </c>
      <c r="AH217" s="16">
        <f>tblCalculation[[#This Row],[FIAttributable]]*(tblBOneExport[[#This Row],[BMK_RETURN_GOV_CARRY]])</f>
        <v>0</v>
      </c>
      <c r="AI217" s="16">
        <f>tblCalculation[[#This Row],[FIAttributable]]*tblBOneExport[[#This Row],[BMK_CREDIT_CARRY]]</f>
        <v>0</v>
      </c>
      <c r="AJ217" s="16">
        <f>tblCalculation[[#This Row],[FIAttributable]]*tblBOneExport[[#This Row],[BMK_TOTAL_CURVE]]</f>
        <v>0</v>
      </c>
      <c r="AK217" s="16">
        <f>tblCalculation[[#This Row],[FIAttributable]]*(tblBOneExport[[#This Row],[BMK_TOTAL_SPREAD]]+BMK_Credit_Adj*tblCalculation[[#This Row],[BmkDTSWeight]])</f>
        <v>0</v>
      </c>
      <c r="AL217" s="16">
        <f>tblCalculation[[#This Row],[FIAttributable]]*tblBOneExport[[#This Row],[BMK_MODEL_RESIDUAL]]-BMK_Credit_Adj*tblCalculation[[#This Row],[BmkDTSWeight]]</f>
        <v>0</v>
      </c>
      <c r="AM217" s="16">
        <f>IF(tblCalculation[[#This Row],[Level3]]="Forward Contracts",tblCalculation[[#This Row],[BMKContributionLocal]],0)</f>
        <v>0</v>
      </c>
      <c r="AN217" s="16">
        <f>tblBOneExport[[#This Row],[BMK_SPOT_CCY_RETURN]]+tblBOneExport[[#This Row],[BMK_CROSS_EFFECT]]</f>
        <v>0</v>
      </c>
    </row>
    <row r="218" spans="5:40" x14ac:dyDescent="0.25">
      <c r="E218" s="7" t="str">
        <f>tblBOneExport[[#This Row],[INSTRUMENT_CODE]]</f>
        <v>BNBPK48</v>
      </c>
      <c r="F218" s="7" t="str">
        <f>tblBOneExport[[#This Row],[INSTRUMENT]]</f>
        <v>NED WATERSCHAPBK 2 28/12/18 EMTN</v>
      </c>
      <c r="G218" s="7" t="str">
        <f>IF(tblBOneExport[[#This Row],[ISIN]]&lt;&gt;"", tblBOneExport[[#This Row],[ISIN]],"")</f>
        <v>XS1079038870</v>
      </c>
      <c r="H218" s="7" t="str">
        <f>IF(tblCalculation[[#This Row],[B1Level2]]="CDS",tblBOneExport[[#This Row],[B1_TICKER]],IF(tblCalculation[[#This Row],[ISIN]]="","",INDEX(tblGetStaticData[Ticker],MATCH(tblCalculation[[#This Row],[ISIN]],tblGetStaticData[ISIN],0))))</f>
        <v>NEDWBK</v>
      </c>
      <c r="I218" s="7" t="str">
        <f>IF(tblBOneExport[[#This Row],[INSTRUMENT_TYPE]]="Forward Contract","Forward Contract",tblBOneExport[LEVEL2])</f>
        <v>Non-Corporate</v>
      </c>
      <c r="J218" s="7" t="str">
        <f>IF(tblBOneExport[[#This Row],[INSTRUMENT_TYPE]]="Forward Contract","Forward Contract",tblBOneExport[[#This Row],[LEVEL3]])</f>
        <v>Foreign Agency</v>
      </c>
      <c r="K218" s="7" t="str">
        <f>INDEX(tblLvl2Mapping[],MATCH(tblCalculation[[#This Row],[B1Level2]]&amp;"_"&amp;tblCalculation[[#This Row],[B1Level3]],tblLvl2Mapping[B1Level2_B1Level3],0),2)</f>
        <v>Corporate</v>
      </c>
      <c r="L218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18" s="7">
        <f>INDEX(tblAttributable[],MATCH(tblCalculation[[#This Row],[Level3]],tblAttributable[Level3],0),2)</f>
        <v>1</v>
      </c>
      <c r="N218" s="16">
        <f>tblBOneExport[[#This Row],[PTF_WEIGHT]]</f>
        <v>9.5485329999999997E-4</v>
      </c>
      <c r="O218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2.5749619205933574E-4</v>
      </c>
      <c r="P218" s="48">
        <f>tblCalculation[[#This Row],[PtfDTS]]/SUM(tblCalculation[PtfDTS])</f>
        <v>3.1227150908787749E-5</v>
      </c>
      <c r="Q218" s="16">
        <f>tblBOneExport[[#This Row],[PTF_CONTRIBUTION]]</f>
        <v>2.0014E-6</v>
      </c>
      <c r="R218" s="16">
        <f>tblCalculation[[#This Row],[PtfContributionBase]]-tblCalculation[[#This Row],[PtfCurrencyReturn]]</f>
        <v>2.0014E-6</v>
      </c>
      <c r="S218" s="16">
        <f>IF(tblBOneExport[[#This Row],[LEVEL1]]="Bonds",tblBOneExport[[#This Row],[PTF_GOV_CARRY]],"")</f>
        <v>1.74E-7</v>
      </c>
      <c r="T218" s="16">
        <f>tblCalculation[[#This Row],[FIAttributable]]*tblBOneExport[[#This Row],[PTF_CREDIT_CARRY]]</f>
        <v>2.699E-7</v>
      </c>
      <c r="U218" s="16">
        <f>tblCalculation[[#This Row],[FIAttributable]]*tblBOneExport[[#This Row],[PTF_TOTAL_CURVE]]</f>
        <v>1.6749E-6</v>
      </c>
      <c r="V218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-9.8200000000000006E-8</v>
      </c>
      <c r="W218" s="16">
        <f>IF(AND(tblCalculation[[#This Row],[Level3]]="Forward Contracts",tblBOneExport[[#This Row],[PTF_COST_OF_CARRY]]=0),tblBOneExport[[#This Row],[PTF_VALUATION]],0)</f>
        <v>0</v>
      </c>
      <c r="X218" s="16">
        <f>SUM(tblCalculation[[#This Row],[PtfTrading]:[PtfModelRes]])</f>
        <v>-1.92E-8</v>
      </c>
      <c r="Y218" s="16">
        <f>tblCalculation[[#This Row],[FIAttributable]]*tblBOneExport[[#This Row],[PTF_TRADING]]</f>
        <v>0</v>
      </c>
      <c r="Z218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18" s="16">
        <f>tblCalculation[[#This Row],[FIAttributable]]*tblBOneExport[[#This Row],[PTF_MODEL_RESIDUAL]]-PTF_Credit_Adj*tblCalculation[[#This Row],[PtfDTSWeight]]</f>
        <v>-1.92E-8</v>
      </c>
      <c r="AB218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18" s="16">
        <f>tblBOneExport[[#This Row],[BMK_WEIGHT]]</f>
        <v>0</v>
      </c>
      <c r="AD218" s="78">
        <f>tblCalculation[[#This Row],[FIAttributable]]*SUMIFS(tblDTS[DTSContribution_BM],tblDTS[ISIN],tblCalculation[[#This Row],[ISIN]])</f>
        <v>3.3990688289876235E-4</v>
      </c>
      <c r="AE218" s="16">
        <f>IF(SUM(tblCalculation[BMKDTS])=0,0,tblCalculation[[#This Row],[BMKDTS]]/SUM(tblCalculation[BMKDTS]))</f>
        <v>4.039802856889582E-5</v>
      </c>
      <c r="AF218" s="16">
        <f>tblBOneExport[[#This Row],[BMK_CONTRIBUTION]]</f>
        <v>0</v>
      </c>
      <c r="AG218" s="16">
        <f>tblCalculation[[#This Row],[BMKContributionBase]]-tblBOneExport[BMK_SPOT_CCY_RETURN]-tblBOneExport[[#This Row],[BMK_CROSS_EFFECT]]</f>
        <v>0</v>
      </c>
      <c r="AH218" s="16">
        <f>tblCalculation[[#This Row],[FIAttributable]]*(tblBOneExport[[#This Row],[BMK_RETURN_GOV_CARRY]])</f>
        <v>0</v>
      </c>
      <c r="AI218" s="16">
        <f>tblCalculation[[#This Row],[FIAttributable]]*tblBOneExport[[#This Row],[BMK_CREDIT_CARRY]]</f>
        <v>0</v>
      </c>
      <c r="AJ218" s="16">
        <f>tblCalculation[[#This Row],[FIAttributable]]*tblBOneExport[[#This Row],[BMK_TOTAL_CURVE]]</f>
        <v>0</v>
      </c>
      <c r="AK218" s="16">
        <f>tblCalculation[[#This Row],[FIAttributable]]*(tblBOneExport[[#This Row],[BMK_TOTAL_SPREAD]]+BMK_Credit_Adj*tblCalculation[[#This Row],[BmkDTSWeight]])</f>
        <v>0</v>
      </c>
      <c r="AL218" s="16">
        <f>tblCalculation[[#This Row],[FIAttributable]]*tblBOneExport[[#This Row],[BMK_MODEL_RESIDUAL]]-BMK_Credit_Adj*tblCalculation[[#This Row],[BmkDTSWeight]]</f>
        <v>0</v>
      </c>
      <c r="AM218" s="16">
        <f>IF(tblCalculation[[#This Row],[Level3]]="Forward Contracts",tblCalculation[[#This Row],[BMKContributionLocal]],0)</f>
        <v>0</v>
      </c>
      <c r="AN218" s="16">
        <f>tblBOneExport[[#This Row],[BMK_SPOT_CCY_RETURN]]+tblBOneExport[[#This Row],[BMK_CROSS_EFFECT]]</f>
        <v>0</v>
      </c>
    </row>
    <row r="219" spans="5:40" x14ac:dyDescent="0.25">
      <c r="E219" s="7" t="str">
        <f>tblBOneExport[[#This Row],[INSTRUMENT_CODE]]</f>
        <v>BNFWS85</v>
      </c>
      <c r="F219" s="7" t="str">
        <f>tblBOneExport[[#This Row],[INSTRUMENT]]</f>
        <v>COMPASS GROUP 3.85 26/06/26 EMTN</v>
      </c>
      <c r="G219" s="7" t="str">
        <f>IF(tblBOneExport[[#This Row],[ISIN]]&lt;&gt;"", tblBOneExport[[#This Row],[ISIN]],"")</f>
        <v>XS1079317167</v>
      </c>
      <c r="H219" s="7" t="str">
        <f>IF(tblCalculation[[#This Row],[B1Level2]]="CDS",tblBOneExport[[#This Row],[B1_TICKER]],IF(tblCalculation[[#This Row],[ISIN]]="","",INDEX(tblGetStaticData[Ticker],MATCH(tblCalculation[[#This Row],[ISIN]],tblGetStaticData[ISIN],0))))</f>
        <v>CPGLN</v>
      </c>
      <c r="I219" s="7" t="str">
        <f>IF(tblBOneExport[[#This Row],[INSTRUMENT_TYPE]]="Forward Contract","Forward Contract",tblBOneExport[LEVEL2])</f>
        <v>Corporates</v>
      </c>
      <c r="J219" s="7" t="str">
        <f>IF(tblBOneExport[[#This Row],[INSTRUMENT_TYPE]]="Forward Contract","Forward Contract",tblBOneExport[[#This Row],[LEVEL3]])</f>
        <v>Industrials</v>
      </c>
      <c r="K219" s="7" t="str">
        <f>INDEX(tblLvl2Mapping[],MATCH(tblCalculation[[#This Row],[B1Level2]]&amp;"_"&amp;tblCalculation[[#This Row],[B1Level3]],tblLvl2Mapping[B1Level2_B1Level3],0),2)</f>
        <v>Corporate</v>
      </c>
      <c r="L219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19" s="7">
        <f>INDEX(tblAttributable[],MATCH(tblCalculation[[#This Row],[Level3]],tblAttributable[Level3],0),2)</f>
        <v>1</v>
      </c>
      <c r="N219" s="16">
        <f>tblBOneExport[[#This Row],[PTF_WEIGHT]]</f>
        <v>9.8809530999999992E-3</v>
      </c>
      <c r="O219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5.391074098036084E-2</v>
      </c>
      <c r="P219" s="48">
        <f>tblCalculation[[#This Row],[PtfDTS]]/SUM(tblCalculation[PtfDTS])</f>
        <v>6.5378786021440113E-3</v>
      </c>
      <c r="Q219" s="16">
        <f>tblBOneExport[[#This Row],[PTF_CONTRIBUTION]]</f>
        <v>1.579587E-4</v>
      </c>
      <c r="R219" s="16">
        <f>tblCalculation[[#This Row],[PtfContributionBase]]-tblCalculation[[#This Row],[PtfCurrencyReturn]]</f>
        <v>1.579587E-4</v>
      </c>
      <c r="S219" s="16">
        <f>IF(tblBOneExport[[#This Row],[LEVEL1]]="Bonds",tblBOneExport[[#This Row],[PTF_GOV_CARRY]],"")</f>
        <v>8.1720999999999992E-6</v>
      </c>
      <c r="T219" s="16">
        <f>tblCalculation[[#This Row],[FIAttributable]]*tblBOneExport[[#This Row],[PTF_CREDIT_CARRY]]</f>
        <v>6.8627000000000004E-6</v>
      </c>
      <c r="U219" s="16">
        <f>tblCalculation[[#This Row],[FIAttributable]]*tblBOneExport[[#This Row],[PTF_TOTAL_CURVE]]</f>
        <v>1.4952950000000001E-4</v>
      </c>
      <c r="V219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-1.39445E-5</v>
      </c>
      <c r="W219" s="16">
        <f>IF(AND(tblCalculation[[#This Row],[Level3]]="Forward Contracts",tblBOneExport[[#This Row],[PTF_COST_OF_CARRY]]=0),tblBOneExport[[#This Row],[PTF_VALUATION]],0)</f>
        <v>0</v>
      </c>
      <c r="X219" s="16">
        <f>SUM(tblCalculation[[#This Row],[PtfTrading]:[PtfModelRes]])</f>
        <v>7.3389000000000002E-6</v>
      </c>
      <c r="Y219" s="16">
        <f>tblCalculation[[#This Row],[FIAttributable]]*tblBOneExport[[#This Row],[PTF_TRADING]]</f>
        <v>0</v>
      </c>
      <c r="Z219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19" s="16">
        <f>tblCalculation[[#This Row],[FIAttributable]]*tblBOneExport[[#This Row],[PTF_MODEL_RESIDUAL]]-PTF_Credit_Adj*tblCalculation[[#This Row],[PtfDTSWeight]]</f>
        <v>7.3389000000000002E-6</v>
      </c>
      <c r="AB219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19" s="16">
        <f>tblBOneExport[[#This Row],[BMK_WEIGHT]]</f>
        <v>0</v>
      </c>
      <c r="AD219" s="78">
        <f>tblCalculation[[#This Row],[FIAttributable]]*SUMIFS(tblDTS[DTSContribution_BM],tblDTS[ISIN],tblCalculation[[#This Row],[ISIN]])</f>
        <v>5.6328423052548308E-2</v>
      </c>
      <c r="AE219" s="16">
        <f>IF(SUM(tblCalculation[BMKDTS])=0,0,tblCalculation[[#This Row],[BMKDTS]]/SUM(tblCalculation[BMKDTS]))</f>
        <v>6.6946489118181428E-3</v>
      </c>
      <c r="AF219" s="16">
        <f>tblBOneExport[[#This Row],[BMK_CONTRIBUTION]]</f>
        <v>0</v>
      </c>
      <c r="AG219" s="16">
        <f>tblCalculation[[#This Row],[BMKContributionBase]]-tblBOneExport[BMK_SPOT_CCY_RETURN]-tblBOneExport[[#This Row],[BMK_CROSS_EFFECT]]</f>
        <v>0</v>
      </c>
      <c r="AH219" s="16">
        <f>tblCalculation[[#This Row],[FIAttributable]]*(tblBOneExport[[#This Row],[BMK_RETURN_GOV_CARRY]])</f>
        <v>0</v>
      </c>
      <c r="AI219" s="16">
        <f>tblCalculation[[#This Row],[FIAttributable]]*tblBOneExport[[#This Row],[BMK_CREDIT_CARRY]]</f>
        <v>0</v>
      </c>
      <c r="AJ219" s="16">
        <f>tblCalculation[[#This Row],[FIAttributable]]*tblBOneExport[[#This Row],[BMK_TOTAL_CURVE]]</f>
        <v>0</v>
      </c>
      <c r="AK219" s="16">
        <f>tblCalculation[[#This Row],[FIAttributable]]*(tblBOneExport[[#This Row],[BMK_TOTAL_SPREAD]]+BMK_Credit_Adj*tblCalculation[[#This Row],[BmkDTSWeight]])</f>
        <v>0</v>
      </c>
      <c r="AL219" s="16">
        <f>tblCalculation[[#This Row],[FIAttributable]]*tblBOneExport[[#This Row],[BMK_MODEL_RESIDUAL]]-BMK_Credit_Adj*tblCalculation[[#This Row],[BmkDTSWeight]]</f>
        <v>0</v>
      </c>
      <c r="AM219" s="16">
        <f>IF(tblCalculation[[#This Row],[Level3]]="Forward Contracts",tblCalculation[[#This Row],[BMKContributionLocal]],0)</f>
        <v>0</v>
      </c>
      <c r="AN219" s="16">
        <f>tblBOneExport[[#This Row],[BMK_SPOT_CCY_RETURN]]+tblBOneExport[[#This Row],[BMK_CROSS_EFFECT]]</f>
        <v>0</v>
      </c>
    </row>
    <row r="220" spans="5:40" x14ac:dyDescent="0.25">
      <c r="E220" s="7" t="str">
        <f>tblBOneExport[[#This Row],[INSTRUMENT_CODE]]</f>
        <v>BP8G2P3</v>
      </c>
      <c r="F220" s="7" t="str">
        <f>tblBOneExport[[#This Row],[INSTRUMENT]]</f>
        <v>MOTABILITY OPS 3.75 16/07/26 EMTN</v>
      </c>
      <c r="G220" s="7" t="str">
        <f>IF(tblBOneExport[[#This Row],[ISIN]]&lt;&gt;"", tblBOneExport[[#This Row],[ISIN]],"")</f>
        <v>XS1088016206</v>
      </c>
      <c r="H220" s="7" t="str">
        <f>IF(tblCalculation[[#This Row],[B1Level2]]="CDS",tblBOneExport[[#This Row],[B1_TICKER]],IF(tblCalculation[[#This Row],[ISIN]]="","",INDEX(tblGetStaticData[Ticker],MATCH(tblCalculation[[#This Row],[ISIN]],tblGetStaticData[ISIN],0))))</f>
        <v>MOTOPG</v>
      </c>
      <c r="I220" s="7" t="str">
        <f>IF(tblBOneExport[[#This Row],[INSTRUMENT_TYPE]]="Forward Contract","Forward Contract",tblBOneExport[LEVEL2])</f>
        <v>Corporates</v>
      </c>
      <c r="J220" s="7" t="str">
        <f>IF(tblBOneExport[[#This Row],[INSTRUMENT_TYPE]]="Forward Contract","Forward Contract",tblBOneExport[[#This Row],[LEVEL3]])</f>
        <v>Industrials</v>
      </c>
      <c r="K220" s="7" t="str">
        <f>INDEX(tblLvl2Mapping[],MATCH(tblCalculation[[#This Row],[B1Level2]]&amp;"_"&amp;tblCalculation[[#This Row],[B1Level3]],tblLvl2Mapping[B1Level2_B1Level3],0),2)</f>
        <v>Corporate</v>
      </c>
      <c r="L220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20" s="7">
        <f>INDEX(tblAttributable[],MATCH(tblCalculation[[#This Row],[Level3]],tblAttributable[Level3],0),2)</f>
        <v>1</v>
      </c>
      <c r="N220" s="16">
        <f>tblBOneExport[[#This Row],[PTF_WEIGHT]]</f>
        <v>2.9678713000000001E-3</v>
      </c>
      <c r="O220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1.6104896765232902E-2</v>
      </c>
      <c r="P220" s="48">
        <f>tblCalculation[[#This Row],[PtfDTS]]/SUM(tblCalculation[PtfDTS])</f>
        <v>1.9530775878133693E-3</v>
      </c>
      <c r="Q220" s="16">
        <f>tblBOneExport[[#This Row],[PTF_CONTRIBUTION]]</f>
        <v>4.3903299999999997E-5</v>
      </c>
      <c r="R220" s="16">
        <f>tblCalculation[[#This Row],[PtfContributionBase]]-tblCalculation[[#This Row],[PtfCurrencyReturn]]</f>
        <v>4.3903299999999997E-5</v>
      </c>
      <c r="S220" s="16">
        <f>IF(tblBOneExport[[#This Row],[LEVEL1]]="Bonds",tblBOneExport[[#This Row],[PTF_GOV_CARRY]],"")</f>
        <v>2.4735000000000001E-6</v>
      </c>
      <c r="T220" s="16">
        <f>tblCalculation[[#This Row],[FIAttributable]]*tblBOneExport[[#This Row],[PTF_CREDIT_CARRY]]</f>
        <v>2.0155E-6</v>
      </c>
      <c r="U220" s="16">
        <f>tblCalculation[[#This Row],[FIAttributable]]*tblBOneExport[[#This Row],[PTF_TOTAL_CURVE]]</f>
        <v>4.5362099999999997E-5</v>
      </c>
      <c r="V220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-5.6628999999999996E-6</v>
      </c>
      <c r="W220" s="16">
        <f>IF(AND(tblCalculation[[#This Row],[Level3]]="Forward Contracts",tblBOneExport[[#This Row],[PTF_COST_OF_CARRY]]=0),tblBOneExport[[#This Row],[PTF_VALUATION]],0)</f>
        <v>0</v>
      </c>
      <c r="X220" s="16">
        <f>SUM(tblCalculation[[#This Row],[PtfTrading]:[PtfModelRes]])</f>
        <v>-2.8500000000000002E-7</v>
      </c>
      <c r="Y220" s="16">
        <f>tblCalculation[[#This Row],[FIAttributable]]*tblBOneExport[[#This Row],[PTF_TRADING]]</f>
        <v>0</v>
      </c>
      <c r="Z220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20" s="16">
        <f>tblCalculation[[#This Row],[FIAttributable]]*tblBOneExport[[#This Row],[PTF_MODEL_RESIDUAL]]-PTF_Credit_Adj*tblCalculation[[#This Row],[PtfDTSWeight]]</f>
        <v>-2.8500000000000002E-7</v>
      </c>
      <c r="AB220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20" s="16">
        <f>tblBOneExport[[#This Row],[BMK_WEIGHT]]</f>
        <v>0</v>
      </c>
      <c r="AD220" s="78">
        <f>tblCalculation[[#This Row],[FIAttributable]]*SUMIFS(tblDTS[DTSContribution_BM],tblDTS[ISIN],tblCalculation[[#This Row],[ISIN]])</f>
        <v>2.1256128122062012E-2</v>
      </c>
      <c r="AE220" s="16">
        <f>IF(SUM(tblCalculation[BMKDTS])=0,0,tblCalculation[[#This Row],[BMKDTS]]/SUM(tblCalculation[BMKDTS]))</f>
        <v>2.5262968016888532E-3</v>
      </c>
      <c r="AF220" s="16">
        <f>tblBOneExport[[#This Row],[BMK_CONTRIBUTION]]</f>
        <v>0</v>
      </c>
      <c r="AG220" s="16">
        <f>tblCalculation[[#This Row],[BMKContributionBase]]-tblBOneExport[BMK_SPOT_CCY_RETURN]-tblBOneExport[[#This Row],[BMK_CROSS_EFFECT]]</f>
        <v>0</v>
      </c>
      <c r="AH220" s="16">
        <f>tblCalculation[[#This Row],[FIAttributable]]*(tblBOneExport[[#This Row],[BMK_RETURN_GOV_CARRY]])</f>
        <v>0</v>
      </c>
      <c r="AI220" s="16">
        <f>tblCalculation[[#This Row],[FIAttributable]]*tblBOneExport[[#This Row],[BMK_CREDIT_CARRY]]</f>
        <v>0</v>
      </c>
      <c r="AJ220" s="16">
        <f>tblCalculation[[#This Row],[FIAttributable]]*tblBOneExport[[#This Row],[BMK_TOTAL_CURVE]]</f>
        <v>0</v>
      </c>
      <c r="AK220" s="16">
        <f>tblCalculation[[#This Row],[FIAttributable]]*(tblBOneExport[[#This Row],[BMK_TOTAL_SPREAD]]+BMK_Credit_Adj*tblCalculation[[#This Row],[BmkDTSWeight]])</f>
        <v>0</v>
      </c>
      <c r="AL220" s="16">
        <f>tblCalculation[[#This Row],[FIAttributable]]*tblBOneExport[[#This Row],[BMK_MODEL_RESIDUAL]]-BMK_Credit_Adj*tblCalculation[[#This Row],[BmkDTSWeight]]</f>
        <v>0</v>
      </c>
      <c r="AM220" s="16">
        <f>IF(tblCalculation[[#This Row],[Level3]]="Forward Contracts",tblCalculation[[#This Row],[BMKContributionLocal]],0)</f>
        <v>0</v>
      </c>
      <c r="AN220" s="16">
        <f>tblBOneExport[[#This Row],[BMK_SPOT_CCY_RETURN]]+tblBOneExport[[#This Row],[BMK_CROSS_EFFECT]]</f>
        <v>0</v>
      </c>
    </row>
    <row r="221" spans="5:40" x14ac:dyDescent="0.25">
      <c r="E221" s="7" t="str">
        <f>tblBOneExport[[#This Row],[INSTRUMENT_CODE]]</f>
        <v>BSJCBH6</v>
      </c>
      <c r="F221" s="7" t="str">
        <f>tblBOneExport[[#This Row],[INSTRUMENT]]</f>
        <v>SHELL INTL FIN 2 20/12/19 EMTN</v>
      </c>
      <c r="G221" s="7" t="str">
        <f>IF(tblBOneExport[[#This Row],[ISIN]]&lt;&gt;"", tblBOneExport[[#This Row],[ISIN]],"")</f>
        <v>XS1135277736</v>
      </c>
      <c r="H221" s="7" t="str">
        <f>IF(tblCalculation[[#This Row],[B1Level2]]="CDS",tblBOneExport[[#This Row],[B1_TICKER]],IF(tblCalculation[[#This Row],[ISIN]]="","",INDEX(tblGetStaticData[Ticker],MATCH(tblCalculation[[#This Row],[ISIN]],tblGetStaticData[ISIN],0))))</f>
        <v>RDSALN</v>
      </c>
      <c r="I221" s="7" t="str">
        <f>IF(tblBOneExport[[#This Row],[INSTRUMENT_TYPE]]="Forward Contract","Forward Contract",tblBOneExport[LEVEL2])</f>
        <v>Corporates</v>
      </c>
      <c r="J221" s="7" t="str">
        <f>IF(tblBOneExport[[#This Row],[INSTRUMENT_TYPE]]="Forward Contract","Forward Contract",tblBOneExport[[#This Row],[LEVEL3]])</f>
        <v>Industrials</v>
      </c>
      <c r="K221" s="7" t="str">
        <f>INDEX(tblLvl2Mapping[],MATCH(tblCalculation[[#This Row],[B1Level2]]&amp;"_"&amp;tblCalculation[[#This Row],[B1Level3]],tblLvl2Mapping[B1Level2_B1Level3],0),2)</f>
        <v>Corporate</v>
      </c>
      <c r="L221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21" s="7">
        <f>INDEX(tblAttributable[],MATCH(tblCalculation[[#This Row],[Level3]],tblAttributable[Level3],0),2)</f>
        <v>1</v>
      </c>
      <c r="N221" s="16">
        <f>tblBOneExport[[#This Row],[PTF_WEIGHT]]</f>
        <v>1.2063235E-3</v>
      </c>
      <c r="O221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5.9085337414699346E-4</v>
      </c>
      <c r="P221" s="48">
        <f>tblCalculation[[#This Row],[PtfDTS]]/SUM(tblCalculation[PtfDTS])</f>
        <v>7.1654137220029043E-5</v>
      </c>
      <c r="Q221" s="16">
        <f>tblBOneExport[[#This Row],[PTF_CONTRIBUTION]]</f>
        <v>3.8804000000000002E-6</v>
      </c>
      <c r="R221" s="16">
        <f>tblCalculation[[#This Row],[PtfContributionBase]]-tblCalculation[[#This Row],[PtfCurrencyReturn]]</f>
        <v>3.8804000000000002E-6</v>
      </c>
      <c r="S221" s="16">
        <f>IF(tblBOneExport[[#This Row],[LEVEL1]]="Bonds",tblBOneExport[[#This Row],[PTF_GOV_CARRY]],"")</f>
        <v>2.3020000000000001E-7</v>
      </c>
      <c r="T221" s="16">
        <f>tblCalculation[[#This Row],[FIAttributable]]*tblBOneExport[[#This Row],[PTF_CREDIT_CARRY]]</f>
        <v>5.1210000000000004E-7</v>
      </c>
      <c r="U221" s="16">
        <f>tblCalculation[[#This Row],[FIAttributable]]*tblBOneExport[[#This Row],[PTF_TOTAL_CURVE]]</f>
        <v>2.8853999999999999E-6</v>
      </c>
      <c r="V221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1.9969999999999999E-7</v>
      </c>
      <c r="W221" s="16">
        <f>IF(AND(tblCalculation[[#This Row],[Level3]]="Forward Contracts",tblBOneExport[[#This Row],[PTF_COST_OF_CARRY]]=0),tblBOneExport[[#This Row],[PTF_VALUATION]],0)</f>
        <v>0</v>
      </c>
      <c r="X221" s="16">
        <f>SUM(tblCalculation[[#This Row],[PtfTrading]:[PtfModelRes]])</f>
        <v>5.3099999999999999E-8</v>
      </c>
      <c r="Y221" s="16">
        <f>tblCalculation[[#This Row],[FIAttributable]]*tblBOneExport[[#This Row],[PTF_TRADING]]</f>
        <v>0</v>
      </c>
      <c r="Z221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21" s="16">
        <f>tblCalculation[[#This Row],[FIAttributable]]*tblBOneExport[[#This Row],[PTF_MODEL_RESIDUAL]]-PTF_Credit_Adj*tblCalculation[[#This Row],[PtfDTSWeight]]</f>
        <v>5.3099999999999999E-8</v>
      </c>
      <c r="AB221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21" s="16">
        <f>tblBOneExport[[#This Row],[BMK_WEIGHT]]</f>
        <v>0</v>
      </c>
      <c r="AD221" s="78">
        <f>tblCalculation[[#This Row],[FIAttributable]]*SUMIFS(tblDTS[DTSContribution_BM],tblDTS[ISIN],tblCalculation[[#This Row],[ISIN]])</f>
        <v>7.7984596489544093E-4</v>
      </c>
      <c r="AE221" s="16">
        <f>IF(SUM(tblCalculation[BMKDTS])=0,0,tblCalculation[[#This Row],[BMKDTS]]/SUM(tblCalculation[BMKDTS]))</f>
        <v>9.2684912116261408E-5</v>
      </c>
      <c r="AF221" s="16">
        <f>tblBOneExport[[#This Row],[BMK_CONTRIBUTION]]</f>
        <v>0</v>
      </c>
      <c r="AG221" s="16">
        <f>tblCalculation[[#This Row],[BMKContributionBase]]-tblBOneExport[BMK_SPOT_CCY_RETURN]-tblBOneExport[[#This Row],[BMK_CROSS_EFFECT]]</f>
        <v>0</v>
      </c>
      <c r="AH221" s="16">
        <f>tblCalculation[[#This Row],[FIAttributable]]*(tblBOneExport[[#This Row],[BMK_RETURN_GOV_CARRY]])</f>
        <v>0</v>
      </c>
      <c r="AI221" s="16">
        <f>tblCalculation[[#This Row],[FIAttributable]]*tblBOneExport[[#This Row],[BMK_CREDIT_CARRY]]</f>
        <v>0</v>
      </c>
      <c r="AJ221" s="16">
        <f>tblCalculation[[#This Row],[FIAttributable]]*tblBOneExport[[#This Row],[BMK_TOTAL_CURVE]]</f>
        <v>0</v>
      </c>
      <c r="AK221" s="16">
        <f>tblCalculation[[#This Row],[FIAttributable]]*(tblBOneExport[[#This Row],[BMK_TOTAL_SPREAD]]+BMK_Credit_Adj*tblCalculation[[#This Row],[BmkDTSWeight]])</f>
        <v>0</v>
      </c>
      <c r="AL221" s="16">
        <f>tblCalculation[[#This Row],[FIAttributable]]*tblBOneExport[[#This Row],[BMK_MODEL_RESIDUAL]]-BMK_Credit_Adj*tblCalculation[[#This Row],[BmkDTSWeight]]</f>
        <v>0</v>
      </c>
      <c r="AM221" s="16">
        <f>IF(tblCalculation[[#This Row],[Level3]]="Forward Contracts",tblCalculation[[#This Row],[BMKContributionLocal]],0)</f>
        <v>0</v>
      </c>
      <c r="AN221" s="16">
        <f>tblBOneExport[[#This Row],[BMK_SPOT_CCY_RETURN]]+tblBOneExport[[#This Row],[BMK_CROSS_EFFECT]]</f>
        <v>0</v>
      </c>
    </row>
    <row r="222" spans="5:40" x14ac:dyDescent="0.25">
      <c r="E222" s="7" t="str">
        <f>tblBOneExport[[#This Row],[INSTRUMENT_CODE]]</f>
        <v>BSZM1H0</v>
      </c>
      <c r="F222" s="7" t="str">
        <f>tblBOneExport[[#This Row],[INSTRUMENT]]</f>
        <v>JOHN LEWIS 4.25 18/12/34</v>
      </c>
      <c r="G222" s="7" t="str">
        <f>IF(tblBOneExport[[#This Row],[ISIN]]&lt;&gt;"", tblBOneExport[[#This Row],[ISIN]],"")</f>
        <v>XS1140961563</v>
      </c>
      <c r="H222" s="7" t="str">
        <f>IF(tblCalculation[[#This Row],[B1Level2]]="CDS",tblBOneExport[[#This Row],[B1_TICKER]],IF(tblCalculation[[#This Row],[ISIN]]="","",INDEX(tblGetStaticData[Ticker],MATCH(tblCalculation[[#This Row],[ISIN]],tblGetStaticData[ISIN],0))))</f>
        <v>JOHLEW</v>
      </c>
      <c r="I222" s="7" t="str">
        <f>IF(tblBOneExport[[#This Row],[INSTRUMENT_TYPE]]="Forward Contract","Forward Contract",tblBOneExport[LEVEL2])</f>
        <v>Corporates</v>
      </c>
      <c r="J222" s="7" t="str">
        <f>IF(tblBOneExport[[#This Row],[INSTRUMENT_TYPE]]="Forward Contract","Forward Contract",tblBOneExport[[#This Row],[LEVEL3]])</f>
        <v>Industrials</v>
      </c>
      <c r="K222" s="7" t="str">
        <f>INDEX(tblLvl2Mapping[],MATCH(tblCalculation[[#This Row],[B1Level2]]&amp;"_"&amp;tblCalculation[[#This Row],[B1Level3]],tblLvl2Mapping[B1Level2_B1Level3],0),2)</f>
        <v>Corporate</v>
      </c>
      <c r="L222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22" s="7">
        <f>INDEX(tblAttributable[],MATCH(tblCalculation[[#This Row],[Level3]],tblAttributable[Level3],0),2)</f>
        <v>1</v>
      </c>
      <c r="N222" s="16">
        <f>tblBOneExport[[#This Row],[PTF_WEIGHT]]</f>
        <v>1.7583868000000001E-3</v>
      </c>
      <c r="O222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4.9165780711693904E-2</v>
      </c>
      <c r="P222" s="48">
        <f>tblCalculation[[#This Row],[PtfDTS]]/SUM(tblCalculation[PtfDTS])</f>
        <v>5.9624464406784136E-3</v>
      </c>
      <c r="Q222" s="16">
        <f>tblBOneExport[[#This Row],[PTF_CONTRIBUTION]]</f>
        <v>3.8695300000000002E-5</v>
      </c>
      <c r="R222" s="16">
        <f>tblCalculation[[#This Row],[PtfContributionBase]]-tblCalculation[[#This Row],[PtfCurrencyReturn]]</f>
        <v>3.8695300000000002E-5</v>
      </c>
      <c r="S222" s="16">
        <f>IF(tblBOneExport[[#This Row],[LEVEL1]]="Bonds",tblBOneExport[[#This Row],[PTF_GOV_CARRY]],"")</f>
        <v>2.2579E-6</v>
      </c>
      <c r="T222" s="16">
        <f>tblCalculation[[#This Row],[FIAttributable]]*tblBOneExport[[#This Row],[PTF_CREDIT_CARRY]]</f>
        <v>3.2339000000000001E-6</v>
      </c>
      <c r="U222" s="16">
        <f>tblCalculation[[#This Row],[FIAttributable]]*tblBOneExport[[#This Row],[PTF_TOTAL_CURVE]]</f>
        <v>2.89843E-5</v>
      </c>
      <c r="V222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-1.8909999999999999E-7</v>
      </c>
      <c r="W222" s="16">
        <f>IF(AND(tblCalculation[[#This Row],[Level3]]="Forward Contracts",tblBOneExport[[#This Row],[PTF_COST_OF_CARRY]]=0),tblBOneExport[[#This Row],[PTF_VALUATION]],0)</f>
        <v>0</v>
      </c>
      <c r="X222" s="16">
        <f>SUM(tblCalculation[[#This Row],[PtfTrading]:[PtfModelRes]])</f>
        <v>4.4082999999999998E-6</v>
      </c>
      <c r="Y222" s="16">
        <f>tblCalculation[[#This Row],[FIAttributable]]*tblBOneExport[[#This Row],[PTF_TRADING]]</f>
        <v>0</v>
      </c>
      <c r="Z222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22" s="16">
        <f>tblCalculation[[#This Row],[FIAttributable]]*tblBOneExport[[#This Row],[PTF_MODEL_RESIDUAL]]-PTF_Credit_Adj*tblCalculation[[#This Row],[PtfDTSWeight]]</f>
        <v>4.4082999999999998E-6</v>
      </c>
      <c r="AB222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22" s="16">
        <f>tblBOneExport[[#This Row],[BMK_WEIGHT]]</f>
        <v>0</v>
      </c>
      <c r="AD222" s="78">
        <f>tblCalculation[[#This Row],[FIAttributable]]*SUMIFS(tblDTS[DTSContribution_BM],tblDTS[ISIN],tblCalculation[[#This Row],[ISIN]])</f>
        <v>0</v>
      </c>
      <c r="AE222" s="16">
        <f>IF(SUM(tblCalculation[BMKDTS])=0,0,tblCalculation[[#This Row],[BMKDTS]]/SUM(tblCalculation[BMKDTS]))</f>
        <v>0</v>
      </c>
      <c r="AF222" s="16">
        <f>tblBOneExport[[#This Row],[BMK_CONTRIBUTION]]</f>
        <v>0</v>
      </c>
      <c r="AG222" s="16">
        <f>tblCalculation[[#This Row],[BMKContributionBase]]-tblBOneExport[BMK_SPOT_CCY_RETURN]-tblBOneExport[[#This Row],[BMK_CROSS_EFFECT]]</f>
        <v>0</v>
      </c>
      <c r="AH222" s="16">
        <f>tblCalculation[[#This Row],[FIAttributable]]*(tblBOneExport[[#This Row],[BMK_RETURN_GOV_CARRY]])</f>
        <v>0</v>
      </c>
      <c r="AI222" s="16">
        <f>tblCalculation[[#This Row],[FIAttributable]]*tblBOneExport[[#This Row],[BMK_CREDIT_CARRY]]</f>
        <v>0</v>
      </c>
      <c r="AJ222" s="16">
        <f>tblCalculation[[#This Row],[FIAttributable]]*tblBOneExport[[#This Row],[BMK_TOTAL_CURVE]]</f>
        <v>0</v>
      </c>
      <c r="AK222" s="16">
        <f>tblCalculation[[#This Row],[FIAttributable]]*(tblBOneExport[[#This Row],[BMK_TOTAL_SPREAD]]+BMK_Credit_Adj*tblCalculation[[#This Row],[BmkDTSWeight]])</f>
        <v>0</v>
      </c>
      <c r="AL222" s="16">
        <f>tblCalculation[[#This Row],[FIAttributable]]*tblBOneExport[[#This Row],[BMK_MODEL_RESIDUAL]]-BMK_Credit_Adj*tblCalculation[[#This Row],[BmkDTSWeight]]</f>
        <v>0</v>
      </c>
      <c r="AM222" s="16">
        <f>IF(tblCalculation[[#This Row],[Level3]]="Forward Contracts",tblCalculation[[#This Row],[BMKContributionLocal]],0)</f>
        <v>0</v>
      </c>
      <c r="AN222" s="16">
        <f>tblBOneExport[[#This Row],[BMK_SPOT_CCY_RETURN]]+tblBOneExport[[#This Row],[BMK_CROSS_EFFECT]]</f>
        <v>0</v>
      </c>
    </row>
    <row r="223" spans="5:40" x14ac:dyDescent="0.25">
      <c r="E223" s="7" t="str">
        <f>tblBOneExport[[#This Row],[INSTRUMENT_CODE]]</f>
        <v>BTDY3C4</v>
      </c>
      <c r="F223" s="7" t="str">
        <f>tblBOneExport[[#This Row],[INSTRUMENT]]</f>
        <v>GUERNSEY (GOVT) 3.375 12/12/46</v>
      </c>
      <c r="G223" s="7" t="str">
        <f>IF(tblBOneExport[[#This Row],[ISIN]]&lt;&gt;"", tblBOneExport[[#This Row],[ISIN]],"")</f>
        <v>XS1143189576</v>
      </c>
      <c r="H223" s="7" t="str">
        <f>IF(tblCalculation[[#This Row],[B1Level2]]="CDS",tblBOneExport[[#This Row],[B1_TICKER]],IF(tblCalculation[[#This Row],[ISIN]]="","",INDEX(tblGetStaticData[Ticker],MATCH(tblCalculation[[#This Row],[ISIN]],tblGetStaticData[ISIN],0))))</f>
        <v>GURNSY</v>
      </c>
      <c r="I223" s="7" t="str">
        <f>IF(tblBOneExport[[#This Row],[INSTRUMENT_TYPE]]="Forward Contract","Forward Contract",tblBOneExport[LEVEL2])</f>
        <v>Non-Corporate</v>
      </c>
      <c r="J223" s="7" t="str">
        <f>IF(tblBOneExport[[#This Row],[INSTRUMENT_TYPE]]="Forward Contract","Forward Contract",tblBOneExport[[#This Row],[LEVEL3]])</f>
        <v>Sovereigns</v>
      </c>
      <c r="K223" s="7" t="str">
        <f>INDEX(tblLvl2Mapping[],MATCH(tblCalculation[[#This Row],[B1Level2]]&amp;"_"&amp;tblCalculation[[#This Row],[B1Level3]],tblLvl2Mapping[B1Level2_B1Level3],0),2)</f>
        <v>Sovereigns</v>
      </c>
      <c r="L223" s="7" t="str">
        <f>IF(tblCalculation[[#This Row],[Level2]]="Sovereigns",IF(ISERROR(MATCH(tblCalculation[[#This Row],[Ticker]],tblRiskFreeTickers[RiskFreeTickers],0)),"Other Sovereign","Sovereigns"),tblCalculation[[#This Row],[Level2]])</f>
        <v>Other Sovereign</v>
      </c>
      <c r="M223" s="7">
        <f>INDEX(tblAttributable[],MATCH(tblCalculation[[#This Row],[Level3]],tblAttributable[Level3],0),2)</f>
        <v>1</v>
      </c>
      <c r="N223" s="16">
        <f>tblBOneExport[[#This Row],[PTF_WEIGHT]]</f>
        <v>2.0197856999999999E-3</v>
      </c>
      <c r="O223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4.5421518903604866E-2</v>
      </c>
      <c r="P223" s="48">
        <f>tblCalculation[[#This Row],[PtfDTS]]/SUM(tblCalculation[PtfDTS])</f>
        <v>5.5083712654763507E-3</v>
      </c>
      <c r="Q223" s="16">
        <f>tblBOneExport[[#This Row],[PTF_CONTRIBUTION]]</f>
        <v>6.4889799999999997E-5</v>
      </c>
      <c r="R223" s="16">
        <f>tblCalculation[[#This Row],[PtfContributionBase]]-tblCalculation[[#This Row],[PtfCurrencyReturn]]</f>
        <v>6.4889799999999997E-5</v>
      </c>
      <c r="S223" s="16">
        <f>IF(tblBOneExport[[#This Row],[LEVEL1]]="Bonds",tblBOneExport[[#This Row],[PTF_GOV_CARRY]],"")</f>
        <v>2.9762E-6</v>
      </c>
      <c r="T223" s="16">
        <f>tblCalculation[[#This Row],[FIAttributable]]*tblBOneExport[[#This Row],[PTF_CREDIT_CARRY]]</f>
        <v>1.5484000000000001E-6</v>
      </c>
      <c r="U223" s="16">
        <f>tblCalculation[[#This Row],[FIAttributable]]*tblBOneExport[[#This Row],[PTF_TOTAL_CURVE]]</f>
        <v>6.39334E-5</v>
      </c>
      <c r="V223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-9.8969000000000001E-6</v>
      </c>
      <c r="W223" s="16">
        <f>IF(AND(tblCalculation[[#This Row],[Level3]]="Forward Contracts",tblBOneExport[[#This Row],[PTF_COST_OF_CARRY]]=0),tblBOneExport[[#This Row],[PTF_VALUATION]],0)</f>
        <v>0</v>
      </c>
      <c r="X223" s="16">
        <f>SUM(tblCalculation[[#This Row],[PtfTrading]:[PtfModelRes]])</f>
        <v>6.3287000000000001E-6</v>
      </c>
      <c r="Y223" s="16">
        <f>tblCalculation[[#This Row],[FIAttributable]]*tblBOneExport[[#This Row],[PTF_TRADING]]</f>
        <v>0</v>
      </c>
      <c r="Z223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23" s="16">
        <f>tblCalculation[[#This Row],[FIAttributable]]*tblBOneExport[[#This Row],[PTF_MODEL_RESIDUAL]]-PTF_Credit_Adj*tblCalculation[[#This Row],[PtfDTSWeight]]</f>
        <v>6.3287000000000001E-6</v>
      </c>
      <c r="AB223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23" s="16">
        <f>tblBOneExport[[#This Row],[BMK_WEIGHT]]</f>
        <v>0</v>
      </c>
      <c r="AD223" s="78">
        <f>tblCalculation[[#This Row],[FIAttributable]]*SUMIFS(tblDTS[DTSContribution_BM],tblDTS[ISIN],tblCalculation[[#This Row],[ISIN]])</f>
        <v>5.9949809089777054E-2</v>
      </c>
      <c r="AE223" s="16">
        <f>IF(SUM(tblCalculation[BMKDTS])=0,0,tblCalculation[[#This Row],[BMKDTS]]/SUM(tblCalculation[BMKDTS]))</f>
        <v>7.1250516601924383E-3</v>
      </c>
      <c r="AF223" s="16">
        <f>tblBOneExport[[#This Row],[BMK_CONTRIBUTION]]</f>
        <v>0</v>
      </c>
      <c r="AG223" s="16">
        <f>tblCalculation[[#This Row],[BMKContributionBase]]-tblBOneExport[BMK_SPOT_CCY_RETURN]-tblBOneExport[[#This Row],[BMK_CROSS_EFFECT]]</f>
        <v>0</v>
      </c>
      <c r="AH223" s="16">
        <f>tblCalculation[[#This Row],[FIAttributable]]*(tblBOneExport[[#This Row],[BMK_RETURN_GOV_CARRY]])</f>
        <v>0</v>
      </c>
      <c r="AI223" s="16">
        <f>tblCalculation[[#This Row],[FIAttributable]]*tblBOneExport[[#This Row],[BMK_CREDIT_CARRY]]</f>
        <v>0</v>
      </c>
      <c r="AJ223" s="16">
        <f>tblCalculation[[#This Row],[FIAttributable]]*tblBOneExport[[#This Row],[BMK_TOTAL_CURVE]]</f>
        <v>0</v>
      </c>
      <c r="AK223" s="16">
        <f>tblCalculation[[#This Row],[FIAttributable]]*(tblBOneExport[[#This Row],[BMK_TOTAL_SPREAD]]+BMK_Credit_Adj*tblCalculation[[#This Row],[BmkDTSWeight]])</f>
        <v>0</v>
      </c>
      <c r="AL223" s="16">
        <f>tblCalculation[[#This Row],[FIAttributable]]*tblBOneExport[[#This Row],[BMK_MODEL_RESIDUAL]]-BMK_Credit_Adj*tblCalculation[[#This Row],[BmkDTSWeight]]</f>
        <v>0</v>
      </c>
      <c r="AM223" s="16">
        <f>IF(tblCalculation[[#This Row],[Level3]]="Forward Contracts",tblCalculation[[#This Row],[BMKContributionLocal]],0)</f>
        <v>0</v>
      </c>
      <c r="AN223" s="16">
        <f>tblBOneExport[[#This Row],[BMK_SPOT_CCY_RETURN]]+tblBOneExport[[#This Row],[BMK_CROSS_EFFECT]]</f>
        <v>0</v>
      </c>
    </row>
    <row r="224" spans="5:40" x14ac:dyDescent="0.25">
      <c r="E224" s="7" t="str">
        <f>tblBOneExport[[#This Row],[INSTRUMENT_CODE]]</f>
        <v>BSQXQJ9</v>
      </c>
      <c r="F224" s="7" t="str">
        <f>tblBOneExport[[#This Row],[INSTRUMENT]]</f>
        <v>BASF SE 1.375 15/12/17 EMTN</v>
      </c>
      <c r="G224" s="7" t="str">
        <f>IF(tblBOneExport[[#This Row],[ISIN]]&lt;&gt;"", tblBOneExport[[#This Row],[ISIN]],"")</f>
        <v>XS1144218804</v>
      </c>
      <c r="H224" s="7" t="str">
        <f>IF(tblCalculation[[#This Row],[B1Level2]]="CDS",tblBOneExport[[#This Row],[B1_TICKER]],IF(tblCalculation[[#This Row],[ISIN]]="","",INDEX(tblGetStaticData[Ticker],MATCH(tblCalculation[[#This Row],[ISIN]],tblGetStaticData[ISIN],0))))</f>
        <v>BASGR</v>
      </c>
      <c r="I224" s="7" t="str">
        <f>IF(tblBOneExport[[#This Row],[INSTRUMENT_TYPE]]="Forward Contract","Forward Contract",tblBOneExport[LEVEL2])</f>
        <v>Corporates</v>
      </c>
      <c r="J224" s="7" t="str">
        <f>IF(tblBOneExport[[#This Row],[INSTRUMENT_TYPE]]="Forward Contract","Forward Contract",tblBOneExport[[#This Row],[LEVEL3]])</f>
        <v>Industrials</v>
      </c>
      <c r="K224" s="7" t="str">
        <f>INDEX(tblLvl2Mapping[],MATCH(tblCalculation[[#This Row],[B1Level2]]&amp;"_"&amp;tblCalculation[[#This Row],[B1Level3]],tblLvl2Mapping[B1Level2_B1Level3],0),2)</f>
        <v>Corporate</v>
      </c>
      <c r="L224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24" s="7">
        <f>INDEX(tblAttributable[],MATCH(tblCalculation[[#This Row],[Level3]],tblAttributable[Level3],0),2)</f>
        <v>1</v>
      </c>
      <c r="N224" s="16">
        <f>tblBOneExport[[#This Row],[PTF_WEIGHT]]</f>
        <v>1.0943997400000001E-2</v>
      </c>
      <c r="O224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1.6099835660562736E-3</v>
      </c>
      <c r="P224" s="48">
        <f>tblCalculation[[#This Row],[PtfDTS]]/SUM(tblCalculation[PtfDTS])</f>
        <v>1.95246381609878E-4</v>
      </c>
      <c r="Q224" s="16">
        <f>tblBOneExport[[#This Row],[PTF_CONTRIBUTION]]</f>
        <v>2.7122000000000001E-6</v>
      </c>
      <c r="R224" s="16">
        <f>tblCalculation[[#This Row],[PtfContributionBase]]-tblCalculation[[#This Row],[PtfCurrencyReturn]]</f>
        <v>2.7122000000000001E-6</v>
      </c>
      <c r="S224" s="16">
        <f>IF(tblBOneExport[[#This Row],[LEVEL1]]="Bonds",tblBOneExport[[#This Row],[PTF_GOV_CARRY]],"")</f>
        <v>1.5795000000000001E-6</v>
      </c>
      <c r="T224" s="16">
        <f>tblCalculation[[#This Row],[FIAttributable]]*tblBOneExport[[#This Row],[PTF_CREDIT_CARRY]]</f>
        <v>4.729E-6</v>
      </c>
      <c r="U224" s="16">
        <f>tblCalculation[[#This Row],[FIAttributable]]*tblBOneExport[[#This Row],[PTF_TOTAL_CURVE]]</f>
        <v>-3.3920000000000002E-7</v>
      </c>
      <c r="V224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-7.1011999999999999E-6</v>
      </c>
      <c r="W224" s="16">
        <f>IF(AND(tblCalculation[[#This Row],[Level3]]="Forward Contracts",tblBOneExport[[#This Row],[PTF_COST_OF_CARRY]]=0),tblBOneExport[[#This Row],[PTF_VALUATION]],0)</f>
        <v>0</v>
      </c>
      <c r="X224" s="16">
        <f>SUM(tblCalculation[[#This Row],[PtfTrading]:[PtfModelRes]])</f>
        <v>3.8442999999999998E-6</v>
      </c>
      <c r="Y224" s="16">
        <f>tblCalculation[[#This Row],[FIAttributable]]*tblBOneExport[[#This Row],[PTF_TRADING]]</f>
        <v>0</v>
      </c>
      <c r="Z224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24" s="16">
        <f>tblCalculation[[#This Row],[FIAttributable]]*tblBOneExport[[#This Row],[PTF_MODEL_RESIDUAL]]-PTF_Credit_Adj*tblCalculation[[#This Row],[PtfDTSWeight]]</f>
        <v>3.8442999999999998E-6</v>
      </c>
      <c r="AB224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24" s="16">
        <f>tblBOneExport[[#This Row],[BMK_WEIGHT]]</f>
        <v>0</v>
      </c>
      <c r="AD224" s="78">
        <f>tblCalculation[[#This Row],[FIAttributable]]*SUMIFS(tblDTS[DTSContribution_BM],tblDTS[ISIN],tblCalculation[[#This Row],[ISIN]])</f>
        <v>2.1250028068068422E-3</v>
      </c>
      <c r="AE224" s="16">
        <f>IF(SUM(tblCalculation[BMKDTS])=0,0,tblCalculation[[#This Row],[BMKDTS]]/SUM(tblCalculation[BMKDTS]))</f>
        <v>2.5255718085571955E-4</v>
      </c>
      <c r="AF224" s="16">
        <f>tblBOneExport[[#This Row],[BMK_CONTRIBUTION]]</f>
        <v>0</v>
      </c>
      <c r="AG224" s="16">
        <f>tblCalculation[[#This Row],[BMKContributionBase]]-tblBOneExport[BMK_SPOT_CCY_RETURN]-tblBOneExport[[#This Row],[BMK_CROSS_EFFECT]]</f>
        <v>0</v>
      </c>
      <c r="AH224" s="16">
        <f>tblCalculation[[#This Row],[FIAttributable]]*(tblBOneExport[[#This Row],[BMK_RETURN_GOV_CARRY]])</f>
        <v>0</v>
      </c>
      <c r="AI224" s="16">
        <f>tblCalculation[[#This Row],[FIAttributable]]*tblBOneExport[[#This Row],[BMK_CREDIT_CARRY]]</f>
        <v>0</v>
      </c>
      <c r="AJ224" s="16">
        <f>tblCalculation[[#This Row],[FIAttributable]]*tblBOneExport[[#This Row],[BMK_TOTAL_CURVE]]</f>
        <v>0</v>
      </c>
      <c r="AK224" s="16">
        <f>tblCalculation[[#This Row],[FIAttributable]]*(tblBOneExport[[#This Row],[BMK_TOTAL_SPREAD]]+BMK_Credit_Adj*tblCalculation[[#This Row],[BmkDTSWeight]])</f>
        <v>0</v>
      </c>
      <c r="AL224" s="16">
        <f>tblCalculation[[#This Row],[FIAttributable]]*tblBOneExport[[#This Row],[BMK_MODEL_RESIDUAL]]-BMK_Credit_Adj*tblCalculation[[#This Row],[BmkDTSWeight]]</f>
        <v>0</v>
      </c>
      <c r="AM224" s="16">
        <f>IF(tblCalculation[[#This Row],[Level3]]="Forward Contracts",tblCalculation[[#This Row],[BMKContributionLocal]],0)</f>
        <v>0</v>
      </c>
      <c r="AN224" s="16">
        <f>tblBOneExport[[#This Row],[BMK_SPOT_CCY_RETURN]]+tblBOneExport[[#This Row],[BMK_CROSS_EFFECT]]</f>
        <v>0</v>
      </c>
    </row>
    <row r="225" spans="5:40" x14ac:dyDescent="0.25">
      <c r="E225" s="7" t="str">
        <f>tblBOneExport[[#This Row],[INSTRUMENT_CODE]]</f>
        <v>BVB3888</v>
      </c>
      <c r="F225" s="7" t="str">
        <f>tblBOneExport[[#This Row],[INSTRUMENT]]</f>
        <v>DAIMLER AG 1.25 01/12/17 EMTN</v>
      </c>
      <c r="G225" s="7" t="str">
        <f>IF(tblBOneExport[[#This Row],[ISIN]]&lt;&gt;"", tblBOneExport[[#This Row],[ISIN]],"")</f>
        <v>XS1166284817</v>
      </c>
      <c r="H225" s="7" t="str">
        <f>IF(tblCalculation[[#This Row],[B1Level2]]="CDS",tblBOneExport[[#This Row],[B1_TICKER]],IF(tblCalculation[[#This Row],[ISIN]]="","",INDEX(tblGetStaticData[Ticker],MATCH(tblCalculation[[#This Row],[ISIN]],tblGetStaticData[ISIN],0))))</f>
        <v>DAIGR</v>
      </c>
      <c r="I225" s="7" t="str">
        <f>IF(tblBOneExport[[#This Row],[INSTRUMENT_TYPE]]="Forward Contract","Forward Contract",tblBOneExport[LEVEL2])</f>
        <v>Corporates</v>
      </c>
      <c r="J225" s="7" t="str">
        <f>IF(tblBOneExport[[#This Row],[INSTRUMENT_TYPE]]="Forward Contract","Forward Contract",tblBOneExport[[#This Row],[LEVEL3]])</f>
        <v>Industrials</v>
      </c>
      <c r="K225" s="7" t="str">
        <f>INDEX(tblLvl2Mapping[],MATCH(tblCalculation[[#This Row],[B1Level2]]&amp;"_"&amp;tblCalculation[[#This Row],[B1Level3]],tblLvl2Mapping[B1Level2_B1Level3],0),2)</f>
        <v>Corporate</v>
      </c>
      <c r="L225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25" s="7">
        <f>INDEX(tblAttributable[],MATCH(tblCalculation[[#This Row],[Level3]],tblAttributable[Level3],0),2)</f>
        <v>1</v>
      </c>
      <c r="N225" s="16">
        <f>tblBOneExport[[#This Row],[PTF_WEIGHT]]</f>
        <v>3.6200385000000001E-3</v>
      </c>
      <c r="O225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6.6521452845609E-4</v>
      </c>
      <c r="P225" s="48">
        <f>tblCalculation[[#This Row],[PtfDTS]]/SUM(tblCalculation[PtfDTS])</f>
        <v>8.0672084121654374E-5</v>
      </c>
      <c r="Q225" s="16">
        <f>tblBOneExport[[#This Row],[PTF_CONTRIBUTION]]</f>
        <v>2.9284000000000002E-6</v>
      </c>
      <c r="R225" s="16">
        <f>tblCalculation[[#This Row],[PtfContributionBase]]-tblCalculation[[#This Row],[PtfCurrencyReturn]]</f>
        <v>2.9284000000000002E-6</v>
      </c>
      <c r="S225" s="16">
        <f>IF(tblBOneExport[[#This Row],[LEVEL1]]="Bonds",tblBOneExport[[#This Row],[PTF_GOV_CARRY]],"")</f>
        <v>5.0539999999999996E-7</v>
      </c>
      <c r="T225" s="16">
        <f>tblCalculation[[#This Row],[FIAttributable]]*tblBOneExport[[#This Row],[PTF_CREDIT_CARRY]]</f>
        <v>2.0883E-6</v>
      </c>
      <c r="U225" s="16">
        <f>tblCalculation[[#This Row],[FIAttributable]]*tblBOneExport[[#This Row],[PTF_TOTAL_CURVE]]</f>
        <v>-1.9859999999999999E-7</v>
      </c>
      <c r="V225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-1.8585000000000001E-6</v>
      </c>
      <c r="W225" s="16">
        <f>IF(AND(tblCalculation[[#This Row],[Level3]]="Forward Contracts",tblBOneExport[[#This Row],[PTF_COST_OF_CARRY]]=0),tblBOneExport[[#This Row],[PTF_VALUATION]],0)</f>
        <v>0</v>
      </c>
      <c r="X225" s="16">
        <f>SUM(tblCalculation[[#This Row],[PtfTrading]:[PtfModelRes]])</f>
        <v>2.3918999999999999E-6</v>
      </c>
      <c r="Y225" s="16">
        <f>tblCalculation[[#This Row],[FIAttributable]]*tblBOneExport[[#This Row],[PTF_TRADING]]</f>
        <v>0</v>
      </c>
      <c r="Z225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25" s="16">
        <f>tblCalculation[[#This Row],[FIAttributable]]*tblBOneExport[[#This Row],[PTF_MODEL_RESIDUAL]]-PTF_Credit_Adj*tblCalculation[[#This Row],[PtfDTSWeight]]</f>
        <v>2.3918999999999999E-6</v>
      </c>
      <c r="AB225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25" s="16">
        <f>tblBOneExport[[#This Row],[BMK_WEIGHT]]</f>
        <v>0</v>
      </c>
      <c r="AD225" s="78">
        <f>tblCalculation[[#This Row],[FIAttributable]]*SUMIFS(tblDTS[DTSContribution_BM],tblDTS[ISIN],tblCalculation[[#This Row],[ISIN]])</f>
        <v>4.2481583722047512E-4</v>
      </c>
      <c r="AE225" s="16">
        <f>IF(SUM(tblCalculation[BMKDTS])=0,0,tblCalculation[[#This Row],[BMKDTS]]/SUM(tblCalculation[BMKDTS]))</f>
        <v>5.0489481655079005E-5</v>
      </c>
      <c r="AF225" s="16">
        <f>tblBOneExport[[#This Row],[BMK_CONTRIBUTION]]</f>
        <v>0</v>
      </c>
      <c r="AG225" s="16">
        <f>tblCalculation[[#This Row],[BMKContributionBase]]-tblBOneExport[BMK_SPOT_CCY_RETURN]-tblBOneExport[[#This Row],[BMK_CROSS_EFFECT]]</f>
        <v>0</v>
      </c>
      <c r="AH225" s="16">
        <f>tblCalculation[[#This Row],[FIAttributable]]*(tblBOneExport[[#This Row],[BMK_RETURN_GOV_CARRY]])</f>
        <v>0</v>
      </c>
      <c r="AI225" s="16">
        <f>tblCalculation[[#This Row],[FIAttributable]]*tblBOneExport[[#This Row],[BMK_CREDIT_CARRY]]</f>
        <v>0</v>
      </c>
      <c r="AJ225" s="16">
        <f>tblCalculation[[#This Row],[FIAttributable]]*tblBOneExport[[#This Row],[BMK_TOTAL_CURVE]]</f>
        <v>0</v>
      </c>
      <c r="AK225" s="16">
        <f>tblCalculation[[#This Row],[FIAttributable]]*(tblBOneExport[[#This Row],[BMK_TOTAL_SPREAD]]+BMK_Credit_Adj*tblCalculation[[#This Row],[BmkDTSWeight]])</f>
        <v>0</v>
      </c>
      <c r="AL225" s="16">
        <f>tblCalculation[[#This Row],[FIAttributable]]*tblBOneExport[[#This Row],[BMK_MODEL_RESIDUAL]]-BMK_Credit_Adj*tblCalculation[[#This Row],[BmkDTSWeight]]</f>
        <v>0</v>
      </c>
      <c r="AM225" s="16">
        <f>IF(tblCalculation[[#This Row],[Level3]]="Forward Contracts",tblCalculation[[#This Row],[BMKContributionLocal]],0)</f>
        <v>0</v>
      </c>
      <c r="AN225" s="16">
        <f>tblBOneExport[[#This Row],[BMK_SPOT_CCY_RETURN]]+tblBOneExport[[#This Row],[BMK_CROSS_EFFECT]]</f>
        <v>0</v>
      </c>
    </row>
    <row r="226" spans="5:40" x14ac:dyDescent="0.25">
      <c r="E226" s="7" t="str">
        <f>tblBOneExport[[#This Row],[INSTRUMENT_CODE]]</f>
        <v>BVC3VB1</v>
      </c>
      <c r="F226" s="7" t="str">
        <f>tblBOneExport[[#This Row],[INSTRUMENT]]</f>
        <v>PRUDENTIAL PLC 1.375 19/01/18 EMTN</v>
      </c>
      <c r="G226" s="7" t="str">
        <f>IF(tblBOneExport[[#This Row],[ISIN]]&lt;&gt;"", tblBOneExport[[#This Row],[ISIN]],"")</f>
        <v>XS1169595854</v>
      </c>
      <c r="H226" s="7" t="str">
        <f>IF(tblCalculation[[#This Row],[B1Level2]]="CDS",tblBOneExport[[#This Row],[B1_TICKER]],IF(tblCalculation[[#This Row],[ISIN]]="","",INDEX(tblGetStaticData[Ticker],MATCH(tblCalculation[[#This Row],[ISIN]],tblGetStaticData[ISIN],0))))</f>
        <v>PRUFIN</v>
      </c>
      <c r="I226" s="7" t="str">
        <f>IF(tblBOneExport[[#This Row],[INSTRUMENT_TYPE]]="Forward Contract","Forward Contract",tblBOneExport[LEVEL2])</f>
        <v>Corporates</v>
      </c>
      <c r="J226" s="7" t="str">
        <f>IF(tblBOneExport[[#This Row],[INSTRUMENT_TYPE]]="Forward Contract","Forward Contract",tblBOneExport[[#This Row],[LEVEL3]])</f>
        <v>Financial Institutions</v>
      </c>
      <c r="K226" s="7" t="str">
        <f>INDEX(tblLvl2Mapping[],MATCH(tblCalculation[[#This Row],[B1Level2]]&amp;"_"&amp;tblCalculation[[#This Row],[B1Level3]],tblLvl2Mapping[B1Level2_B1Level3],0),2)</f>
        <v>Corporate</v>
      </c>
      <c r="L226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26" s="7">
        <f>INDEX(tblAttributable[],MATCH(tblCalculation[[#This Row],[Level3]],tblAttributable[Level3],0),2)</f>
        <v>1</v>
      </c>
      <c r="N226" s="16">
        <f>tblBOneExport[[#This Row],[PTF_WEIGHT]]</f>
        <v>2.5242537E-3</v>
      </c>
      <c r="O226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4.1847826709920469E-4</v>
      </c>
      <c r="P226" s="48">
        <f>tblCalculation[[#This Row],[PtfDTS]]/SUM(tblCalculation[PtfDTS])</f>
        <v>5.0749814567135712E-5</v>
      </c>
      <c r="Q226" s="16">
        <f>tblBOneExport[[#This Row],[PTF_CONTRIBUTION]]</f>
        <v>2.6431000000000002E-6</v>
      </c>
      <c r="R226" s="16">
        <f>tblCalculation[[#This Row],[PtfContributionBase]]-tblCalculation[[#This Row],[PtfCurrencyReturn]]</f>
        <v>2.6431000000000002E-6</v>
      </c>
      <c r="S226" s="16">
        <f>IF(tblBOneExport[[#This Row],[LEVEL1]]="Bonds",tblBOneExport[[#This Row],[PTF_GOV_CARRY]],"")</f>
        <v>3.9270000000000002E-7</v>
      </c>
      <c r="T226" s="16">
        <f>tblCalculation[[#This Row],[FIAttributable]]*tblBOneExport[[#This Row],[PTF_CREDIT_CARRY]]</f>
        <v>9.7580000000000004E-7</v>
      </c>
      <c r="U226" s="16">
        <f>tblCalculation[[#This Row],[FIAttributable]]*tblBOneExport[[#This Row],[PTF_TOTAL_CURVE]]</f>
        <v>1.4709999999999999E-7</v>
      </c>
      <c r="V226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1.1940999999999999E-6</v>
      </c>
      <c r="W226" s="16">
        <f>IF(AND(tblCalculation[[#This Row],[Level3]]="Forward Contracts",tblBOneExport[[#This Row],[PTF_COST_OF_CARRY]]=0),tblBOneExport[[#This Row],[PTF_VALUATION]],0)</f>
        <v>0</v>
      </c>
      <c r="X226" s="16">
        <f>SUM(tblCalculation[[#This Row],[PtfTrading]:[PtfModelRes]])</f>
        <v>-6.6600000000000001E-8</v>
      </c>
      <c r="Y226" s="16">
        <f>tblCalculation[[#This Row],[FIAttributable]]*tblBOneExport[[#This Row],[PTF_TRADING]]</f>
        <v>0</v>
      </c>
      <c r="Z226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26" s="16">
        <f>tblCalculation[[#This Row],[FIAttributable]]*tblBOneExport[[#This Row],[PTF_MODEL_RESIDUAL]]-PTF_Credit_Adj*tblCalculation[[#This Row],[PtfDTSWeight]]</f>
        <v>-6.6600000000000001E-8</v>
      </c>
      <c r="AB226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26" s="16">
        <f>tblBOneExport[[#This Row],[BMK_WEIGHT]]</f>
        <v>0</v>
      </c>
      <c r="AD226" s="78">
        <f>tblCalculation[[#This Row],[FIAttributable]]*SUMIFS(tblDTS[DTSContribution_BM],tblDTS[ISIN],tblCalculation[[#This Row],[ISIN]])</f>
        <v>4.3472857399522364E-4</v>
      </c>
      <c r="AE226" s="16">
        <f>IF(SUM(tblCalculation[BMKDTS])=0,0,tblCalculation[[#This Row],[BMKDTS]]/SUM(tblCalculation[BMKDTS]))</f>
        <v>5.1667613206894345E-5</v>
      </c>
      <c r="AF226" s="16">
        <f>tblBOneExport[[#This Row],[BMK_CONTRIBUTION]]</f>
        <v>0</v>
      </c>
      <c r="AG226" s="16">
        <f>tblCalculation[[#This Row],[BMKContributionBase]]-tblBOneExport[BMK_SPOT_CCY_RETURN]-tblBOneExport[[#This Row],[BMK_CROSS_EFFECT]]</f>
        <v>0</v>
      </c>
      <c r="AH226" s="16">
        <f>tblCalculation[[#This Row],[FIAttributable]]*(tblBOneExport[[#This Row],[BMK_RETURN_GOV_CARRY]])</f>
        <v>0</v>
      </c>
      <c r="AI226" s="16">
        <f>tblCalculation[[#This Row],[FIAttributable]]*tblBOneExport[[#This Row],[BMK_CREDIT_CARRY]]</f>
        <v>0</v>
      </c>
      <c r="AJ226" s="16">
        <f>tblCalculation[[#This Row],[FIAttributable]]*tblBOneExport[[#This Row],[BMK_TOTAL_CURVE]]</f>
        <v>0</v>
      </c>
      <c r="AK226" s="16">
        <f>tblCalculation[[#This Row],[FIAttributable]]*(tblBOneExport[[#This Row],[BMK_TOTAL_SPREAD]]+BMK_Credit_Adj*tblCalculation[[#This Row],[BmkDTSWeight]])</f>
        <v>0</v>
      </c>
      <c r="AL226" s="16">
        <f>tblCalculation[[#This Row],[FIAttributable]]*tblBOneExport[[#This Row],[BMK_MODEL_RESIDUAL]]-BMK_Credit_Adj*tblCalculation[[#This Row],[BmkDTSWeight]]</f>
        <v>0</v>
      </c>
      <c r="AM226" s="16">
        <f>IF(tblCalculation[[#This Row],[Level3]]="Forward Contracts",tblCalculation[[#This Row],[BMKContributionLocal]],0)</f>
        <v>0</v>
      </c>
      <c r="AN226" s="16">
        <f>tblBOneExport[[#This Row],[BMK_SPOT_CCY_RETURN]]+tblBOneExport[[#This Row],[BMK_CROSS_EFFECT]]</f>
        <v>0</v>
      </c>
    </row>
    <row r="227" spans="5:40" x14ac:dyDescent="0.25">
      <c r="E227" s="7" t="str">
        <f>tblBOneExport[[#This Row],[INSTRUMENT_CODE]]</f>
        <v>BWTN5J7</v>
      </c>
      <c r="F227" s="7" t="str">
        <f>tblBOneExport[[#This Row],[INSTRUMENT]]</f>
        <v>NED WATERSCHAPBK 0.875 07/03/18 EMTN</v>
      </c>
      <c r="G227" s="7" t="str">
        <f>IF(tblBOneExport[[#This Row],[ISIN]]&lt;&gt;"", tblBOneExport[[#This Row],[ISIN]],"")</f>
        <v>XS1216020757</v>
      </c>
      <c r="H227" s="7" t="str">
        <f>IF(tblCalculation[[#This Row],[B1Level2]]="CDS",tblBOneExport[[#This Row],[B1_TICKER]],IF(tblCalculation[[#This Row],[ISIN]]="","",INDEX(tblGetStaticData[Ticker],MATCH(tblCalculation[[#This Row],[ISIN]],tblGetStaticData[ISIN],0))))</f>
        <v>NEDWBK</v>
      </c>
      <c r="I227" s="7" t="str">
        <f>IF(tblBOneExport[[#This Row],[INSTRUMENT_TYPE]]="Forward Contract","Forward Contract",tblBOneExport[LEVEL2])</f>
        <v>Non-Corporate</v>
      </c>
      <c r="J227" s="7" t="str">
        <f>IF(tblBOneExport[[#This Row],[INSTRUMENT_TYPE]]="Forward Contract","Forward Contract",tblBOneExport[[#This Row],[LEVEL3]])</f>
        <v>Foreign Agency</v>
      </c>
      <c r="K227" s="7" t="str">
        <f>INDEX(tblLvl2Mapping[],MATCH(tblCalculation[[#This Row],[B1Level2]]&amp;"_"&amp;tblCalculation[[#This Row],[B1Level3]],tblLvl2Mapping[B1Level2_B1Level3],0),2)</f>
        <v>Corporate</v>
      </c>
      <c r="L227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27" s="7">
        <f>INDEX(tblAttributable[],MATCH(tblCalculation[[#This Row],[Level3]],tblAttributable[Level3],0),2)</f>
        <v>1</v>
      </c>
      <c r="N227" s="16">
        <f>tblBOneExport[[#This Row],[PTF_WEIGHT]]</f>
        <v>8.1458943999999991E-3</v>
      </c>
      <c r="O227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9.1228084731719006E-4</v>
      </c>
      <c r="P227" s="48">
        <f>tblCalculation[[#This Row],[PtfDTS]]/SUM(tblCalculation[PtfDTS])</f>
        <v>1.106343805030176E-4</v>
      </c>
      <c r="Q227" s="16">
        <f>tblBOneExport[[#This Row],[PTF_CONTRIBUTION]]</f>
        <v>6.7272999999999999E-6</v>
      </c>
      <c r="R227" s="16">
        <f>tblCalculation[[#This Row],[PtfContributionBase]]-tblCalculation[[#This Row],[PtfCurrencyReturn]]</f>
        <v>6.7272999999999999E-6</v>
      </c>
      <c r="S227" s="16">
        <f>IF(tblBOneExport[[#This Row],[LEVEL1]]="Bonds",tblBOneExport[[#This Row],[PTF_GOV_CARRY]],"")</f>
        <v>1.3504E-6</v>
      </c>
      <c r="T227" s="16">
        <f>tblCalculation[[#This Row],[FIAttributable]]*tblBOneExport[[#This Row],[PTF_CREDIT_CARRY]]</f>
        <v>1.1809E-6</v>
      </c>
      <c r="U227" s="16">
        <f>tblCalculation[[#This Row],[FIAttributable]]*tblBOneExport[[#This Row],[PTF_TOTAL_CURVE]]</f>
        <v>1.5571000000000001E-6</v>
      </c>
      <c r="V227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2.8868999999999998E-6</v>
      </c>
      <c r="W227" s="16">
        <f>IF(AND(tblCalculation[[#This Row],[Level3]]="Forward Contracts",tblBOneExport[[#This Row],[PTF_COST_OF_CARRY]]=0),tblBOneExport[[#This Row],[PTF_VALUATION]],0)</f>
        <v>0</v>
      </c>
      <c r="X227" s="16">
        <f>SUM(tblCalculation[[#This Row],[PtfTrading]:[PtfModelRes]])</f>
        <v>-2.481E-7</v>
      </c>
      <c r="Y227" s="16">
        <f>tblCalculation[[#This Row],[FIAttributable]]*tblBOneExport[[#This Row],[PTF_TRADING]]</f>
        <v>0</v>
      </c>
      <c r="Z227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27" s="16">
        <f>tblCalculation[[#This Row],[FIAttributable]]*tblBOneExport[[#This Row],[PTF_MODEL_RESIDUAL]]-PTF_Credit_Adj*tblCalculation[[#This Row],[PtfDTSWeight]]</f>
        <v>-2.481E-7</v>
      </c>
      <c r="AB227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27" s="16">
        <f>tblBOneExport[[#This Row],[BMK_WEIGHT]]</f>
        <v>0</v>
      </c>
      <c r="AD227" s="78">
        <f>tblCalculation[[#This Row],[FIAttributable]]*SUMIFS(tblDTS[DTSContribution_BM],tblDTS[ISIN],tblCalculation[[#This Row],[ISIN]])</f>
        <v>0</v>
      </c>
      <c r="AE227" s="16">
        <f>IF(SUM(tblCalculation[BMKDTS])=0,0,tblCalculation[[#This Row],[BMKDTS]]/SUM(tblCalculation[BMKDTS]))</f>
        <v>0</v>
      </c>
      <c r="AF227" s="16">
        <f>tblBOneExport[[#This Row],[BMK_CONTRIBUTION]]</f>
        <v>0</v>
      </c>
      <c r="AG227" s="16">
        <f>tblCalculation[[#This Row],[BMKContributionBase]]-tblBOneExport[BMK_SPOT_CCY_RETURN]-tblBOneExport[[#This Row],[BMK_CROSS_EFFECT]]</f>
        <v>0</v>
      </c>
      <c r="AH227" s="16">
        <f>tblCalculation[[#This Row],[FIAttributable]]*(tblBOneExport[[#This Row],[BMK_RETURN_GOV_CARRY]])</f>
        <v>0</v>
      </c>
      <c r="AI227" s="16">
        <f>tblCalculation[[#This Row],[FIAttributable]]*tblBOneExport[[#This Row],[BMK_CREDIT_CARRY]]</f>
        <v>0</v>
      </c>
      <c r="AJ227" s="16">
        <f>tblCalculation[[#This Row],[FIAttributable]]*tblBOneExport[[#This Row],[BMK_TOTAL_CURVE]]</f>
        <v>0</v>
      </c>
      <c r="AK227" s="16">
        <f>tblCalculation[[#This Row],[FIAttributable]]*(tblBOneExport[[#This Row],[BMK_TOTAL_SPREAD]]+BMK_Credit_Adj*tblCalculation[[#This Row],[BmkDTSWeight]])</f>
        <v>0</v>
      </c>
      <c r="AL227" s="16">
        <f>tblCalculation[[#This Row],[FIAttributable]]*tblBOneExport[[#This Row],[BMK_MODEL_RESIDUAL]]-BMK_Credit_Adj*tblCalculation[[#This Row],[BmkDTSWeight]]</f>
        <v>0</v>
      </c>
      <c r="AM227" s="16">
        <f>IF(tblCalculation[[#This Row],[Level3]]="Forward Contracts",tblCalculation[[#This Row],[BMKContributionLocal]],0)</f>
        <v>0</v>
      </c>
      <c r="AN227" s="16">
        <f>tblBOneExport[[#This Row],[BMK_SPOT_CCY_RETURN]]+tblBOneExport[[#This Row],[BMK_CROSS_EFFECT]]</f>
        <v>0</v>
      </c>
    </row>
    <row r="228" spans="5:40" x14ac:dyDescent="0.25">
      <c r="E228" s="7" t="str">
        <f>tblBOneExport[[#This Row],[INSTRUMENT_CODE]]</f>
        <v>BWVFXN1</v>
      </c>
      <c r="F228" s="7" t="str">
        <f>tblBOneExport[[#This Row],[INSTRUMENT]]</f>
        <v>WHITBREAD GROUP 3.375 16/10/25</v>
      </c>
      <c r="G228" s="7" t="str">
        <f>IF(tblBOneExport[[#This Row],[ISIN]]&lt;&gt;"", tblBOneExport[[#This Row],[ISIN]],"")</f>
        <v>XS1235295539</v>
      </c>
      <c r="H228" s="7" t="str">
        <f>IF(tblCalculation[[#This Row],[B1Level2]]="CDS",tblBOneExport[[#This Row],[B1_TICKER]],IF(tblCalculation[[#This Row],[ISIN]]="","",INDEX(tblGetStaticData[Ticker],MATCH(tblCalculation[[#This Row],[ISIN]],tblGetStaticData[ISIN],0))))</f>
        <v>WTBLN</v>
      </c>
      <c r="I228" s="7" t="str">
        <f>IF(tblBOneExport[[#This Row],[INSTRUMENT_TYPE]]="Forward Contract","Forward Contract",tblBOneExport[LEVEL2])</f>
        <v>Corporates</v>
      </c>
      <c r="J228" s="7" t="str">
        <f>IF(tblBOneExport[[#This Row],[INSTRUMENT_TYPE]]="Forward Contract","Forward Contract",tblBOneExport[[#This Row],[LEVEL3]])</f>
        <v>Industrials</v>
      </c>
      <c r="K228" s="7" t="str">
        <f>INDEX(tblLvl2Mapping[],MATCH(tblCalculation[[#This Row],[B1Level2]]&amp;"_"&amp;tblCalculation[[#This Row],[B1Level3]],tblLvl2Mapping[B1Level2_B1Level3],0),2)</f>
        <v>Corporate</v>
      </c>
      <c r="L228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28" s="7">
        <f>INDEX(tblAttributable[],MATCH(tblCalculation[[#This Row],[Level3]],tblAttributable[Level3],0),2)</f>
        <v>1</v>
      </c>
      <c r="N228" s="16">
        <f>tblBOneExport[[#This Row],[PTF_WEIGHT]]</f>
        <v>2.8862795E-3</v>
      </c>
      <c r="O228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2.7748226932345136E-2</v>
      </c>
      <c r="P228" s="48">
        <f>tblCalculation[[#This Row],[PtfDTS]]/SUM(tblCalculation[PtfDTS])</f>
        <v>3.3650908113932805E-3</v>
      </c>
      <c r="Q228" s="16">
        <f>tblBOneExport[[#This Row],[PTF_CONTRIBUTION]]</f>
        <v>4.3248899999999999E-5</v>
      </c>
      <c r="R228" s="16">
        <f>tblCalculation[[#This Row],[PtfContributionBase]]-tblCalculation[[#This Row],[PtfCurrencyReturn]]</f>
        <v>4.3248899999999999E-5</v>
      </c>
      <c r="S228" s="16">
        <f>IF(tblBOneExport[[#This Row],[LEVEL1]]="Bonds",tblBOneExport[[#This Row],[PTF_GOV_CARRY]],"")</f>
        <v>2.0671000000000001E-6</v>
      </c>
      <c r="T228" s="16">
        <f>tblCalculation[[#This Row],[FIAttributable]]*tblBOneExport[[#This Row],[PTF_CREDIT_CARRY]]</f>
        <v>3.7363000000000001E-6</v>
      </c>
      <c r="U228" s="16">
        <f>tblCalculation[[#This Row],[FIAttributable]]*tblBOneExport[[#This Row],[PTF_TOTAL_CURVE]]</f>
        <v>3.86821E-5</v>
      </c>
      <c r="V228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-1.4287E-6</v>
      </c>
      <c r="W228" s="16">
        <f>IF(AND(tblCalculation[[#This Row],[Level3]]="Forward Contracts",tblBOneExport[[#This Row],[PTF_COST_OF_CARRY]]=0),tblBOneExport[[#This Row],[PTF_VALUATION]],0)</f>
        <v>0</v>
      </c>
      <c r="X228" s="16">
        <f>SUM(tblCalculation[[#This Row],[PtfTrading]:[PtfModelRes]])</f>
        <v>1.9219999999999999E-7</v>
      </c>
      <c r="Y228" s="16">
        <f>tblCalculation[[#This Row],[FIAttributable]]*tblBOneExport[[#This Row],[PTF_TRADING]]</f>
        <v>0</v>
      </c>
      <c r="Z228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28" s="16">
        <f>tblCalculation[[#This Row],[FIAttributable]]*tblBOneExport[[#This Row],[PTF_MODEL_RESIDUAL]]-PTF_Credit_Adj*tblCalculation[[#This Row],[PtfDTSWeight]]</f>
        <v>1.9219999999999999E-7</v>
      </c>
      <c r="AB228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28" s="16">
        <f>tblBOneExport[[#This Row],[BMK_WEIGHT]]</f>
        <v>0</v>
      </c>
      <c r="AD228" s="78">
        <f>tblCalculation[[#This Row],[FIAttributable]]*SUMIFS(tblDTS[DTSContribution_BM],tblDTS[ISIN],tblCalculation[[#This Row],[ISIN]])</f>
        <v>2.207895931679112E-2</v>
      </c>
      <c r="AE228" s="16">
        <f>IF(SUM(tblCalculation[BMKDTS])=0,0,tblCalculation[[#This Row],[BMKDTS]]/SUM(tblCalculation[BMKDTS]))</f>
        <v>2.6240905204525464E-3</v>
      </c>
      <c r="AF228" s="16">
        <f>tblBOneExport[[#This Row],[BMK_CONTRIBUTION]]</f>
        <v>0</v>
      </c>
      <c r="AG228" s="16">
        <f>tblCalculation[[#This Row],[BMKContributionBase]]-tblBOneExport[BMK_SPOT_CCY_RETURN]-tblBOneExport[[#This Row],[BMK_CROSS_EFFECT]]</f>
        <v>0</v>
      </c>
      <c r="AH228" s="16">
        <f>tblCalculation[[#This Row],[FIAttributable]]*(tblBOneExport[[#This Row],[BMK_RETURN_GOV_CARRY]])</f>
        <v>0</v>
      </c>
      <c r="AI228" s="16">
        <f>tblCalculation[[#This Row],[FIAttributable]]*tblBOneExport[[#This Row],[BMK_CREDIT_CARRY]]</f>
        <v>0</v>
      </c>
      <c r="AJ228" s="16">
        <f>tblCalculation[[#This Row],[FIAttributable]]*tblBOneExport[[#This Row],[BMK_TOTAL_CURVE]]</f>
        <v>0</v>
      </c>
      <c r="AK228" s="16">
        <f>tblCalculation[[#This Row],[FIAttributable]]*(tblBOneExport[[#This Row],[BMK_TOTAL_SPREAD]]+BMK_Credit_Adj*tblCalculation[[#This Row],[BmkDTSWeight]])</f>
        <v>0</v>
      </c>
      <c r="AL228" s="16">
        <f>tblCalculation[[#This Row],[FIAttributable]]*tblBOneExport[[#This Row],[BMK_MODEL_RESIDUAL]]-BMK_Credit_Adj*tblCalculation[[#This Row],[BmkDTSWeight]]</f>
        <v>0</v>
      </c>
      <c r="AM228" s="16">
        <f>IF(tblCalculation[[#This Row],[Level3]]="Forward Contracts",tblCalculation[[#This Row],[BMKContributionLocal]],0)</f>
        <v>0</v>
      </c>
      <c r="AN228" s="16">
        <f>tblBOneExport[[#This Row],[BMK_SPOT_CCY_RETURN]]+tblBOneExport[[#This Row],[BMK_CROSS_EFFECT]]</f>
        <v>0</v>
      </c>
    </row>
    <row r="229" spans="5:40" x14ac:dyDescent="0.25">
      <c r="E229" s="7" t="str">
        <f>tblBOneExport[[#This Row],[INSTRUMENT_CODE]]</f>
        <v>BY2ZMV5</v>
      </c>
      <c r="F229" s="7" t="str">
        <f>tblBOneExport[[#This Row],[INSTRUMENT]]</f>
        <v>PACCAR FINANCIAL 1.513 29/05/18 EMTN</v>
      </c>
      <c r="G229" s="7" t="str">
        <f>IF(tblBOneExport[[#This Row],[ISIN]]&lt;&gt;"", tblBOneExport[[#This Row],[ISIN]],"")</f>
        <v>XS1237268393</v>
      </c>
      <c r="H229" s="7" t="str">
        <f>IF(tblCalculation[[#This Row],[B1Level2]]="CDS",tblBOneExport[[#This Row],[B1_TICKER]],IF(tblCalculation[[#This Row],[ISIN]]="","",INDEX(tblGetStaticData[Ticker],MATCH(tblCalculation[[#This Row],[ISIN]],tblGetStaticData[ISIN],0))))</f>
        <v>PCAR</v>
      </c>
      <c r="I229" s="7" t="str">
        <f>IF(tblBOneExport[[#This Row],[INSTRUMENT_TYPE]]="Forward Contract","Forward Contract",tblBOneExport[LEVEL2])</f>
        <v>Corporates</v>
      </c>
      <c r="J229" s="7" t="str">
        <f>IF(tblBOneExport[[#This Row],[INSTRUMENT_TYPE]]="Forward Contract","Forward Contract",tblBOneExport[[#This Row],[LEVEL3]])</f>
        <v>Industrials</v>
      </c>
      <c r="K229" s="7" t="str">
        <f>INDEX(tblLvl2Mapping[],MATCH(tblCalculation[[#This Row],[B1Level2]]&amp;"_"&amp;tblCalculation[[#This Row],[B1Level3]],tblLvl2Mapping[B1Level2_B1Level3],0),2)</f>
        <v>Corporate</v>
      </c>
      <c r="L229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29" s="7">
        <f>INDEX(tblAttributable[],MATCH(tblCalculation[[#This Row],[Level3]],tblAttributable[Level3],0),2)</f>
        <v>1</v>
      </c>
      <c r="N229" s="16">
        <f>tblBOneExport[[#This Row],[PTF_WEIGHT]]</f>
        <v>9.1396633999999994E-3</v>
      </c>
      <c r="O229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2.8486767548377219E-3</v>
      </c>
      <c r="P229" s="48">
        <f>tblCalculation[[#This Row],[PtfDTS]]/SUM(tblCalculation[PtfDTS])</f>
        <v>3.4546553175114468E-4</v>
      </c>
      <c r="Q229" s="16">
        <f>tblBOneExport[[#This Row],[PTF_CONTRIBUTION]]</f>
        <v>1.11038E-5</v>
      </c>
      <c r="R229" s="16">
        <f>tblCalculation[[#This Row],[PtfContributionBase]]-tblCalculation[[#This Row],[PtfCurrencyReturn]]</f>
        <v>1.11038E-5</v>
      </c>
      <c r="S229" s="16">
        <f>IF(tblBOneExport[[#This Row],[LEVEL1]]="Bonds",tblBOneExport[[#This Row],[PTF_GOV_CARRY]],"")</f>
        <v>1.6023000000000001E-6</v>
      </c>
      <c r="T229" s="16">
        <f>tblCalculation[[#This Row],[FIAttributable]]*tblBOneExport[[#This Row],[PTF_CREDIT_CARRY]]</f>
        <v>3.9983999999999997E-6</v>
      </c>
      <c r="U229" s="16">
        <f>tblCalculation[[#This Row],[FIAttributable]]*tblBOneExport[[#This Row],[PTF_TOTAL_CURVE]]</f>
        <v>6.8711000000000002E-6</v>
      </c>
      <c r="V229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-6.0199999999999996E-8</v>
      </c>
      <c r="W229" s="16">
        <f>IF(AND(tblCalculation[[#This Row],[Level3]]="Forward Contracts",tblBOneExport[[#This Row],[PTF_COST_OF_CARRY]]=0),tblBOneExport[[#This Row],[PTF_VALUATION]],0)</f>
        <v>0</v>
      </c>
      <c r="X229" s="16">
        <f>SUM(tblCalculation[[#This Row],[PtfTrading]:[PtfModelRes]])</f>
        <v>-1.3079E-6</v>
      </c>
      <c r="Y229" s="16">
        <f>tblCalculation[[#This Row],[FIAttributable]]*tblBOneExport[[#This Row],[PTF_TRADING]]</f>
        <v>0</v>
      </c>
      <c r="Z229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29" s="16">
        <f>tblCalculation[[#This Row],[FIAttributable]]*tblBOneExport[[#This Row],[PTF_MODEL_RESIDUAL]]-PTF_Credit_Adj*tblCalculation[[#This Row],[PtfDTSWeight]]</f>
        <v>-1.3079E-6</v>
      </c>
      <c r="AB229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29" s="16">
        <f>tblBOneExport[[#This Row],[BMK_WEIGHT]]</f>
        <v>0</v>
      </c>
      <c r="AD229" s="78">
        <f>tblCalculation[[#This Row],[FIAttributable]]*SUMIFS(tblDTS[DTSContribution_BM],tblDTS[ISIN],tblCalculation[[#This Row],[ISIN]])</f>
        <v>2.9566052140712088E-3</v>
      </c>
      <c r="AE229" s="16">
        <f>IF(SUM(tblCalculation[BMKDTS])=0,0,tblCalculation[[#This Row],[BMKDTS]]/SUM(tblCalculation[BMKDTS]))</f>
        <v>3.5139336069452078E-4</v>
      </c>
      <c r="AF229" s="16">
        <f>tblBOneExport[[#This Row],[BMK_CONTRIBUTION]]</f>
        <v>0</v>
      </c>
      <c r="AG229" s="16">
        <f>tblCalculation[[#This Row],[BMKContributionBase]]-tblBOneExport[BMK_SPOT_CCY_RETURN]-tblBOneExport[[#This Row],[BMK_CROSS_EFFECT]]</f>
        <v>0</v>
      </c>
      <c r="AH229" s="16">
        <f>tblCalculation[[#This Row],[FIAttributable]]*(tblBOneExport[[#This Row],[BMK_RETURN_GOV_CARRY]])</f>
        <v>0</v>
      </c>
      <c r="AI229" s="16">
        <f>tblCalculation[[#This Row],[FIAttributable]]*tblBOneExport[[#This Row],[BMK_CREDIT_CARRY]]</f>
        <v>0</v>
      </c>
      <c r="AJ229" s="16">
        <f>tblCalculation[[#This Row],[FIAttributable]]*tblBOneExport[[#This Row],[BMK_TOTAL_CURVE]]</f>
        <v>0</v>
      </c>
      <c r="AK229" s="16">
        <f>tblCalculation[[#This Row],[FIAttributable]]*(tblBOneExport[[#This Row],[BMK_TOTAL_SPREAD]]+BMK_Credit_Adj*tblCalculation[[#This Row],[BmkDTSWeight]])</f>
        <v>0</v>
      </c>
      <c r="AL229" s="16">
        <f>tblCalculation[[#This Row],[FIAttributable]]*tblBOneExport[[#This Row],[BMK_MODEL_RESIDUAL]]-BMK_Credit_Adj*tblCalculation[[#This Row],[BmkDTSWeight]]</f>
        <v>0</v>
      </c>
      <c r="AM229" s="16">
        <f>IF(tblCalculation[[#This Row],[Level3]]="Forward Contracts",tblCalculation[[#This Row],[BMKContributionLocal]],0)</f>
        <v>0</v>
      </c>
      <c r="AN229" s="16">
        <f>tblBOneExport[[#This Row],[BMK_SPOT_CCY_RETURN]]+tblBOneExport[[#This Row],[BMK_CROSS_EFFECT]]</f>
        <v>0</v>
      </c>
    </row>
    <row r="230" spans="5:40" x14ac:dyDescent="0.25">
      <c r="E230" s="7" t="str">
        <f>tblBOneExport[[#This Row],[INSTRUMENT_CODE]]</f>
        <v>BY4K445</v>
      </c>
      <c r="F230" s="7" t="str">
        <f>tblBOneExport[[#This Row],[INSTRUMENT]]</f>
        <v>BMW FINANCE NV 1.875 29/06/20 EMTN</v>
      </c>
      <c r="G230" s="7" t="str">
        <f>IF(tblBOneExport[[#This Row],[ISIN]]&lt;&gt;"", tblBOneExport[[#This Row],[ISIN]],"")</f>
        <v>XS1238020124</v>
      </c>
      <c r="H230" s="7" t="str">
        <f>IF(tblCalculation[[#This Row],[B1Level2]]="CDS",tblBOneExport[[#This Row],[B1_TICKER]],IF(tblCalculation[[#This Row],[ISIN]]="","",INDEX(tblGetStaticData[Ticker],MATCH(tblCalculation[[#This Row],[ISIN]],tblGetStaticData[ISIN],0))))</f>
        <v>BMW</v>
      </c>
      <c r="I230" s="7" t="str">
        <f>IF(tblBOneExport[[#This Row],[INSTRUMENT_TYPE]]="Forward Contract","Forward Contract",tblBOneExport[LEVEL2])</f>
        <v>Corporates</v>
      </c>
      <c r="J230" s="7" t="str">
        <f>IF(tblBOneExport[[#This Row],[INSTRUMENT_TYPE]]="Forward Contract","Forward Contract",tblBOneExport[[#This Row],[LEVEL3]])</f>
        <v>Industrials</v>
      </c>
      <c r="K230" s="7" t="str">
        <f>INDEX(tblLvl2Mapping[],MATCH(tblCalculation[[#This Row],[B1Level2]]&amp;"_"&amp;tblCalculation[[#This Row],[B1Level3]],tblLvl2Mapping[B1Level2_B1Level3],0),2)</f>
        <v>Corporate</v>
      </c>
      <c r="L230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30" s="7">
        <f>INDEX(tblAttributable[],MATCH(tblCalculation[[#This Row],[Level3]],tblAttributable[Level3],0),2)</f>
        <v>1</v>
      </c>
      <c r="N230" s="16">
        <f>tblBOneExport[[#This Row],[PTF_WEIGHT]]</f>
        <v>9.2774732000000006E-3</v>
      </c>
      <c r="O230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8.1403583295851494E-3</v>
      </c>
      <c r="P230" s="48">
        <f>tblCalculation[[#This Row],[PtfDTS]]/SUM(tblCalculation[PtfDTS])</f>
        <v>9.8719983381729626E-4</v>
      </c>
      <c r="Q230" s="16">
        <f>tblBOneExport[[#This Row],[PTF_CONTRIBUTION]]</f>
        <v>2.63253E-5</v>
      </c>
      <c r="R230" s="16">
        <f>tblCalculation[[#This Row],[PtfContributionBase]]-tblCalculation[[#This Row],[PtfCurrencyReturn]]</f>
        <v>2.63253E-5</v>
      </c>
      <c r="S230" s="16">
        <f>IF(tblBOneExport[[#This Row],[LEVEL1]]="Bonds",tblBOneExport[[#This Row],[PTF_GOV_CARRY]],"")</f>
        <v>1.9057E-6</v>
      </c>
      <c r="T230" s="16">
        <f>tblCalculation[[#This Row],[FIAttributable]]*tblBOneExport[[#This Row],[PTF_CREDIT_CARRY]]</f>
        <v>5.3556E-6</v>
      </c>
      <c r="U230" s="16">
        <f>tblCalculation[[#This Row],[FIAttributable]]*tblBOneExport[[#This Row],[PTF_TOTAL_CURVE]]</f>
        <v>3.0151400000000001E-5</v>
      </c>
      <c r="V230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-8.7788999999999999E-6</v>
      </c>
      <c r="W230" s="16">
        <f>IF(AND(tblCalculation[[#This Row],[Level3]]="Forward Contracts",tblBOneExport[[#This Row],[PTF_COST_OF_CARRY]]=0),tblBOneExport[[#This Row],[PTF_VALUATION]],0)</f>
        <v>0</v>
      </c>
      <c r="X230" s="16">
        <f>SUM(tblCalculation[[#This Row],[PtfTrading]:[PtfModelRes]])</f>
        <v>-2.3085E-6</v>
      </c>
      <c r="Y230" s="16">
        <f>tblCalculation[[#This Row],[FIAttributable]]*tblBOneExport[[#This Row],[PTF_TRADING]]</f>
        <v>0</v>
      </c>
      <c r="Z230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30" s="16">
        <f>tblCalculation[[#This Row],[FIAttributable]]*tblBOneExport[[#This Row],[PTF_MODEL_RESIDUAL]]-PTF_Credit_Adj*tblCalculation[[#This Row],[PtfDTSWeight]]</f>
        <v>-2.3085E-6</v>
      </c>
      <c r="AB230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30" s="16">
        <f>tblBOneExport[[#This Row],[BMK_WEIGHT]]</f>
        <v>0</v>
      </c>
      <c r="AD230" s="78">
        <f>tblCalculation[[#This Row],[FIAttributable]]*SUMIFS(tblDTS[DTSContribution_BM],tblDTS[ISIN],tblCalculation[[#This Row],[ISIN]])</f>
        <v>8.1227349670725032E-3</v>
      </c>
      <c r="AE230" s="16">
        <f>IF(SUM(tblCalculation[BMKDTS])=0,0,tblCalculation[[#This Row],[BMKDTS]]/SUM(tblCalculation[BMKDTS]))</f>
        <v>9.6538933386382101E-4</v>
      </c>
      <c r="AF230" s="16">
        <f>tblBOneExport[[#This Row],[BMK_CONTRIBUTION]]</f>
        <v>0</v>
      </c>
      <c r="AG230" s="16">
        <f>tblCalculation[[#This Row],[BMKContributionBase]]-tblBOneExport[BMK_SPOT_CCY_RETURN]-tblBOneExport[[#This Row],[BMK_CROSS_EFFECT]]</f>
        <v>0</v>
      </c>
      <c r="AH230" s="16">
        <f>tblCalculation[[#This Row],[FIAttributable]]*(tblBOneExport[[#This Row],[BMK_RETURN_GOV_CARRY]])</f>
        <v>0</v>
      </c>
      <c r="AI230" s="16">
        <f>tblCalculation[[#This Row],[FIAttributable]]*tblBOneExport[[#This Row],[BMK_CREDIT_CARRY]]</f>
        <v>0</v>
      </c>
      <c r="AJ230" s="16">
        <f>tblCalculation[[#This Row],[FIAttributable]]*tblBOneExport[[#This Row],[BMK_TOTAL_CURVE]]</f>
        <v>0</v>
      </c>
      <c r="AK230" s="16">
        <f>tblCalculation[[#This Row],[FIAttributable]]*(tblBOneExport[[#This Row],[BMK_TOTAL_SPREAD]]+BMK_Credit_Adj*tblCalculation[[#This Row],[BmkDTSWeight]])</f>
        <v>0</v>
      </c>
      <c r="AL230" s="16">
        <f>tblCalculation[[#This Row],[FIAttributable]]*tblBOneExport[[#This Row],[BMK_MODEL_RESIDUAL]]-BMK_Credit_Adj*tblCalculation[[#This Row],[BmkDTSWeight]]</f>
        <v>0</v>
      </c>
      <c r="AM230" s="16">
        <f>IF(tblCalculation[[#This Row],[Level3]]="Forward Contracts",tblCalculation[[#This Row],[BMKContributionLocal]],0)</f>
        <v>0</v>
      </c>
      <c r="AN230" s="16">
        <f>tblBOneExport[[#This Row],[BMK_SPOT_CCY_RETURN]]+tblBOneExport[[#This Row],[BMK_CROSS_EFFECT]]</f>
        <v>0</v>
      </c>
    </row>
    <row r="231" spans="5:40" x14ac:dyDescent="0.25">
      <c r="E231" s="7" t="str">
        <f>tblBOneExport[[#This Row],[INSTRUMENT_CODE]]</f>
        <v>BYPBMX2</v>
      </c>
      <c r="F231" s="7" t="str">
        <f>tblBOneExport[[#This Row],[INSTRUMENT]]</f>
        <v>UNI OF LIVERPOOL 3.375 25/06/55</v>
      </c>
      <c r="G231" s="7" t="str">
        <f>IF(tblBOneExport[[#This Row],[ISIN]]&lt;&gt;"", tblBOneExport[[#This Row],[ISIN]],"")</f>
        <v>XS1246881673</v>
      </c>
      <c r="H231" s="7" t="str">
        <f>IF(tblCalculation[[#This Row],[B1Level2]]="CDS",tblBOneExport[[#This Row],[B1_TICKER]],IF(tblCalculation[[#This Row],[ISIN]]="","",INDEX(tblGetStaticData[Ticker],MATCH(tblCalculation[[#This Row],[ISIN]],tblGetStaticData[ISIN],0))))</f>
        <v>UNILIV</v>
      </c>
      <c r="I231" s="7" t="str">
        <f>IF(tblBOneExport[[#This Row],[INSTRUMENT_TYPE]]="Forward Contract","Forward Contract",tblBOneExport[LEVEL2])</f>
        <v>Corporates</v>
      </c>
      <c r="J231" s="7" t="str">
        <f>IF(tblBOneExport[[#This Row],[INSTRUMENT_TYPE]]="Forward Contract","Forward Contract",tblBOneExport[[#This Row],[LEVEL3]])</f>
        <v>Industrials</v>
      </c>
      <c r="K231" s="7" t="str">
        <f>INDEX(tblLvl2Mapping[],MATCH(tblCalculation[[#This Row],[B1Level2]]&amp;"_"&amp;tblCalculation[[#This Row],[B1Level3]],tblLvl2Mapping[B1Level2_B1Level3],0),2)</f>
        <v>Corporate</v>
      </c>
      <c r="L231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31" s="7">
        <f>INDEX(tblAttributable[],MATCH(tblCalculation[[#This Row],[Level3]],tblAttributable[Level3],0),2)</f>
        <v>1</v>
      </c>
      <c r="N231" s="16">
        <f>tblBOneExport[[#This Row],[PTF_WEIGHT]]</f>
        <v>9.6462322999999999E-3</v>
      </c>
      <c r="O231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0.19448365238027765</v>
      </c>
      <c r="P231" s="48">
        <f>tblCalculation[[#This Row],[PtfDTS]]/SUM(tblCalculation[PtfDTS])</f>
        <v>2.3585476404915869E-2</v>
      </c>
      <c r="Q231" s="16">
        <f>tblBOneExport[[#This Row],[PTF_CONTRIBUTION]]</f>
        <v>3.7297330000000002E-4</v>
      </c>
      <c r="R231" s="16">
        <f>tblCalculation[[#This Row],[PtfContributionBase]]-tblCalculation[[#This Row],[PtfCurrencyReturn]]</f>
        <v>3.7297330000000002E-4</v>
      </c>
      <c r="S231" s="16">
        <f>IF(tblBOneExport[[#This Row],[LEVEL1]]="Bonds",tblBOneExport[[#This Row],[PTF_GOV_CARRY]],"")</f>
        <v>1.3400800000000001E-5</v>
      </c>
      <c r="T231" s="16">
        <f>tblCalculation[[#This Row],[FIAttributable]]*tblBOneExport[[#This Row],[PTF_CREDIT_CARRY]]</f>
        <v>5.3477999999999999E-6</v>
      </c>
      <c r="U231" s="16">
        <f>tblCalculation[[#This Row],[FIAttributable]]*tblBOneExport[[#This Row],[PTF_TOTAL_CURVE]]</f>
        <v>3.1855929999999999E-4</v>
      </c>
      <c r="V231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2.1889799999999998E-5</v>
      </c>
      <c r="W231" s="16">
        <f>IF(AND(tblCalculation[[#This Row],[Level3]]="Forward Contracts",tblBOneExport[[#This Row],[PTF_COST_OF_CARRY]]=0),tblBOneExport[[#This Row],[PTF_VALUATION]],0)</f>
        <v>0</v>
      </c>
      <c r="X231" s="16">
        <f>SUM(tblCalculation[[#This Row],[PtfTrading]:[PtfModelRes]])</f>
        <v>1.3775600000000001E-5</v>
      </c>
      <c r="Y231" s="16">
        <f>tblCalculation[[#This Row],[FIAttributable]]*tblBOneExport[[#This Row],[PTF_TRADING]]</f>
        <v>0</v>
      </c>
      <c r="Z231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31" s="16">
        <f>tblCalculation[[#This Row],[FIAttributable]]*tblBOneExport[[#This Row],[PTF_MODEL_RESIDUAL]]-PTF_Credit_Adj*tblCalculation[[#This Row],[PtfDTSWeight]]</f>
        <v>1.3775600000000001E-5</v>
      </c>
      <c r="AB231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31" s="16">
        <f>tblBOneExport[[#This Row],[BMK_WEIGHT]]</f>
        <v>0</v>
      </c>
      <c r="AD231" s="78">
        <f>tblCalculation[[#This Row],[FIAttributable]]*SUMIFS(tblDTS[DTSContribution_BM],tblDTS[ISIN],tblCalculation[[#This Row],[ISIN]])</f>
        <v>0.20374476998949673</v>
      </c>
      <c r="AE231" s="16">
        <f>IF(SUM(tblCalculation[BMKDTS])=0,0,tblCalculation[[#This Row],[BMKDTS]]/SUM(tblCalculation[BMKDTS]))</f>
        <v>2.4215123179045121E-2</v>
      </c>
      <c r="AF231" s="16">
        <f>tblBOneExport[[#This Row],[BMK_CONTRIBUTION]]</f>
        <v>0</v>
      </c>
      <c r="AG231" s="16">
        <f>tblCalculation[[#This Row],[BMKContributionBase]]-tblBOneExport[BMK_SPOT_CCY_RETURN]-tblBOneExport[[#This Row],[BMK_CROSS_EFFECT]]</f>
        <v>0</v>
      </c>
      <c r="AH231" s="16">
        <f>tblCalculation[[#This Row],[FIAttributable]]*(tblBOneExport[[#This Row],[BMK_RETURN_GOV_CARRY]])</f>
        <v>0</v>
      </c>
      <c r="AI231" s="16">
        <f>tblCalculation[[#This Row],[FIAttributable]]*tblBOneExport[[#This Row],[BMK_CREDIT_CARRY]]</f>
        <v>0</v>
      </c>
      <c r="AJ231" s="16">
        <f>tblCalculation[[#This Row],[FIAttributable]]*tblBOneExport[[#This Row],[BMK_TOTAL_CURVE]]</f>
        <v>0</v>
      </c>
      <c r="AK231" s="16">
        <f>tblCalculation[[#This Row],[FIAttributable]]*(tblBOneExport[[#This Row],[BMK_TOTAL_SPREAD]]+BMK_Credit_Adj*tblCalculation[[#This Row],[BmkDTSWeight]])</f>
        <v>0</v>
      </c>
      <c r="AL231" s="16">
        <f>tblCalculation[[#This Row],[FIAttributable]]*tblBOneExport[[#This Row],[BMK_MODEL_RESIDUAL]]-BMK_Credit_Adj*tblCalculation[[#This Row],[BmkDTSWeight]]</f>
        <v>0</v>
      </c>
      <c r="AM231" s="16">
        <f>IF(tblCalculation[[#This Row],[Level3]]="Forward Contracts",tblCalculation[[#This Row],[BMKContributionLocal]],0)</f>
        <v>0</v>
      </c>
      <c r="AN231" s="16">
        <f>tblBOneExport[[#This Row],[BMK_SPOT_CCY_RETURN]]+tblBOneExport[[#This Row],[BMK_CROSS_EFFECT]]</f>
        <v>0</v>
      </c>
    </row>
    <row r="232" spans="5:40" x14ac:dyDescent="0.25">
      <c r="E232" s="7" t="str">
        <f>tblBOneExport[[#This Row],[INSTRUMENT_CODE]]</f>
        <v>BY7S0K4</v>
      </c>
      <c r="F232" s="7" t="str">
        <f>tblBOneExport[[#This Row],[INSTRUMENT]]</f>
        <v>NESTLE HOLDINGS 1.75 09/12/20 EMTN</v>
      </c>
      <c r="G232" s="7" t="str">
        <f>IF(tblBOneExport[[#This Row],[ISIN]]&lt;&gt;"", tblBOneExport[[#This Row],[ISIN]],"")</f>
        <v>XS1330975035</v>
      </c>
      <c r="H232" s="7" t="str">
        <f>IF(tblCalculation[[#This Row],[B1Level2]]="CDS",tblBOneExport[[#This Row],[B1_TICKER]],IF(tblCalculation[[#This Row],[ISIN]]="","",INDEX(tblGetStaticData[Ticker],MATCH(tblCalculation[[#This Row],[ISIN]],tblGetStaticData[ISIN],0))))</f>
        <v>NESNVX</v>
      </c>
      <c r="I232" s="7" t="str">
        <f>IF(tblBOneExport[[#This Row],[INSTRUMENT_TYPE]]="Forward Contract","Forward Contract",tblBOneExport[LEVEL2])</f>
        <v>Corporates</v>
      </c>
      <c r="J232" s="7" t="str">
        <f>IF(tblBOneExport[[#This Row],[INSTRUMENT_TYPE]]="Forward Contract","Forward Contract",tblBOneExport[[#This Row],[LEVEL3]])</f>
        <v>Industrials</v>
      </c>
      <c r="K232" s="7" t="str">
        <f>INDEX(tblLvl2Mapping[],MATCH(tblCalculation[[#This Row],[B1Level2]]&amp;"_"&amp;tblCalculation[[#This Row],[B1Level3]],tblLvl2Mapping[B1Level2_B1Level3],0),2)</f>
        <v>Corporate</v>
      </c>
      <c r="L232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32" s="7">
        <f>INDEX(tblAttributable[],MATCH(tblCalculation[[#This Row],[Level3]],tblAttributable[Level3],0),2)</f>
        <v>1</v>
      </c>
      <c r="N232" s="16">
        <f>tblBOneExport[[#This Row],[PTF_WEIGHT]]</f>
        <v>2.0597047000000001E-3</v>
      </c>
      <c r="O232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1.3192285169367473E-3</v>
      </c>
      <c r="P232" s="48">
        <f>tblCalculation[[#This Row],[PtfDTS]]/SUM(tblCalculation[PtfDTS])</f>
        <v>1.5998585319687827E-4</v>
      </c>
      <c r="Q232" s="16">
        <f>tblBOneExport[[#This Row],[PTF_CONTRIBUTION]]</f>
        <v>8.6595000000000007E-6</v>
      </c>
      <c r="R232" s="16">
        <f>tblCalculation[[#This Row],[PtfContributionBase]]-tblCalculation[[#This Row],[PtfCurrencyReturn]]</f>
        <v>8.6595000000000007E-6</v>
      </c>
      <c r="S232" s="16">
        <f>IF(tblBOneExport[[#This Row],[LEVEL1]]="Bonds",tblBOneExport[[#This Row],[PTF_GOV_CARRY]],"")</f>
        <v>4.6629999999999999E-7</v>
      </c>
      <c r="T232" s="16">
        <f>tblCalculation[[#This Row],[FIAttributable]]*tblBOneExport[[#This Row],[PTF_CREDIT_CARRY]]</f>
        <v>7.3359999999999995E-7</v>
      </c>
      <c r="U232" s="16">
        <f>tblCalculation[[#This Row],[FIAttributable]]*tblBOneExport[[#This Row],[PTF_TOTAL_CURVE]]</f>
        <v>8.1526000000000005E-6</v>
      </c>
      <c r="V232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-9.9189999999999998E-7</v>
      </c>
      <c r="W232" s="16">
        <f>IF(AND(tblCalculation[[#This Row],[Level3]]="Forward Contracts",tblBOneExport[[#This Row],[PTF_COST_OF_CARRY]]=0),tblBOneExport[[#This Row],[PTF_VALUATION]],0)</f>
        <v>0</v>
      </c>
      <c r="X232" s="16">
        <f>SUM(tblCalculation[[#This Row],[PtfTrading]:[PtfModelRes]])</f>
        <v>2.9900000000000002E-7</v>
      </c>
      <c r="Y232" s="16">
        <f>tblCalculation[[#This Row],[FIAttributable]]*tblBOneExport[[#This Row],[PTF_TRADING]]</f>
        <v>0</v>
      </c>
      <c r="Z232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32" s="16">
        <f>tblCalculation[[#This Row],[FIAttributable]]*tblBOneExport[[#This Row],[PTF_MODEL_RESIDUAL]]-PTF_Credit_Adj*tblCalculation[[#This Row],[PtfDTSWeight]]</f>
        <v>2.9900000000000002E-7</v>
      </c>
      <c r="AB232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32" s="16">
        <f>tblBOneExport[[#This Row],[BMK_WEIGHT]]</f>
        <v>0</v>
      </c>
      <c r="AD232" s="78">
        <f>tblCalculation[[#This Row],[FIAttributable]]*SUMIFS(tblDTS[DTSContribution_BM],tblDTS[ISIN],tblCalculation[[#This Row],[ISIN]])</f>
        <v>0</v>
      </c>
      <c r="AE232" s="16">
        <f>IF(SUM(tblCalculation[BMKDTS])=0,0,tblCalculation[[#This Row],[BMKDTS]]/SUM(tblCalculation[BMKDTS]))</f>
        <v>0</v>
      </c>
      <c r="AF232" s="16">
        <f>tblBOneExport[[#This Row],[BMK_CONTRIBUTION]]</f>
        <v>0</v>
      </c>
      <c r="AG232" s="16">
        <f>tblCalculation[[#This Row],[BMKContributionBase]]-tblBOneExport[BMK_SPOT_CCY_RETURN]-tblBOneExport[[#This Row],[BMK_CROSS_EFFECT]]</f>
        <v>0</v>
      </c>
      <c r="AH232" s="16">
        <f>tblCalculation[[#This Row],[FIAttributable]]*(tblBOneExport[[#This Row],[BMK_RETURN_GOV_CARRY]])</f>
        <v>0</v>
      </c>
      <c r="AI232" s="16">
        <f>tblCalculation[[#This Row],[FIAttributable]]*tblBOneExport[[#This Row],[BMK_CREDIT_CARRY]]</f>
        <v>0</v>
      </c>
      <c r="AJ232" s="16">
        <f>tblCalculation[[#This Row],[FIAttributable]]*tblBOneExport[[#This Row],[BMK_TOTAL_CURVE]]</f>
        <v>0</v>
      </c>
      <c r="AK232" s="16">
        <f>tblCalculation[[#This Row],[FIAttributable]]*(tblBOneExport[[#This Row],[BMK_TOTAL_SPREAD]]+BMK_Credit_Adj*tblCalculation[[#This Row],[BmkDTSWeight]])</f>
        <v>0</v>
      </c>
      <c r="AL232" s="16">
        <f>tblCalculation[[#This Row],[FIAttributable]]*tblBOneExport[[#This Row],[BMK_MODEL_RESIDUAL]]-BMK_Credit_Adj*tblCalculation[[#This Row],[BmkDTSWeight]]</f>
        <v>0</v>
      </c>
      <c r="AM232" s="16">
        <f>IF(tblCalculation[[#This Row],[Level3]]="Forward Contracts",tblCalculation[[#This Row],[BMKContributionLocal]],0)</f>
        <v>0</v>
      </c>
      <c r="AN232" s="16">
        <f>tblBOneExport[[#This Row],[BMK_SPOT_CCY_RETURN]]+tblBOneExport[[#This Row],[BMK_CROSS_EFFECT]]</f>
        <v>0</v>
      </c>
    </row>
    <row r="233" spans="5:40" x14ac:dyDescent="0.25">
      <c r="E233" s="7" t="str">
        <f>tblBOneExport[[#This Row],[INSTRUMENT_CODE]]</f>
        <v>BYMM829</v>
      </c>
      <c r="F233" s="7" t="str">
        <f>tblBOneExport[[#This Row],[INSTRUMENT]]</f>
        <v>CARDIFF UNI 3 07/12/55</v>
      </c>
      <c r="G233" s="7" t="str">
        <f>IF(tblBOneExport[[#This Row],[ISIN]]&lt;&gt;"", tblBOneExport[[#This Row],[ISIN]],"")</f>
        <v>XS1351950149</v>
      </c>
      <c r="H233" s="7" t="str">
        <f>IF(tblCalculation[[#This Row],[B1Level2]]="CDS",tblBOneExport[[#This Row],[B1_TICKER]],IF(tblCalculation[[#This Row],[ISIN]]="","",INDEX(tblGetStaticData[Ticker],MATCH(tblCalculation[[#This Row],[ISIN]],tblGetStaticData[ISIN],0))))</f>
        <v>CRFUNI</v>
      </c>
      <c r="I233" s="7" t="str">
        <f>IF(tblBOneExport[[#This Row],[INSTRUMENT_TYPE]]="Forward Contract","Forward Contract",tblBOneExport[LEVEL2])</f>
        <v>Corporates</v>
      </c>
      <c r="J233" s="7" t="str">
        <f>IF(tblBOneExport[[#This Row],[INSTRUMENT_TYPE]]="Forward Contract","Forward Contract",tblBOneExport[[#This Row],[LEVEL3]])</f>
        <v>Industrials</v>
      </c>
      <c r="K233" s="7" t="str">
        <f>INDEX(tblLvl2Mapping[],MATCH(tblCalculation[[#This Row],[B1Level2]]&amp;"_"&amp;tblCalculation[[#This Row],[B1Level3]],tblLvl2Mapping[B1Level2_B1Level3],0),2)</f>
        <v>Corporate</v>
      </c>
      <c r="L233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33" s="7">
        <f>INDEX(tblAttributable[],MATCH(tblCalculation[[#This Row],[Level3]],tblAttributable[Level3],0),2)</f>
        <v>1</v>
      </c>
      <c r="N233" s="16">
        <f>tblBOneExport[[#This Row],[PTF_WEIGHT]]</f>
        <v>5.0578491000000001E-3</v>
      </c>
      <c r="O233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0.1050695198364385</v>
      </c>
      <c r="P233" s="48">
        <f>tblCalculation[[#This Row],[PtfDTS]]/SUM(tblCalculation[PtfDTS])</f>
        <v>1.274202047652136E-2</v>
      </c>
      <c r="Q233" s="16">
        <f>tblBOneExport[[#This Row],[PTF_CONTRIBUTION]]</f>
        <v>1.838349E-4</v>
      </c>
      <c r="R233" s="16">
        <f>tblCalculation[[#This Row],[PtfContributionBase]]-tblCalculation[[#This Row],[PtfCurrencyReturn]]</f>
        <v>1.838349E-4</v>
      </c>
      <c r="S233" s="16">
        <f>IF(tblBOneExport[[#This Row],[LEVEL1]]="Bonds",tblBOneExport[[#This Row],[PTF_GOV_CARRY]],"")</f>
        <v>7.0009000000000002E-6</v>
      </c>
      <c r="T233" s="16">
        <f>tblCalculation[[#This Row],[FIAttributable]]*tblBOneExport[[#This Row],[PTF_CREDIT_CARRY]]</f>
        <v>2.8068E-6</v>
      </c>
      <c r="U233" s="16">
        <f>tblCalculation[[#This Row],[FIAttributable]]*tblBOneExport[[#This Row],[PTF_TOTAL_CURVE]]</f>
        <v>1.7182260000000001E-4</v>
      </c>
      <c r="V233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6.5007000000000003E-6</v>
      </c>
      <c r="W233" s="16">
        <f>IF(AND(tblCalculation[[#This Row],[Level3]]="Forward Contracts",tblBOneExport[[#This Row],[PTF_COST_OF_CARRY]]=0),tblBOneExport[[#This Row],[PTF_VALUATION]],0)</f>
        <v>0</v>
      </c>
      <c r="X233" s="16">
        <f>SUM(tblCalculation[[#This Row],[PtfTrading]:[PtfModelRes]])</f>
        <v>-4.2961999999999996E-6</v>
      </c>
      <c r="Y233" s="16">
        <f>tblCalculation[[#This Row],[FIAttributable]]*tblBOneExport[[#This Row],[PTF_TRADING]]</f>
        <v>0</v>
      </c>
      <c r="Z233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33" s="16">
        <f>tblCalculation[[#This Row],[FIAttributable]]*tblBOneExport[[#This Row],[PTF_MODEL_RESIDUAL]]-PTF_Credit_Adj*tblCalculation[[#This Row],[PtfDTSWeight]]</f>
        <v>-4.2961999999999996E-6</v>
      </c>
      <c r="AB233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33" s="16">
        <f>tblBOneExport[[#This Row],[BMK_WEIGHT]]</f>
        <v>0</v>
      </c>
      <c r="AD233" s="78">
        <f>tblCalculation[[#This Row],[FIAttributable]]*SUMIFS(tblDTS[DTSContribution_BM],tblDTS[ISIN],tblCalculation[[#This Row],[ISIN]])</f>
        <v>0</v>
      </c>
      <c r="AE233" s="16">
        <f>IF(SUM(tblCalculation[BMKDTS])=0,0,tblCalculation[[#This Row],[BMKDTS]]/SUM(tblCalculation[BMKDTS]))</f>
        <v>0</v>
      </c>
      <c r="AF233" s="16">
        <f>tblBOneExport[[#This Row],[BMK_CONTRIBUTION]]</f>
        <v>0</v>
      </c>
      <c r="AG233" s="16">
        <f>tblCalculation[[#This Row],[BMKContributionBase]]-tblBOneExport[BMK_SPOT_CCY_RETURN]-tblBOneExport[[#This Row],[BMK_CROSS_EFFECT]]</f>
        <v>0</v>
      </c>
      <c r="AH233" s="16">
        <f>tblCalculation[[#This Row],[FIAttributable]]*(tblBOneExport[[#This Row],[BMK_RETURN_GOV_CARRY]])</f>
        <v>0</v>
      </c>
      <c r="AI233" s="16">
        <f>tblCalculation[[#This Row],[FIAttributable]]*tblBOneExport[[#This Row],[BMK_CREDIT_CARRY]]</f>
        <v>0</v>
      </c>
      <c r="AJ233" s="16">
        <f>tblCalculation[[#This Row],[FIAttributable]]*tblBOneExport[[#This Row],[BMK_TOTAL_CURVE]]</f>
        <v>0</v>
      </c>
      <c r="AK233" s="16">
        <f>tblCalculation[[#This Row],[FIAttributable]]*(tblBOneExport[[#This Row],[BMK_TOTAL_SPREAD]]+BMK_Credit_Adj*tblCalculation[[#This Row],[BmkDTSWeight]])</f>
        <v>0</v>
      </c>
      <c r="AL233" s="16">
        <f>tblCalculation[[#This Row],[FIAttributable]]*tblBOneExport[[#This Row],[BMK_MODEL_RESIDUAL]]-BMK_Credit_Adj*tblCalculation[[#This Row],[BmkDTSWeight]]</f>
        <v>0</v>
      </c>
      <c r="AM233" s="16">
        <f>IF(tblCalculation[[#This Row],[Level3]]="Forward Contracts",tblCalculation[[#This Row],[BMKContributionLocal]],0)</f>
        <v>0</v>
      </c>
      <c r="AN233" s="16">
        <f>tblBOneExport[[#This Row],[BMK_SPOT_CCY_RETURN]]+tblBOneExport[[#This Row],[BMK_CROSS_EFFECT]]</f>
        <v>0</v>
      </c>
    </row>
    <row r="234" spans="5:40" x14ac:dyDescent="0.25">
      <c r="E234" s="7" t="str">
        <f>tblBOneExport[[#This Row],[INSTRUMENT_CODE]]</f>
        <v>BZ82Y22</v>
      </c>
      <c r="F234" s="7" t="str">
        <f>tblBOneExport[[#This Row],[INSTRUMENT]]</f>
        <v>NORDIC INVST BNK 1 07/03/19 EMTN</v>
      </c>
      <c r="G234" s="7" t="str">
        <f>IF(tblBOneExport[[#This Row],[ISIN]]&lt;&gt;"", tblBOneExport[[#This Row],[ISIN]],"")</f>
        <v>XS1353178376</v>
      </c>
      <c r="H234" s="7" t="str">
        <f>IF(tblCalculation[[#This Row],[B1Level2]]="CDS",tblBOneExport[[#This Row],[B1_TICKER]],IF(tblCalculation[[#This Row],[ISIN]]="","",INDEX(tblGetStaticData[Ticker],MATCH(tblCalculation[[#This Row],[ISIN]],tblGetStaticData[ISIN],0))))</f>
        <v>NIB</v>
      </c>
      <c r="I234" s="7" t="str">
        <f>IF(tblBOneExport[[#This Row],[INSTRUMENT_TYPE]]="Forward Contract","Forward Contract",tblBOneExport[LEVEL2])</f>
        <v>Non-Corporate</v>
      </c>
      <c r="J234" s="7" t="str">
        <f>IF(tblBOneExport[[#This Row],[INSTRUMENT_TYPE]]="Forward Contract","Forward Contract",tblBOneExport[[#This Row],[LEVEL3]])</f>
        <v>Supranationals</v>
      </c>
      <c r="K234" s="7" t="str">
        <f>INDEX(tblLvl2Mapping[],MATCH(tblCalculation[[#This Row],[B1Level2]]&amp;"_"&amp;tblCalculation[[#This Row],[B1Level3]],tblLvl2Mapping[B1Level2_B1Level3],0),2)</f>
        <v>Corporate</v>
      </c>
      <c r="L234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34" s="7">
        <f>INDEX(tblAttributable[],MATCH(tblCalculation[[#This Row],[Level3]],tblAttributable[Level3],0),2)</f>
        <v>1</v>
      </c>
      <c r="N234" s="16">
        <f>tblBOneExport[[#This Row],[PTF_WEIGHT]]</f>
        <v>2.4349589999999999E-4</v>
      </c>
      <c r="O234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7.5328034161150831E-5</v>
      </c>
      <c r="P234" s="48">
        <f>tblCalculation[[#This Row],[PtfDTS]]/SUM(tblCalculation[PtfDTS])</f>
        <v>9.1352026280471433E-6</v>
      </c>
      <c r="Q234" s="16">
        <f>tblBOneExport[[#This Row],[PTF_CONTRIBUTION]]</f>
        <v>4.284E-7</v>
      </c>
      <c r="R234" s="16">
        <f>tblCalculation[[#This Row],[PtfContributionBase]]-tblCalculation[[#This Row],[PtfCurrencyReturn]]</f>
        <v>4.284E-7</v>
      </c>
      <c r="S234" s="16">
        <f>IF(tblBOneExport[[#This Row],[LEVEL1]]="Bonds",tblBOneExport[[#This Row],[PTF_GOV_CARRY]],"")</f>
        <v>4.43E-8</v>
      </c>
      <c r="T234" s="16">
        <f>tblCalculation[[#This Row],[FIAttributable]]*tblBOneExport[[#This Row],[PTF_CREDIT_CARRY]]</f>
        <v>5.3300000000000001E-8</v>
      </c>
      <c r="U234" s="16">
        <f>tblCalculation[[#This Row],[FIAttributable]]*tblBOneExport[[#This Row],[PTF_TOTAL_CURVE]]</f>
        <v>4.4939999999999999E-7</v>
      </c>
      <c r="V234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-1.076E-7</v>
      </c>
      <c r="W234" s="16">
        <f>IF(AND(tblCalculation[[#This Row],[Level3]]="Forward Contracts",tblBOneExport[[#This Row],[PTF_COST_OF_CARRY]]=0),tblBOneExport[[#This Row],[PTF_VALUATION]],0)</f>
        <v>0</v>
      </c>
      <c r="X234" s="16">
        <f>SUM(tblCalculation[[#This Row],[PtfTrading]:[PtfModelRes]])</f>
        <v>-1.0999999999999999E-8</v>
      </c>
      <c r="Y234" s="16">
        <f>tblCalculation[[#This Row],[FIAttributable]]*tblBOneExport[[#This Row],[PTF_TRADING]]</f>
        <v>0</v>
      </c>
      <c r="Z234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34" s="16">
        <f>tblCalculation[[#This Row],[FIAttributable]]*tblBOneExport[[#This Row],[PTF_MODEL_RESIDUAL]]-PTF_Credit_Adj*tblCalculation[[#This Row],[PtfDTSWeight]]</f>
        <v>-1.0999999999999999E-8</v>
      </c>
      <c r="AB234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34" s="16">
        <f>tblBOneExport[[#This Row],[BMK_WEIGHT]]</f>
        <v>0</v>
      </c>
      <c r="AD234" s="78">
        <f>tblCalculation[[#This Row],[FIAttributable]]*SUMIFS(tblDTS[DTSContribution_BM],tblDTS[ISIN],tblCalculation[[#This Row],[ISIN]])</f>
        <v>0</v>
      </c>
      <c r="AE234" s="16">
        <f>IF(SUM(tblCalculation[BMKDTS])=0,0,tblCalculation[[#This Row],[BMKDTS]]/SUM(tblCalculation[BMKDTS]))</f>
        <v>0</v>
      </c>
      <c r="AF234" s="16">
        <f>tblBOneExport[[#This Row],[BMK_CONTRIBUTION]]</f>
        <v>0</v>
      </c>
      <c r="AG234" s="16">
        <f>tblCalculation[[#This Row],[BMKContributionBase]]-tblBOneExport[BMK_SPOT_CCY_RETURN]-tblBOneExport[[#This Row],[BMK_CROSS_EFFECT]]</f>
        <v>0</v>
      </c>
      <c r="AH234" s="16">
        <f>tblCalculation[[#This Row],[FIAttributable]]*(tblBOneExport[[#This Row],[BMK_RETURN_GOV_CARRY]])</f>
        <v>0</v>
      </c>
      <c r="AI234" s="16">
        <f>tblCalculation[[#This Row],[FIAttributable]]*tblBOneExport[[#This Row],[BMK_CREDIT_CARRY]]</f>
        <v>0</v>
      </c>
      <c r="AJ234" s="16">
        <f>tblCalculation[[#This Row],[FIAttributable]]*tblBOneExport[[#This Row],[BMK_TOTAL_CURVE]]</f>
        <v>0</v>
      </c>
      <c r="AK234" s="16">
        <f>tblCalculation[[#This Row],[FIAttributable]]*(tblBOneExport[[#This Row],[BMK_TOTAL_SPREAD]]+BMK_Credit_Adj*tblCalculation[[#This Row],[BmkDTSWeight]])</f>
        <v>0</v>
      </c>
      <c r="AL234" s="16">
        <f>tblCalculation[[#This Row],[FIAttributable]]*tblBOneExport[[#This Row],[BMK_MODEL_RESIDUAL]]-BMK_Credit_Adj*tblCalculation[[#This Row],[BmkDTSWeight]]</f>
        <v>0</v>
      </c>
      <c r="AM234" s="16">
        <f>IF(tblCalculation[[#This Row],[Level3]]="Forward Contracts",tblCalculation[[#This Row],[BMKContributionLocal]],0)</f>
        <v>0</v>
      </c>
      <c r="AN234" s="16">
        <f>tblBOneExport[[#This Row],[BMK_SPOT_CCY_RETURN]]+tblBOneExport[[#This Row],[BMK_CROSS_EFFECT]]</f>
        <v>0</v>
      </c>
    </row>
    <row r="235" spans="5:40" x14ac:dyDescent="0.25">
      <c r="E235" s="7" t="str">
        <f>tblBOneExport[[#This Row],[INSTRUMENT_CODE]]</f>
        <v>BYZX5Y0</v>
      </c>
      <c r="F235" s="7" t="str">
        <f>tblBOneExport[[#This Row],[INSTRUMENT]]</f>
        <v>DAIMLER AG 2.125 07/06/22 EMTN</v>
      </c>
      <c r="G235" s="7" t="str">
        <f>IF(tblBOneExport[[#This Row],[ISIN]]&lt;&gt;"", tblBOneExport[[#This Row],[ISIN]],"")</f>
        <v>XS1391067847</v>
      </c>
      <c r="H235" s="7" t="str">
        <f>IF(tblCalculation[[#This Row],[B1Level2]]="CDS",tblBOneExport[[#This Row],[B1_TICKER]],IF(tblCalculation[[#This Row],[ISIN]]="","",INDEX(tblGetStaticData[Ticker],MATCH(tblCalculation[[#This Row],[ISIN]],tblGetStaticData[ISIN],0))))</f>
        <v>DAIGR</v>
      </c>
      <c r="I235" s="7" t="str">
        <f>IF(tblBOneExport[[#This Row],[INSTRUMENT_TYPE]]="Forward Contract","Forward Contract",tblBOneExport[LEVEL2])</f>
        <v>Corporates</v>
      </c>
      <c r="J235" s="7" t="str">
        <f>IF(tblBOneExport[[#This Row],[INSTRUMENT_TYPE]]="Forward Contract","Forward Contract",tblBOneExport[[#This Row],[LEVEL3]])</f>
        <v>Industrials</v>
      </c>
      <c r="K235" s="7" t="str">
        <f>INDEX(tblLvl2Mapping[],MATCH(tblCalculation[[#This Row],[B1Level2]]&amp;"_"&amp;tblCalculation[[#This Row],[B1Level3]],tblLvl2Mapping[B1Level2_B1Level3],0),2)</f>
        <v>Corporate</v>
      </c>
      <c r="L235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35" s="7">
        <f>INDEX(tblAttributable[],MATCH(tblCalculation[[#This Row],[Level3]],tblAttributable[Level3],0),2)</f>
        <v>1</v>
      </c>
      <c r="N235" s="16">
        <f>tblBOneExport[[#This Row],[PTF_WEIGHT]]</f>
        <v>4.1022089999999999E-3</v>
      </c>
      <c r="O235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9.4780465738271581E-3</v>
      </c>
      <c r="P235" s="48">
        <f>tblCalculation[[#This Row],[PtfDTS]]/SUM(tblCalculation[PtfDTS])</f>
        <v>1.1494243402761365E-3</v>
      </c>
      <c r="Q235" s="16">
        <f>tblBOneExport[[#This Row],[PTF_CONTRIBUTION]]</f>
        <v>2.6601499999999999E-5</v>
      </c>
      <c r="R235" s="16">
        <f>tblCalculation[[#This Row],[PtfContributionBase]]-tblCalculation[[#This Row],[PtfCurrencyReturn]]</f>
        <v>2.6601499999999999E-5</v>
      </c>
      <c r="S235" s="16">
        <f>IF(tblBOneExport[[#This Row],[LEVEL1]]="Bonds",tblBOneExport[[#This Row],[PTF_GOV_CARRY]],"")</f>
        <v>1.6062E-6</v>
      </c>
      <c r="T235" s="16">
        <f>tblCalculation[[#This Row],[FIAttributable]]*tblBOneExport[[#This Row],[PTF_CREDIT_CARRY]]</f>
        <v>2.9252E-6</v>
      </c>
      <c r="U235" s="16">
        <f>tblCalculation[[#This Row],[FIAttributable]]*tblBOneExport[[#This Row],[PTF_TOTAL_CURVE]]</f>
        <v>3.03193E-5</v>
      </c>
      <c r="V235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-8.6490999999999999E-6</v>
      </c>
      <c r="W235" s="16">
        <f>IF(AND(tblCalculation[[#This Row],[Level3]]="Forward Contracts",tblBOneExport[[#This Row],[PTF_COST_OF_CARRY]]=0),tblBOneExport[[#This Row],[PTF_VALUATION]],0)</f>
        <v>0</v>
      </c>
      <c r="X235" s="16">
        <f>SUM(tblCalculation[[#This Row],[PtfTrading]:[PtfModelRes]])</f>
        <v>3.9989999999999997E-7</v>
      </c>
      <c r="Y235" s="16">
        <f>tblCalculation[[#This Row],[FIAttributable]]*tblBOneExport[[#This Row],[PTF_TRADING]]</f>
        <v>0</v>
      </c>
      <c r="Z235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35" s="16">
        <f>tblCalculation[[#This Row],[FIAttributable]]*tblBOneExport[[#This Row],[PTF_MODEL_RESIDUAL]]-PTF_Credit_Adj*tblCalculation[[#This Row],[PtfDTSWeight]]</f>
        <v>3.9989999999999997E-7</v>
      </c>
      <c r="AB235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35" s="16">
        <f>tblBOneExport[[#This Row],[BMK_WEIGHT]]</f>
        <v>0</v>
      </c>
      <c r="AD235" s="78">
        <f>tblCalculation[[#This Row],[FIAttributable]]*SUMIFS(tblDTS[DTSContribution_BM],tblDTS[ISIN],tblCalculation[[#This Row],[ISIN]])</f>
        <v>0</v>
      </c>
      <c r="AE235" s="16">
        <f>IF(SUM(tblCalculation[BMKDTS])=0,0,tblCalculation[[#This Row],[BMKDTS]]/SUM(tblCalculation[BMKDTS]))</f>
        <v>0</v>
      </c>
      <c r="AF235" s="16">
        <f>tblBOneExport[[#This Row],[BMK_CONTRIBUTION]]</f>
        <v>0</v>
      </c>
      <c r="AG235" s="16">
        <f>tblCalculation[[#This Row],[BMKContributionBase]]-tblBOneExport[BMK_SPOT_CCY_RETURN]-tblBOneExport[[#This Row],[BMK_CROSS_EFFECT]]</f>
        <v>0</v>
      </c>
      <c r="AH235" s="16">
        <f>tblCalculation[[#This Row],[FIAttributable]]*(tblBOneExport[[#This Row],[BMK_RETURN_GOV_CARRY]])</f>
        <v>0</v>
      </c>
      <c r="AI235" s="16">
        <f>tblCalculation[[#This Row],[FIAttributable]]*tblBOneExport[[#This Row],[BMK_CREDIT_CARRY]]</f>
        <v>0</v>
      </c>
      <c r="AJ235" s="16">
        <f>tblCalculation[[#This Row],[FIAttributable]]*tblBOneExport[[#This Row],[BMK_TOTAL_CURVE]]</f>
        <v>0</v>
      </c>
      <c r="AK235" s="16">
        <f>tblCalculation[[#This Row],[FIAttributable]]*(tblBOneExport[[#This Row],[BMK_TOTAL_SPREAD]]+BMK_Credit_Adj*tblCalculation[[#This Row],[BmkDTSWeight]])</f>
        <v>0</v>
      </c>
      <c r="AL235" s="16">
        <f>tblCalculation[[#This Row],[FIAttributable]]*tblBOneExport[[#This Row],[BMK_MODEL_RESIDUAL]]-BMK_Credit_Adj*tblCalculation[[#This Row],[BmkDTSWeight]]</f>
        <v>0</v>
      </c>
      <c r="AM235" s="16">
        <f>IF(tblCalculation[[#This Row],[Level3]]="Forward Contracts",tblCalculation[[#This Row],[BMKContributionLocal]],0)</f>
        <v>0</v>
      </c>
      <c r="AN235" s="16">
        <f>tblBOneExport[[#This Row],[BMK_SPOT_CCY_RETURN]]+tblBOneExport[[#This Row],[BMK_CROSS_EFFECT]]</f>
        <v>0</v>
      </c>
    </row>
    <row r="236" spans="5:40" x14ac:dyDescent="0.25">
      <c r="E236" s="7" t="str">
        <f>tblBOneExport[[#This Row],[INSTRUMENT_CODE]]</f>
        <v>BD9X271</v>
      </c>
      <c r="F236" s="7" t="str">
        <f>tblBOneExport[[#This Row],[INSTRUMENT]]</f>
        <v>BROWN FORMAN 2.6 07/07/28</v>
      </c>
      <c r="G236" s="7" t="str">
        <f>IF(tblBOneExport[[#This Row],[ISIN]]&lt;&gt;"", tblBOneExport[[#This Row],[ISIN]],"")</f>
        <v>XS1441773121</v>
      </c>
      <c r="H236" s="7" t="str">
        <f>IF(tblCalculation[[#This Row],[B1Level2]]="CDS",tblBOneExport[[#This Row],[B1_TICKER]],IF(tblCalculation[[#This Row],[ISIN]]="","",INDEX(tblGetStaticData[Ticker],MATCH(tblCalculation[[#This Row],[ISIN]],tblGetStaticData[ISIN],0))))</f>
        <v>BFB</v>
      </c>
      <c r="I236" s="7" t="str">
        <f>IF(tblBOneExport[[#This Row],[INSTRUMENT_TYPE]]="Forward Contract","Forward Contract",tblBOneExport[LEVEL2])</f>
        <v>Corporates</v>
      </c>
      <c r="J236" s="7" t="str">
        <f>IF(tblBOneExport[[#This Row],[INSTRUMENT_TYPE]]="Forward Contract","Forward Contract",tblBOneExport[[#This Row],[LEVEL3]])</f>
        <v>Industrials</v>
      </c>
      <c r="K236" s="7" t="str">
        <f>INDEX(tblLvl2Mapping[],MATCH(tblCalculation[[#This Row],[B1Level2]]&amp;"_"&amp;tblCalculation[[#This Row],[B1Level3]],tblLvl2Mapping[B1Level2_B1Level3],0),2)</f>
        <v>Corporate</v>
      </c>
      <c r="L236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36" s="7">
        <f>INDEX(tblAttributable[],MATCH(tblCalculation[[#This Row],[Level3]],tblAttributable[Level3],0),2)</f>
        <v>1</v>
      </c>
      <c r="N236" s="16">
        <f>tblBOneExport[[#This Row],[PTF_WEIGHT]]</f>
        <v>8.5527989000000002E-3</v>
      </c>
      <c r="O236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8.2399378953595101E-2</v>
      </c>
      <c r="P236" s="48">
        <f>tblCalculation[[#This Row],[PtfDTS]]/SUM(tblCalculation[PtfDTS])</f>
        <v>9.9927607503468453E-3</v>
      </c>
      <c r="Q236" s="16">
        <f>tblBOneExport[[#This Row],[PTF_CONTRIBUTION]]</f>
        <v>1.603969E-4</v>
      </c>
      <c r="R236" s="16">
        <f>tblCalculation[[#This Row],[PtfContributionBase]]-tblCalculation[[#This Row],[PtfCurrencyReturn]]</f>
        <v>1.603969E-4</v>
      </c>
      <c r="S236" s="16">
        <f>IF(tblBOneExport[[#This Row],[LEVEL1]]="Bonds",tblBOneExport[[#This Row],[PTF_GOV_CARRY]],"")</f>
        <v>8.5214999999999996E-6</v>
      </c>
      <c r="T236" s="16">
        <f>tblCalculation[[#This Row],[FIAttributable]]*tblBOneExport[[#This Row],[PTF_CREDIT_CARRY]]</f>
        <v>7.7891999999999999E-6</v>
      </c>
      <c r="U236" s="16">
        <f>tblCalculation[[#This Row],[FIAttributable]]*tblBOneExport[[#This Row],[PTF_TOTAL_CURVE]]</f>
        <v>1.623025E-4</v>
      </c>
      <c r="V236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-2.1139299999999999E-5</v>
      </c>
      <c r="W236" s="16">
        <f>IF(AND(tblCalculation[[#This Row],[Level3]]="Forward Contracts",tblBOneExport[[#This Row],[PTF_COST_OF_CARRY]]=0),tblBOneExport[[#This Row],[PTF_VALUATION]],0)</f>
        <v>0</v>
      </c>
      <c r="X236" s="16">
        <f>SUM(tblCalculation[[#This Row],[PtfTrading]:[PtfModelRes]])</f>
        <v>2.9229999999999998E-6</v>
      </c>
      <c r="Y236" s="16">
        <f>tblCalculation[[#This Row],[FIAttributable]]*tblBOneExport[[#This Row],[PTF_TRADING]]</f>
        <v>0</v>
      </c>
      <c r="Z236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36" s="16">
        <f>tblCalculation[[#This Row],[FIAttributable]]*tblBOneExport[[#This Row],[PTF_MODEL_RESIDUAL]]-PTF_Credit_Adj*tblCalculation[[#This Row],[PtfDTSWeight]]</f>
        <v>2.9229999999999998E-6</v>
      </c>
      <c r="AB236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36" s="16">
        <f>tblBOneExport[[#This Row],[BMK_WEIGHT]]</f>
        <v>0</v>
      </c>
      <c r="AD236" s="78">
        <f>tblCalculation[[#This Row],[FIAttributable]]*SUMIFS(tblDTS[DTSContribution_BM],tblDTS[ISIN],tblCalculation[[#This Row],[ISIN]])</f>
        <v>0</v>
      </c>
      <c r="AE236" s="16">
        <f>IF(SUM(tblCalculation[BMKDTS])=0,0,tblCalculation[[#This Row],[BMKDTS]]/SUM(tblCalculation[BMKDTS]))</f>
        <v>0</v>
      </c>
      <c r="AF236" s="16">
        <f>tblBOneExport[[#This Row],[BMK_CONTRIBUTION]]</f>
        <v>0</v>
      </c>
      <c r="AG236" s="16">
        <f>tblCalculation[[#This Row],[BMKContributionBase]]-tblBOneExport[BMK_SPOT_CCY_RETURN]-tblBOneExport[[#This Row],[BMK_CROSS_EFFECT]]</f>
        <v>0</v>
      </c>
      <c r="AH236" s="16">
        <f>tblCalculation[[#This Row],[FIAttributable]]*(tblBOneExport[[#This Row],[BMK_RETURN_GOV_CARRY]])</f>
        <v>0</v>
      </c>
      <c r="AI236" s="16">
        <f>tblCalculation[[#This Row],[FIAttributable]]*tblBOneExport[[#This Row],[BMK_CREDIT_CARRY]]</f>
        <v>0</v>
      </c>
      <c r="AJ236" s="16">
        <f>tblCalculation[[#This Row],[FIAttributable]]*tblBOneExport[[#This Row],[BMK_TOTAL_CURVE]]</f>
        <v>0</v>
      </c>
      <c r="AK236" s="16">
        <f>tblCalculation[[#This Row],[FIAttributable]]*(tblBOneExport[[#This Row],[BMK_TOTAL_SPREAD]]+BMK_Credit_Adj*tblCalculation[[#This Row],[BmkDTSWeight]])</f>
        <v>0</v>
      </c>
      <c r="AL236" s="16">
        <f>tblCalculation[[#This Row],[FIAttributable]]*tblBOneExport[[#This Row],[BMK_MODEL_RESIDUAL]]-BMK_Credit_Adj*tblCalculation[[#This Row],[BmkDTSWeight]]</f>
        <v>0</v>
      </c>
      <c r="AM236" s="16">
        <f>IF(tblCalculation[[#This Row],[Level3]]="Forward Contracts",tblCalculation[[#This Row],[BMKContributionLocal]],0)</f>
        <v>0</v>
      </c>
      <c r="AN236" s="16">
        <f>tblBOneExport[[#This Row],[BMK_SPOT_CCY_RETURN]]+tblBOneExport[[#This Row],[BMK_CROSS_EFFECT]]</f>
        <v>0</v>
      </c>
    </row>
    <row r="237" spans="5:40" x14ac:dyDescent="0.25">
      <c r="E237" s="7" t="str">
        <f>tblBOneExport[[#This Row],[INSTRUMENT_CODE]]</f>
        <v>S01905316</v>
      </c>
      <c r="F237" s="7" t="str">
        <f>tblBOneExport[[#This Row],[INSTRUMENT]]</f>
        <v>AFFINITY WAT FIN 3.278 22/08/42 EMTN</v>
      </c>
      <c r="G237" s="7" t="str">
        <f>IF(tblBOneExport[[#This Row],[ISIN]]&lt;&gt;"", tblBOneExport[[#This Row],[ISIN]],"")</f>
        <v>XS1480879540</v>
      </c>
      <c r="H237" s="7" t="str">
        <f>IF(tblCalculation[[#This Row],[B1Level2]]="CDS",tblBOneExport[[#This Row],[B1_TICKER]],IF(tblCalculation[[#This Row],[ISIN]]="","",INDEX(tblGetStaticData[Ticker],MATCH(tblCalculation[[#This Row],[ISIN]],tblGetStaticData[ISIN],0))))</f>
        <v>AFFNTY</v>
      </c>
      <c r="I237" s="7" t="str">
        <f>IF(tblBOneExport[[#This Row],[INSTRUMENT_TYPE]]="Forward Contract","Forward Contract",tblBOneExport[LEVEL2])</f>
        <v>Corporates</v>
      </c>
      <c r="J237" s="7" t="str">
        <f>IF(tblBOneExport[[#This Row],[INSTRUMENT_TYPE]]="Forward Contract","Forward Contract",tblBOneExport[[#This Row],[LEVEL3]])</f>
        <v>Utilities</v>
      </c>
      <c r="K237" s="7" t="str">
        <f>INDEX(tblLvl2Mapping[],MATCH(tblCalculation[[#This Row],[B1Level2]]&amp;"_"&amp;tblCalculation[[#This Row],[B1Level3]],tblLvl2Mapping[B1Level2_B1Level3],0),2)</f>
        <v>Corporate</v>
      </c>
      <c r="L237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37" s="7">
        <f>INDEX(tblAttributable[],MATCH(tblCalculation[[#This Row],[Level3]],tblAttributable[Level3],0),2)</f>
        <v>1</v>
      </c>
      <c r="N237" s="16">
        <f>tblBOneExport[[#This Row],[PTF_WEIGHT]]</f>
        <v>1.0355665000000001E-3</v>
      </c>
      <c r="O237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2.2441898633511294E-2</v>
      </c>
      <c r="P237" s="48">
        <f>tblCalculation[[#This Row],[PtfDTS]]/SUM(tblCalculation[PtfDTS])</f>
        <v>2.7215802676681436E-3</v>
      </c>
      <c r="Q237" s="16">
        <f>tblBOneExport[[#This Row],[PTF_CONTRIBUTION]]</f>
        <v>3.0514600000000001E-5</v>
      </c>
      <c r="R237" s="16">
        <f>tblCalculation[[#This Row],[PtfContributionBase]]-tblCalculation[[#This Row],[PtfCurrencyReturn]]</f>
        <v>3.0514600000000001E-5</v>
      </c>
      <c r="S237" s="16">
        <f>IF(tblBOneExport[[#This Row],[LEVEL1]]="Bonds",tblBOneExport[[#This Row],[PTF_GOV_CARRY]],"")</f>
        <v>1.5302E-6</v>
      </c>
      <c r="T237" s="16">
        <f>tblCalculation[[#This Row],[FIAttributable]]*tblBOneExport[[#This Row],[PTF_CREDIT_CARRY]]</f>
        <v>8.4629999999999995E-7</v>
      </c>
      <c r="U237" s="16">
        <f>tblCalculation[[#This Row],[FIAttributable]]*tblBOneExport[[#This Row],[PTF_TOTAL_CURVE]]</f>
        <v>2.9335700000000001E-5</v>
      </c>
      <c r="V237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-5.7200999999999997E-6</v>
      </c>
      <c r="W237" s="16">
        <f>IF(AND(tblCalculation[[#This Row],[Level3]]="Forward Contracts",tblBOneExport[[#This Row],[PTF_COST_OF_CARRY]]=0),tblBOneExport[[#This Row],[PTF_VALUATION]],0)</f>
        <v>0</v>
      </c>
      <c r="X237" s="16">
        <f>SUM(tblCalculation[[#This Row],[PtfTrading]:[PtfModelRes]])</f>
        <v>4.5225000000000003E-6</v>
      </c>
      <c r="Y237" s="16">
        <f>tblCalculation[[#This Row],[FIAttributable]]*tblBOneExport[[#This Row],[PTF_TRADING]]</f>
        <v>0</v>
      </c>
      <c r="Z237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37" s="16">
        <f>tblCalculation[[#This Row],[FIAttributable]]*tblBOneExport[[#This Row],[PTF_MODEL_RESIDUAL]]-PTF_Credit_Adj*tblCalculation[[#This Row],[PtfDTSWeight]]</f>
        <v>4.5225000000000003E-6</v>
      </c>
      <c r="AB237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37" s="16">
        <f>tblBOneExport[[#This Row],[BMK_WEIGHT]]</f>
        <v>0</v>
      </c>
      <c r="AD237" s="78">
        <f>tblCalculation[[#This Row],[FIAttributable]]*SUMIFS(tblDTS[DTSContribution_BM],tblDTS[ISIN],tblCalculation[[#This Row],[ISIN]])</f>
        <v>0</v>
      </c>
      <c r="AE237" s="16">
        <f>IF(SUM(tblCalculation[BMKDTS])=0,0,tblCalculation[[#This Row],[BMKDTS]]/SUM(tblCalculation[BMKDTS]))</f>
        <v>0</v>
      </c>
      <c r="AF237" s="16">
        <f>tblBOneExport[[#This Row],[BMK_CONTRIBUTION]]</f>
        <v>0</v>
      </c>
      <c r="AG237" s="16">
        <f>tblCalculation[[#This Row],[BMKContributionBase]]-tblBOneExport[BMK_SPOT_CCY_RETURN]-tblBOneExport[[#This Row],[BMK_CROSS_EFFECT]]</f>
        <v>0</v>
      </c>
      <c r="AH237" s="16">
        <f>tblCalculation[[#This Row],[FIAttributable]]*(tblBOneExport[[#This Row],[BMK_RETURN_GOV_CARRY]])</f>
        <v>0</v>
      </c>
      <c r="AI237" s="16">
        <f>tblCalculation[[#This Row],[FIAttributable]]*tblBOneExport[[#This Row],[BMK_CREDIT_CARRY]]</f>
        <v>0</v>
      </c>
      <c r="AJ237" s="16">
        <f>tblCalculation[[#This Row],[FIAttributable]]*tblBOneExport[[#This Row],[BMK_TOTAL_CURVE]]</f>
        <v>0</v>
      </c>
      <c r="AK237" s="16">
        <f>tblCalculation[[#This Row],[FIAttributable]]*(tblBOneExport[[#This Row],[BMK_TOTAL_SPREAD]]+BMK_Credit_Adj*tblCalculation[[#This Row],[BmkDTSWeight]])</f>
        <v>0</v>
      </c>
      <c r="AL237" s="16">
        <f>tblCalculation[[#This Row],[FIAttributable]]*tblBOneExport[[#This Row],[BMK_MODEL_RESIDUAL]]-BMK_Credit_Adj*tblCalculation[[#This Row],[BmkDTSWeight]]</f>
        <v>0</v>
      </c>
      <c r="AM237" s="16">
        <f>IF(tblCalculation[[#This Row],[Level3]]="Forward Contracts",tblCalculation[[#This Row],[BMKContributionLocal]],0)</f>
        <v>0</v>
      </c>
      <c r="AN237" s="16">
        <f>tblBOneExport[[#This Row],[BMK_SPOT_CCY_RETURN]]+tblBOneExport[[#This Row],[BMK_CROSS_EFFECT]]</f>
        <v>0</v>
      </c>
    </row>
    <row r="238" spans="5:40" x14ac:dyDescent="0.25">
      <c r="E238" s="7" t="str">
        <f>tblBOneExport[[#This Row],[INSTRUMENT_CODE]]</f>
        <v>BYY5G99</v>
      </c>
      <c r="F238" s="7" t="str">
        <f>tblBOneExport[[#This Row],[INSTRUMENT]]</f>
        <v>HENKEL AG &amp; CO 0.875 13/09/22 EMTN</v>
      </c>
      <c r="G238" s="7" t="str">
        <f>IF(tblBOneExport[[#This Row],[ISIN]]&lt;&gt;"", tblBOneExport[[#This Row],[ISIN]],"")</f>
        <v>XS1488419935</v>
      </c>
      <c r="H238" s="7" t="str">
        <f>IF(tblCalculation[[#This Row],[B1Level2]]="CDS",tblBOneExport[[#This Row],[B1_TICKER]],IF(tblCalculation[[#This Row],[ISIN]]="","",INDEX(tblGetStaticData[Ticker],MATCH(tblCalculation[[#This Row],[ISIN]],tblGetStaticData[ISIN],0))))</f>
        <v>HENKEL</v>
      </c>
      <c r="I238" s="7" t="str">
        <f>IF(tblBOneExport[[#This Row],[INSTRUMENT_TYPE]]="Forward Contract","Forward Contract",tblBOneExport[LEVEL2])</f>
        <v>Corporates</v>
      </c>
      <c r="J238" s="7" t="str">
        <f>IF(tblBOneExport[[#This Row],[INSTRUMENT_TYPE]]="Forward Contract","Forward Contract",tblBOneExport[[#This Row],[LEVEL3]])</f>
        <v>Industrials</v>
      </c>
      <c r="K238" s="7" t="str">
        <f>INDEX(tblLvl2Mapping[],MATCH(tblCalculation[[#This Row],[B1Level2]]&amp;"_"&amp;tblCalculation[[#This Row],[B1Level3]],tblLvl2Mapping[B1Level2_B1Level3],0),2)</f>
        <v>Corporate</v>
      </c>
      <c r="L238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38" s="7">
        <f>INDEX(tblAttributable[],MATCH(tblCalculation[[#This Row],[Level3]],tblAttributable[Level3],0),2)</f>
        <v>1</v>
      </c>
      <c r="N238" s="16">
        <f>tblBOneExport[[#This Row],[PTF_WEIGHT]]</f>
        <v>5.8609059999999999E-3</v>
      </c>
      <c r="O238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7.8094080828637032E-3</v>
      </c>
      <c r="P238" s="48">
        <f>tblCalculation[[#This Row],[PtfDTS]]/SUM(tblCalculation[PtfDTS])</f>
        <v>9.4706474205139663E-4</v>
      </c>
      <c r="Q238" s="16">
        <f>tblBOneExport[[#This Row],[PTF_CONTRIBUTION]]</f>
        <v>5.46127E-5</v>
      </c>
      <c r="R238" s="16">
        <f>tblCalculation[[#This Row],[PtfContributionBase]]-tblCalculation[[#This Row],[PtfCurrencyReturn]]</f>
        <v>5.46127E-5</v>
      </c>
      <c r="S238" s="16">
        <f>IF(tblBOneExport[[#This Row],[LEVEL1]]="Bonds",tblBOneExport[[#This Row],[PTF_GOV_CARRY]],"")</f>
        <v>2.3147E-6</v>
      </c>
      <c r="T238" s="16">
        <f>tblCalculation[[#This Row],[FIAttributable]]*tblBOneExport[[#This Row],[PTF_CREDIT_CARRY]]</f>
        <v>3.1487999999999998E-6</v>
      </c>
      <c r="U238" s="16">
        <f>tblCalculation[[#This Row],[FIAttributable]]*tblBOneExport[[#This Row],[PTF_TOTAL_CURVE]]</f>
        <v>4.6638899999999998E-5</v>
      </c>
      <c r="V238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5.4222000000000004E-6</v>
      </c>
      <c r="W238" s="16">
        <f>IF(AND(tblCalculation[[#This Row],[Level3]]="Forward Contracts",tblBOneExport[[#This Row],[PTF_COST_OF_CARRY]]=0),tblBOneExport[[#This Row],[PTF_VALUATION]],0)</f>
        <v>0</v>
      </c>
      <c r="X238" s="16">
        <f>SUM(tblCalculation[[#This Row],[PtfTrading]:[PtfModelRes]])</f>
        <v>-2.9119E-6</v>
      </c>
      <c r="Y238" s="16">
        <f>tblCalculation[[#This Row],[FIAttributable]]*tblBOneExport[[#This Row],[PTF_TRADING]]</f>
        <v>0</v>
      </c>
      <c r="Z238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38" s="16">
        <f>tblCalculation[[#This Row],[FIAttributable]]*tblBOneExport[[#This Row],[PTF_MODEL_RESIDUAL]]-PTF_Credit_Adj*tblCalculation[[#This Row],[PtfDTSWeight]]</f>
        <v>-2.9119E-6</v>
      </c>
      <c r="AB238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38" s="16">
        <f>tblBOneExport[[#This Row],[BMK_WEIGHT]]</f>
        <v>0</v>
      </c>
      <c r="AD238" s="78">
        <f>tblCalculation[[#This Row],[FIAttributable]]*SUMIFS(tblDTS[DTSContribution_BM],tblDTS[ISIN],tblCalculation[[#This Row],[ISIN]])</f>
        <v>0</v>
      </c>
      <c r="AE238" s="16">
        <f>IF(SUM(tblCalculation[BMKDTS])=0,0,tblCalculation[[#This Row],[BMKDTS]]/SUM(tblCalculation[BMKDTS]))</f>
        <v>0</v>
      </c>
      <c r="AF238" s="16">
        <f>tblBOneExport[[#This Row],[BMK_CONTRIBUTION]]</f>
        <v>0</v>
      </c>
      <c r="AG238" s="16">
        <f>tblCalculation[[#This Row],[BMKContributionBase]]-tblBOneExport[BMK_SPOT_CCY_RETURN]-tblBOneExport[[#This Row],[BMK_CROSS_EFFECT]]</f>
        <v>0</v>
      </c>
      <c r="AH238" s="16">
        <f>tblCalculation[[#This Row],[FIAttributable]]*(tblBOneExport[[#This Row],[BMK_RETURN_GOV_CARRY]])</f>
        <v>0</v>
      </c>
      <c r="AI238" s="16">
        <f>tblCalculation[[#This Row],[FIAttributable]]*tblBOneExport[[#This Row],[BMK_CREDIT_CARRY]]</f>
        <v>0</v>
      </c>
      <c r="AJ238" s="16">
        <f>tblCalculation[[#This Row],[FIAttributable]]*tblBOneExport[[#This Row],[BMK_TOTAL_CURVE]]</f>
        <v>0</v>
      </c>
      <c r="AK238" s="16">
        <f>tblCalculation[[#This Row],[FIAttributable]]*(tblBOneExport[[#This Row],[BMK_TOTAL_SPREAD]]+BMK_Credit_Adj*tblCalculation[[#This Row],[BmkDTSWeight]])</f>
        <v>0</v>
      </c>
      <c r="AL238" s="16">
        <f>tblCalculation[[#This Row],[FIAttributable]]*tblBOneExport[[#This Row],[BMK_MODEL_RESIDUAL]]-BMK_Credit_Adj*tblCalculation[[#This Row],[BmkDTSWeight]]</f>
        <v>0</v>
      </c>
      <c r="AM238" s="16">
        <f>IF(tblCalculation[[#This Row],[Level3]]="Forward Contracts",tblCalculation[[#This Row],[BMKContributionLocal]],0)</f>
        <v>0</v>
      </c>
      <c r="AN238" s="16">
        <f>tblBOneExport[[#This Row],[BMK_SPOT_CCY_RETURN]]+tblBOneExport[[#This Row],[BMK_CROSS_EFFECT]]</f>
        <v>0</v>
      </c>
    </row>
    <row r="239" spans="5:40" x14ac:dyDescent="0.25">
      <c r="E239" s="7" t="str">
        <f>tblBOneExport[[#This Row],[INSTRUMENT_CODE]]</f>
        <v>BD87Z53</v>
      </c>
      <c r="F239" s="7" t="str">
        <f>tblBOneExport[[#This Row],[INSTRUMENT]]</f>
        <v>CADENT FINANCE P 1.125 22/09/21 EMTN</v>
      </c>
      <c r="G239" s="7" t="str">
        <f>IF(tblBOneExport[[#This Row],[ISIN]]&lt;&gt;"", tblBOneExport[[#This Row],[ISIN]],"")</f>
        <v>XS1492680811</v>
      </c>
      <c r="H239" s="7" t="str">
        <f>IF(tblCalculation[[#This Row],[B1Level2]]="CDS",tblBOneExport[[#This Row],[B1_TICKER]],IF(tblCalculation[[#This Row],[ISIN]]="","",INDEX(tblGetStaticData[Ticker],MATCH(tblCalculation[[#This Row],[ISIN]],tblGetStaticData[ISIN],0))))</f>
        <v>NGGLN</v>
      </c>
      <c r="I239" s="7" t="str">
        <f>IF(tblBOneExport[[#This Row],[INSTRUMENT_TYPE]]="Forward Contract","Forward Contract",tblBOneExport[LEVEL2])</f>
        <v>Corporates</v>
      </c>
      <c r="J239" s="7" t="str">
        <f>IF(tblBOneExport[[#This Row],[INSTRUMENT_TYPE]]="Forward Contract","Forward Contract",tblBOneExport[[#This Row],[LEVEL3]])</f>
        <v>Utilities</v>
      </c>
      <c r="K239" s="7" t="str">
        <f>INDEX(tblLvl2Mapping[],MATCH(tblCalculation[[#This Row],[B1Level2]]&amp;"_"&amp;tblCalculation[[#This Row],[B1Level3]],tblLvl2Mapping[B1Level2_B1Level3],0),2)</f>
        <v>Corporate</v>
      </c>
      <c r="L239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39" s="7">
        <f>INDEX(tblAttributable[],MATCH(tblCalculation[[#This Row],[Level3]],tblAttributable[Level3],0),2)</f>
        <v>1</v>
      </c>
      <c r="N239" s="16">
        <f>tblBOneExport[[#This Row],[PTF_WEIGHT]]</f>
        <v>2.4424968E-3</v>
      </c>
      <c r="O239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3.0026660740156098E-3</v>
      </c>
      <c r="P239" s="48">
        <f>tblCalculation[[#This Row],[PtfDTS]]/SUM(tblCalculation[PtfDTS])</f>
        <v>3.6414016794615806E-4</v>
      </c>
      <c r="Q239" s="16">
        <f>tblBOneExport[[#This Row],[PTF_CONTRIBUTION]]</f>
        <v>1.51164E-5</v>
      </c>
      <c r="R239" s="16">
        <f>tblCalculation[[#This Row],[PtfContributionBase]]-tblCalculation[[#This Row],[PtfCurrencyReturn]]</f>
        <v>1.51164E-5</v>
      </c>
      <c r="S239" s="16">
        <f>IF(tblBOneExport[[#This Row],[LEVEL1]]="Bonds",tblBOneExport[[#This Row],[PTF_GOV_CARRY]],"")</f>
        <v>6.7990000000000005E-7</v>
      </c>
      <c r="T239" s="16">
        <f>tblCalculation[[#This Row],[FIAttributable]]*tblBOneExport[[#This Row],[PTF_CREDIT_CARRY]]</f>
        <v>1.5148000000000001E-6</v>
      </c>
      <c r="U239" s="16">
        <f>tblCalculation[[#This Row],[FIAttributable]]*tblBOneExport[[#This Row],[PTF_TOTAL_CURVE]]</f>
        <v>1.4082499999999999E-5</v>
      </c>
      <c r="V239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-8.6749999999999995E-7</v>
      </c>
      <c r="W239" s="16">
        <f>IF(AND(tblCalculation[[#This Row],[Level3]]="Forward Contracts",tblBOneExport[[#This Row],[PTF_COST_OF_CARRY]]=0),tblBOneExport[[#This Row],[PTF_VALUATION]],0)</f>
        <v>0</v>
      </c>
      <c r="X239" s="16">
        <f>SUM(tblCalculation[[#This Row],[PtfTrading]:[PtfModelRes]])</f>
        <v>-2.9349999999999997E-7</v>
      </c>
      <c r="Y239" s="16">
        <f>tblCalculation[[#This Row],[FIAttributable]]*tblBOneExport[[#This Row],[PTF_TRADING]]</f>
        <v>0</v>
      </c>
      <c r="Z239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39" s="16">
        <f>tblCalculation[[#This Row],[FIAttributable]]*tblBOneExport[[#This Row],[PTF_MODEL_RESIDUAL]]-PTF_Credit_Adj*tblCalculation[[#This Row],[PtfDTSWeight]]</f>
        <v>-2.9349999999999997E-7</v>
      </c>
      <c r="AB239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39" s="16">
        <f>tblBOneExport[[#This Row],[BMK_WEIGHT]]</f>
        <v>0</v>
      </c>
      <c r="AD239" s="78">
        <f>tblCalculation[[#This Row],[FIAttributable]]*SUMIFS(tblDTS[DTSContribution_BM],tblDTS[ISIN],tblCalculation[[#This Row],[ISIN]])</f>
        <v>0</v>
      </c>
      <c r="AE239" s="16">
        <f>IF(SUM(tblCalculation[BMKDTS])=0,0,tblCalculation[[#This Row],[BMKDTS]]/SUM(tblCalculation[BMKDTS]))</f>
        <v>0</v>
      </c>
      <c r="AF239" s="16">
        <f>tblBOneExport[[#This Row],[BMK_CONTRIBUTION]]</f>
        <v>0</v>
      </c>
      <c r="AG239" s="16">
        <f>tblCalculation[[#This Row],[BMKContributionBase]]-tblBOneExport[BMK_SPOT_CCY_RETURN]-tblBOneExport[[#This Row],[BMK_CROSS_EFFECT]]</f>
        <v>0</v>
      </c>
      <c r="AH239" s="16">
        <f>tblCalculation[[#This Row],[FIAttributable]]*(tblBOneExport[[#This Row],[BMK_RETURN_GOV_CARRY]])</f>
        <v>0</v>
      </c>
      <c r="AI239" s="16">
        <f>tblCalculation[[#This Row],[FIAttributable]]*tblBOneExport[[#This Row],[BMK_CREDIT_CARRY]]</f>
        <v>0</v>
      </c>
      <c r="AJ239" s="16">
        <f>tblCalculation[[#This Row],[FIAttributable]]*tblBOneExport[[#This Row],[BMK_TOTAL_CURVE]]</f>
        <v>0</v>
      </c>
      <c r="AK239" s="16">
        <f>tblCalculation[[#This Row],[FIAttributable]]*(tblBOneExport[[#This Row],[BMK_TOTAL_SPREAD]]+BMK_Credit_Adj*tblCalculation[[#This Row],[BmkDTSWeight]])</f>
        <v>0</v>
      </c>
      <c r="AL239" s="16">
        <f>tblCalculation[[#This Row],[FIAttributable]]*tblBOneExport[[#This Row],[BMK_MODEL_RESIDUAL]]-BMK_Credit_Adj*tblCalculation[[#This Row],[BmkDTSWeight]]</f>
        <v>0</v>
      </c>
      <c r="AM239" s="16">
        <f>IF(tblCalculation[[#This Row],[Level3]]="Forward Contracts",tblCalculation[[#This Row],[BMKContributionLocal]],0)</f>
        <v>0</v>
      </c>
      <c r="AN239" s="16">
        <f>tblBOneExport[[#This Row],[BMK_SPOT_CCY_RETURN]]+tblBOneExport[[#This Row],[BMK_CROSS_EFFECT]]</f>
        <v>0</v>
      </c>
    </row>
    <row r="240" spans="5:40" x14ac:dyDescent="0.25">
      <c r="E240" s="7" t="str">
        <f>tblBOneExport[[#This Row],[INSTRUMENT_CODE]]</f>
        <v>BD8C5V4</v>
      </c>
      <c r="F240" s="7" t="str">
        <f>tblBOneExport[[#This Row],[INSTRUMENT]]</f>
        <v>CADENT FINANCE P 2.125 22/09/28 EMTN</v>
      </c>
      <c r="G240" s="7" t="str">
        <f>IF(tblBOneExport[[#This Row],[ISIN]]&lt;&gt;"", tblBOneExport[[#This Row],[ISIN]],"")</f>
        <v>XS1492680902</v>
      </c>
      <c r="H240" s="7" t="str">
        <f>IF(tblCalculation[[#This Row],[B1Level2]]="CDS",tblBOneExport[[#This Row],[B1_TICKER]],IF(tblCalculation[[#This Row],[ISIN]]="","",INDEX(tblGetStaticData[Ticker],MATCH(tblCalculation[[#This Row],[ISIN]],tblGetStaticData[ISIN],0))))</f>
        <v>NGGLN</v>
      </c>
      <c r="I240" s="7" t="str">
        <f>IF(tblBOneExport[[#This Row],[INSTRUMENT_TYPE]]="Forward Contract","Forward Contract",tblBOneExport[LEVEL2])</f>
        <v>Corporates</v>
      </c>
      <c r="J240" s="7" t="str">
        <f>IF(tblBOneExport[[#This Row],[INSTRUMENT_TYPE]]="Forward Contract","Forward Contract",tblBOneExport[[#This Row],[LEVEL3]])</f>
        <v>Utilities</v>
      </c>
      <c r="K240" s="7" t="str">
        <f>INDEX(tblLvl2Mapping[],MATCH(tblCalculation[[#This Row],[B1Level2]]&amp;"_"&amp;tblCalculation[[#This Row],[B1Level3]],tblLvl2Mapping[B1Level2_B1Level3],0),2)</f>
        <v>Corporate</v>
      </c>
      <c r="L240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40" s="7">
        <f>INDEX(tblAttributable[],MATCH(tblCalculation[[#This Row],[Level3]],tblAttributable[Level3],0),2)</f>
        <v>1</v>
      </c>
      <c r="N240" s="16">
        <f>tblBOneExport[[#This Row],[PTF_WEIGHT]]</f>
        <v>1.1699111999999999E-3</v>
      </c>
      <c r="O240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1.1119799435781482E-2</v>
      </c>
      <c r="P240" s="48">
        <f>tblCalculation[[#This Row],[PtfDTS]]/SUM(tblCalculation[PtfDTS])</f>
        <v>1.3485234569083863E-3</v>
      </c>
      <c r="Q240" s="16">
        <f>tblBOneExport[[#This Row],[PTF_CONTRIBUTION]]</f>
        <v>2.45468E-5</v>
      </c>
      <c r="R240" s="16">
        <f>tblCalculation[[#This Row],[PtfContributionBase]]-tblCalculation[[#This Row],[PtfCurrencyReturn]]</f>
        <v>2.45468E-5</v>
      </c>
      <c r="S240" s="16">
        <f>IF(tblBOneExport[[#This Row],[LEVEL1]]="Bonds",tblBOneExport[[#This Row],[PTF_GOV_CARRY]],"")</f>
        <v>1.2242000000000001E-6</v>
      </c>
      <c r="T240" s="16">
        <f>tblCalculation[[#This Row],[FIAttributable]]*tblBOneExport[[#This Row],[PTF_CREDIT_CARRY]]</f>
        <v>9.7149999999999993E-7</v>
      </c>
      <c r="U240" s="16">
        <f>tblCalculation[[#This Row],[FIAttributable]]*tblBOneExport[[#This Row],[PTF_TOTAL_CURVE]]</f>
        <v>2.28625E-5</v>
      </c>
      <c r="V240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-3.8140000000000001E-7</v>
      </c>
      <c r="W240" s="16">
        <f>IF(AND(tblCalculation[[#This Row],[Level3]]="Forward Contracts",tblBOneExport[[#This Row],[PTF_COST_OF_CARRY]]=0),tblBOneExport[[#This Row],[PTF_VALUATION]],0)</f>
        <v>0</v>
      </c>
      <c r="X240" s="16">
        <f>SUM(tblCalculation[[#This Row],[PtfTrading]:[PtfModelRes]])</f>
        <v>-1.3E-7</v>
      </c>
      <c r="Y240" s="16">
        <f>tblCalculation[[#This Row],[FIAttributable]]*tblBOneExport[[#This Row],[PTF_TRADING]]</f>
        <v>0</v>
      </c>
      <c r="Z240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40" s="16">
        <f>tblCalculation[[#This Row],[FIAttributable]]*tblBOneExport[[#This Row],[PTF_MODEL_RESIDUAL]]-PTF_Credit_Adj*tblCalculation[[#This Row],[PtfDTSWeight]]</f>
        <v>-1.3E-7</v>
      </c>
      <c r="AB240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40" s="16">
        <f>tblBOneExport[[#This Row],[BMK_WEIGHT]]</f>
        <v>0</v>
      </c>
      <c r="AD240" s="78">
        <f>tblCalculation[[#This Row],[FIAttributable]]*SUMIFS(tblDTS[DTSContribution_BM],tblDTS[ISIN],tblCalculation[[#This Row],[ISIN]])</f>
        <v>0</v>
      </c>
      <c r="AE240" s="16">
        <f>IF(SUM(tblCalculation[BMKDTS])=0,0,tblCalculation[[#This Row],[BMKDTS]]/SUM(tblCalculation[BMKDTS]))</f>
        <v>0</v>
      </c>
      <c r="AF240" s="16">
        <f>tblBOneExport[[#This Row],[BMK_CONTRIBUTION]]</f>
        <v>0</v>
      </c>
      <c r="AG240" s="16">
        <f>tblCalculation[[#This Row],[BMKContributionBase]]-tblBOneExport[BMK_SPOT_CCY_RETURN]-tblBOneExport[[#This Row],[BMK_CROSS_EFFECT]]</f>
        <v>0</v>
      </c>
      <c r="AH240" s="16">
        <f>tblCalculation[[#This Row],[FIAttributable]]*(tblBOneExport[[#This Row],[BMK_RETURN_GOV_CARRY]])</f>
        <v>0</v>
      </c>
      <c r="AI240" s="16">
        <f>tblCalculation[[#This Row],[FIAttributable]]*tblBOneExport[[#This Row],[BMK_CREDIT_CARRY]]</f>
        <v>0</v>
      </c>
      <c r="AJ240" s="16">
        <f>tblCalculation[[#This Row],[FIAttributable]]*tblBOneExport[[#This Row],[BMK_TOTAL_CURVE]]</f>
        <v>0</v>
      </c>
      <c r="AK240" s="16">
        <f>tblCalculation[[#This Row],[FIAttributable]]*(tblBOneExport[[#This Row],[BMK_TOTAL_SPREAD]]+BMK_Credit_Adj*tblCalculation[[#This Row],[BmkDTSWeight]])</f>
        <v>0</v>
      </c>
      <c r="AL240" s="16">
        <f>tblCalculation[[#This Row],[FIAttributable]]*tblBOneExport[[#This Row],[BMK_MODEL_RESIDUAL]]-BMK_Credit_Adj*tblCalculation[[#This Row],[BmkDTSWeight]]</f>
        <v>0</v>
      </c>
      <c r="AM240" s="16">
        <f>IF(tblCalculation[[#This Row],[Level3]]="Forward Contracts",tblCalculation[[#This Row],[BMKContributionLocal]],0)</f>
        <v>0</v>
      </c>
      <c r="AN240" s="16">
        <f>tblBOneExport[[#This Row],[BMK_SPOT_CCY_RETURN]]+tblBOneExport[[#This Row],[BMK_CROSS_EFFECT]]</f>
        <v>0</v>
      </c>
    </row>
    <row r="241" spans="5:40" x14ac:dyDescent="0.25">
      <c r="E241" s="7" t="str">
        <f>tblBOneExport[[#This Row],[INSTRUMENT_CODE]]</f>
        <v>BD8C5T2</v>
      </c>
      <c r="F241" s="7" t="str">
        <f>tblBOneExport[[#This Row],[INSTRUMENT]]</f>
        <v>CADENT FINANCE P 2.625 22/09/38 EMTN</v>
      </c>
      <c r="G241" s="7" t="str">
        <f>IF(tblBOneExport[[#This Row],[ISIN]]&lt;&gt;"", tblBOneExport[[#This Row],[ISIN]],"")</f>
        <v>XS1492681033</v>
      </c>
      <c r="H241" s="7" t="str">
        <f>IF(tblCalculation[[#This Row],[B1Level2]]="CDS",tblBOneExport[[#This Row],[B1_TICKER]],IF(tblCalculation[[#This Row],[ISIN]]="","",INDEX(tblGetStaticData[Ticker],MATCH(tblCalculation[[#This Row],[ISIN]],tblGetStaticData[ISIN],0))))</f>
        <v>NGGLN</v>
      </c>
      <c r="I241" s="7" t="str">
        <f>IF(tblBOneExport[[#This Row],[INSTRUMENT_TYPE]]="Forward Contract","Forward Contract",tblBOneExport[LEVEL2])</f>
        <v>Corporates</v>
      </c>
      <c r="J241" s="7" t="str">
        <f>IF(tblBOneExport[[#This Row],[INSTRUMENT_TYPE]]="Forward Contract","Forward Contract",tblBOneExport[[#This Row],[LEVEL3]])</f>
        <v>Utilities</v>
      </c>
      <c r="K241" s="7" t="str">
        <f>INDEX(tblLvl2Mapping[],MATCH(tblCalculation[[#This Row],[B1Level2]]&amp;"_"&amp;tblCalculation[[#This Row],[B1Level3]],tblLvl2Mapping[B1Level2_B1Level3],0),2)</f>
        <v>Corporate</v>
      </c>
      <c r="L241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41" s="7">
        <f>INDEX(tblAttributable[],MATCH(tblCalculation[[#This Row],[Level3]],tblAttributable[Level3],0),2)</f>
        <v>1</v>
      </c>
      <c r="N241" s="16">
        <f>tblBOneExport[[#This Row],[PTF_WEIGHT]]</f>
        <v>2.8290962999999998E-3</v>
      </c>
      <c r="O241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5.7883898211098024E-2</v>
      </c>
      <c r="P241" s="48">
        <f>tblCalculation[[#This Row],[PtfDTS]]/SUM(tblCalculation[PtfDTS])</f>
        <v>7.0197124476712551E-3</v>
      </c>
      <c r="Q241" s="16">
        <f>tblBOneExport[[#This Row],[PTF_CONTRIBUTION]]</f>
        <v>7.1998700000000006E-5</v>
      </c>
      <c r="R241" s="16">
        <f>tblCalculation[[#This Row],[PtfContributionBase]]-tblCalculation[[#This Row],[PtfCurrencyReturn]]</f>
        <v>7.1998700000000006E-5</v>
      </c>
      <c r="S241" s="16">
        <f>IF(tblBOneExport[[#This Row],[LEVEL1]]="Bonds",tblBOneExport[[#This Row],[PTF_GOV_CARRY]],"")</f>
        <v>3.9731000000000001E-6</v>
      </c>
      <c r="T241" s="16">
        <f>tblCalculation[[#This Row],[FIAttributable]]*tblBOneExport[[#This Row],[PTF_CREDIT_CARRY]]</f>
        <v>2.6417999999999998E-6</v>
      </c>
      <c r="U241" s="16">
        <f>tblCalculation[[#This Row],[FIAttributable]]*tblBOneExport[[#This Row],[PTF_TOTAL_CURVE]]</f>
        <v>4.2360600000000002E-5</v>
      </c>
      <c r="V241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2.3818299999999999E-5</v>
      </c>
      <c r="W241" s="16">
        <f>IF(AND(tblCalculation[[#This Row],[Level3]]="Forward Contracts",tblBOneExport[[#This Row],[PTF_COST_OF_CARRY]]=0),tblBOneExport[[#This Row],[PTF_VALUATION]],0)</f>
        <v>0</v>
      </c>
      <c r="X241" s="16">
        <f>SUM(tblCalculation[[#This Row],[PtfTrading]:[PtfModelRes]])</f>
        <v>-7.9510000000000002E-7</v>
      </c>
      <c r="Y241" s="16">
        <f>tblCalculation[[#This Row],[FIAttributable]]*tblBOneExport[[#This Row],[PTF_TRADING]]</f>
        <v>0</v>
      </c>
      <c r="Z241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41" s="16">
        <f>tblCalculation[[#This Row],[FIAttributable]]*tblBOneExport[[#This Row],[PTF_MODEL_RESIDUAL]]-PTF_Credit_Adj*tblCalculation[[#This Row],[PtfDTSWeight]]</f>
        <v>-7.9510000000000002E-7</v>
      </c>
      <c r="AB241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41" s="16">
        <f>tblBOneExport[[#This Row],[BMK_WEIGHT]]</f>
        <v>0</v>
      </c>
      <c r="AD241" s="78">
        <f>tblCalculation[[#This Row],[FIAttributable]]*SUMIFS(tblDTS[DTSContribution_BM],tblDTS[ISIN],tblCalculation[[#This Row],[ISIN]])</f>
        <v>0</v>
      </c>
      <c r="AE241" s="16">
        <f>IF(SUM(tblCalculation[BMKDTS])=0,0,tblCalculation[[#This Row],[BMKDTS]]/SUM(tblCalculation[BMKDTS]))</f>
        <v>0</v>
      </c>
      <c r="AF241" s="16">
        <f>tblBOneExport[[#This Row],[BMK_CONTRIBUTION]]</f>
        <v>0</v>
      </c>
      <c r="AG241" s="16">
        <f>tblCalculation[[#This Row],[BMKContributionBase]]-tblBOneExport[BMK_SPOT_CCY_RETURN]-tblBOneExport[[#This Row],[BMK_CROSS_EFFECT]]</f>
        <v>0</v>
      </c>
      <c r="AH241" s="16">
        <f>tblCalculation[[#This Row],[FIAttributable]]*(tblBOneExport[[#This Row],[BMK_RETURN_GOV_CARRY]])</f>
        <v>0</v>
      </c>
      <c r="AI241" s="16">
        <f>tblCalculation[[#This Row],[FIAttributable]]*tblBOneExport[[#This Row],[BMK_CREDIT_CARRY]]</f>
        <v>0</v>
      </c>
      <c r="AJ241" s="16">
        <f>tblCalculation[[#This Row],[FIAttributable]]*tblBOneExport[[#This Row],[BMK_TOTAL_CURVE]]</f>
        <v>0</v>
      </c>
      <c r="AK241" s="16">
        <f>tblCalculation[[#This Row],[FIAttributable]]*(tblBOneExport[[#This Row],[BMK_TOTAL_SPREAD]]+BMK_Credit_Adj*tblCalculation[[#This Row],[BmkDTSWeight]])</f>
        <v>0</v>
      </c>
      <c r="AL241" s="16">
        <f>tblCalculation[[#This Row],[FIAttributable]]*tblBOneExport[[#This Row],[BMK_MODEL_RESIDUAL]]-BMK_Credit_Adj*tblCalculation[[#This Row],[BmkDTSWeight]]</f>
        <v>0</v>
      </c>
      <c r="AM241" s="16">
        <f>IF(tblCalculation[[#This Row],[Level3]]="Forward Contracts",tblCalculation[[#This Row],[BMKContributionLocal]],0)</f>
        <v>0</v>
      </c>
      <c r="AN241" s="16">
        <f>tblBOneExport[[#This Row],[BMK_SPOT_CCY_RETURN]]+tblBOneExport[[#This Row],[BMK_CROSS_EFFECT]]</f>
        <v>0</v>
      </c>
    </row>
    <row r="242" spans="5:40" x14ac:dyDescent="0.25">
      <c r="E242" s="7" t="str">
        <f>tblBOneExport[[#This Row],[INSTRUMENT_CODE]]</f>
        <v>BYX4LY7</v>
      </c>
      <c r="F242" s="7" t="str">
        <f>tblBOneExport[[#This Row],[INSTRUMENT]]</f>
        <v>BABCOCK INTL GRP 1.875 05/10/26 EMTN</v>
      </c>
      <c r="G242" s="7" t="str">
        <f>IF(tblBOneExport[[#This Row],[ISIN]]&lt;&gt;"", tblBOneExport[[#This Row],[ISIN]],"")</f>
        <v>XS1499603170</v>
      </c>
      <c r="H242" s="7" t="str">
        <f>IF(tblCalculation[[#This Row],[B1Level2]]="CDS",tblBOneExport[[#This Row],[B1_TICKER]],IF(tblCalculation[[#This Row],[ISIN]]="","",INDEX(tblGetStaticData[Ticker],MATCH(tblCalculation[[#This Row],[ISIN]],tblGetStaticData[ISIN],0))))</f>
        <v>BABLN</v>
      </c>
      <c r="I242" s="7" t="str">
        <f>IF(tblBOneExport[[#This Row],[INSTRUMENT_TYPE]]="Forward Contract","Forward Contract",tblBOneExport[LEVEL2])</f>
        <v>Corporates</v>
      </c>
      <c r="J242" s="7" t="str">
        <f>IF(tblBOneExport[[#This Row],[INSTRUMENT_TYPE]]="Forward Contract","Forward Contract",tblBOneExport[[#This Row],[LEVEL3]])</f>
        <v>Industrials</v>
      </c>
      <c r="K242" s="7" t="str">
        <f>INDEX(tblLvl2Mapping[],MATCH(tblCalculation[[#This Row],[B1Level2]]&amp;"_"&amp;tblCalculation[[#This Row],[B1Level3]],tblLvl2Mapping[B1Level2_B1Level3],0),2)</f>
        <v>Corporate</v>
      </c>
      <c r="L242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42" s="7">
        <f>INDEX(tblAttributable[],MATCH(tblCalculation[[#This Row],[Level3]],tblAttributable[Level3],0),2)</f>
        <v>1</v>
      </c>
      <c r="N242" s="16">
        <f>tblBOneExport[[#This Row],[PTF_WEIGHT]]</f>
        <v>6.2519908000000001E-3</v>
      </c>
      <c r="O242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5.1632750541611851E-2</v>
      </c>
      <c r="P242" s="48">
        <f>tblCalculation[[#This Row],[PtfDTS]]/SUM(tblCalculation[PtfDTS])</f>
        <v>6.2616215024537828E-3</v>
      </c>
      <c r="Q242" s="16">
        <f>tblBOneExport[[#This Row],[PTF_CONTRIBUTION]]</f>
        <v>1.016183E-4</v>
      </c>
      <c r="R242" s="16">
        <f>tblCalculation[[#This Row],[PtfContributionBase]]-tblCalculation[[#This Row],[PtfCurrencyReturn]]</f>
        <v>1.016183E-4</v>
      </c>
      <c r="S242" s="16">
        <f>IF(tblBOneExport[[#This Row],[LEVEL1]]="Bonds",tblBOneExport[[#This Row],[PTF_GOV_CARRY]],"")</f>
        <v>5.3278E-6</v>
      </c>
      <c r="T242" s="16">
        <f>tblCalculation[[#This Row],[FIAttributable]]*tblBOneExport[[#This Row],[PTF_CREDIT_CARRY]]</f>
        <v>5.9154000000000001E-6</v>
      </c>
      <c r="U242" s="16">
        <f>tblCalculation[[#This Row],[FIAttributable]]*tblBOneExport[[#This Row],[PTF_TOTAL_CURVE]]</f>
        <v>1.006885E-4</v>
      </c>
      <c r="V242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-1.04246E-5</v>
      </c>
      <c r="W242" s="16">
        <f>IF(AND(tblCalculation[[#This Row],[Level3]]="Forward Contracts",tblBOneExport[[#This Row],[PTF_COST_OF_CARRY]]=0),tblBOneExport[[#This Row],[PTF_VALUATION]],0)</f>
        <v>0</v>
      </c>
      <c r="X242" s="16">
        <f>SUM(tblCalculation[[#This Row],[PtfTrading]:[PtfModelRes]])</f>
        <v>1.112E-7</v>
      </c>
      <c r="Y242" s="16">
        <f>tblCalculation[[#This Row],[FIAttributable]]*tblBOneExport[[#This Row],[PTF_TRADING]]</f>
        <v>0</v>
      </c>
      <c r="Z242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42" s="16">
        <f>tblCalculation[[#This Row],[FIAttributable]]*tblBOneExport[[#This Row],[PTF_MODEL_RESIDUAL]]-PTF_Credit_Adj*tblCalculation[[#This Row],[PtfDTSWeight]]</f>
        <v>1.112E-7</v>
      </c>
      <c r="AB242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42" s="16">
        <f>tblBOneExport[[#This Row],[BMK_WEIGHT]]</f>
        <v>0</v>
      </c>
      <c r="AD242" s="78">
        <f>tblCalculation[[#This Row],[FIAttributable]]*SUMIFS(tblDTS[DTSContribution_BM],tblDTS[ISIN],tblCalculation[[#This Row],[ISIN]])</f>
        <v>0</v>
      </c>
      <c r="AE242" s="16">
        <f>IF(SUM(tblCalculation[BMKDTS])=0,0,tblCalculation[[#This Row],[BMKDTS]]/SUM(tblCalculation[BMKDTS]))</f>
        <v>0</v>
      </c>
      <c r="AF242" s="16">
        <f>tblBOneExport[[#This Row],[BMK_CONTRIBUTION]]</f>
        <v>0</v>
      </c>
      <c r="AG242" s="16">
        <f>tblCalculation[[#This Row],[BMKContributionBase]]-tblBOneExport[BMK_SPOT_CCY_RETURN]-tblBOneExport[[#This Row],[BMK_CROSS_EFFECT]]</f>
        <v>0</v>
      </c>
      <c r="AH242" s="16">
        <f>tblCalculation[[#This Row],[FIAttributable]]*(tblBOneExport[[#This Row],[BMK_RETURN_GOV_CARRY]])</f>
        <v>0</v>
      </c>
      <c r="AI242" s="16">
        <f>tblCalculation[[#This Row],[FIAttributable]]*tblBOneExport[[#This Row],[BMK_CREDIT_CARRY]]</f>
        <v>0</v>
      </c>
      <c r="AJ242" s="16">
        <f>tblCalculation[[#This Row],[FIAttributable]]*tblBOneExport[[#This Row],[BMK_TOTAL_CURVE]]</f>
        <v>0</v>
      </c>
      <c r="AK242" s="16">
        <f>tblCalculation[[#This Row],[FIAttributable]]*(tblBOneExport[[#This Row],[BMK_TOTAL_SPREAD]]+BMK_Credit_Adj*tblCalculation[[#This Row],[BmkDTSWeight]])</f>
        <v>0</v>
      </c>
      <c r="AL242" s="16">
        <f>tblCalculation[[#This Row],[FIAttributable]]*tblBOneExport[[#This Row],[BMK_MODEL_RESIDUAL]]-BMK_Credit_Adj*tblCalculation[[#This Row],[BmkDTSWeight]]</f>
        <v>0</v>
      </c>
      <c r="AM242" s="16">
        <f>IF(tblCalculation[[#This Row],[Level3]]="Forward Contracts",tblCalculation[[#This Row],[BMKContributionLocal]],0)</f>
        <v>0</v>
      </c>
      <c r="AN242" s="16">
        <f>tblBOneExport[[#This Row],[BMK_SPOT_CCY_RETURN]]+tblBOneExport[[#This Row],[BMK_CROSS_EFFECT]]</f>
        <v>0</v>
      </c>
    </row>
    <row r="243" spans="5:40" x14ac:dyDescent="0.25">
      <c r="E243" s="7" t="str">
        <f>tblBOneExport[[#This Row],[INSTRUMENT_CODE]]</f>
        <v>BYV25S5</v>
      </c>
      <c r="F243" s="7" t="str">
        <f>tblBOneExport[[#This Row],[INSTRUMENT]]</f>
        <v>THAMES WATER UTC 7.738 09/04/58 EMTN</v>
      </c>
      <c r="G243" s="7" t="str">
        <f>IF(tblBOneExport[[#This Row],[ISIN]]&lt;&gt;"", tblBOneExport[[#This Row],[ISIN]],"")</f>
        <v>XS1537083716</v>
      </c>
      <c r="H243" s="7" t="str">
        <f>IF(tblCalculation[[#This Row],[B1Level2]]="CDS",tblBOneExport[[#This Row],[B1_TICKER]],IF(tblCalculation[[#This Row],[ISIN]]="","",INDEX(tblGetStaticData[Ticker],MATCH(tblCalculation[[#This Row],[ISIN]],tblGetStaticData[ISIN],0))))</f>
        <v>THAMES</v>
      </c>
      <c r="I243" s="7" t="str">
        <f>IF(tblBOneExport[[#This Row],[INSTRUMENT_TYPE]]="Forward Contract","Forward Contract",tblBOneExport[LEVEL2])</f>
        <v>Corporates</v>
      </c>
      <c r="J243" s="7" t="str">
        <f>IF(tblBOneExport[[#This Row],[INSTRUMENT_TYPE]]="Forward Contract","Forward Contract",tblBOneExport[[#This Row],[LEVEL3]])</f>
        <v>Utilities</v>
      </c>
      <c r="K243" s="7" t="str">
        <f>INDEX(tblLvl2Mapping[],MATCH(tblCalculation[[#This Row],[B1Level2]]&amp;"_"&amp;tblCalculation[[#This Row],[B1Level3]],tblLvl2Mapping[B1Level2_B1Level3],0),2)</f>
        <v>Corporate</v>
      </c>
      <c r="L243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43" s="7">
        <f>INDEX(tblAttributable[],MATCH(tblCalculation[[#This Row],[Level3]],tblAttributable[Level3],0),2)</f>
        <v>1</v>
      </c>
      <c r="N243" s="16">
        <f>tblBOneExport[[#This Row],[PTF_WEIGHT]]</f>
        <v>3.4732646E-3</v>
      </c>
      <c r="O243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0.10207277492790344</v>
      </c>
      <c r="P243" s="48">
        <f>tblCalculation[[#This Row],[PtfDTS]]/SUM(tblCalculation[PtfDTS])</f>
        <v>1.2378598381827231E-2</v>
      </c>
      <c r="Q243" s="16">
        <f>tblBOneExport[[#This Row],[PTF_CONTRIBUTION]]</f>
        <v>1.000462E-4</v>
      </c>
      <c r="R243" s="16">
        <f>tblCalculation[[#This Row],[PtfContributionBase]]-tblCalculation[[#This Row],[PtfCurrencyReturn]]</f>
        <v>1.000462E-4</v>
      </c>
      <c r="S243" s="16">
        <f>IF(tblBOneExport[[#This Row],[LEVEL1]]="Bonds",tblBOneExport[[#This Row],[PTF_GOV_CARRY]],"")</f>
        <v>4.7090000000000001E-6</v>
      </c>
      <c r="T243" s="16">
        <f>tblCalculation[[#This Row],[FIAttributable]]*tblBOneExport[[#This Row],[PTF_CREDIT_CARRY]]</f>
        <v>3.8268000000000004E-6</v>
      </c>
      <c r="U243" s="16">
        <f>tblCalculation[[#This Row],[FIAttributable]]*tblBOneExport[[#This Row],[PTF_TOTAL_CURVE]]</f>
        <v>9.4791799999999996E-5</v>
      </c>
      <c r="V243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-3.4664E-6</v>
      </c>
      <c r="W243" s="16">
        <f>IF(AND(tblCalculation[[#This Row],[Level3]]="Forward Contracts",tblBOneExport[[#This Row],[PTF_COST_OF_CARRY]]=0),tblBOneExport[[#This Row],[PTF_VALUATION]],0)</f>
        <v>0</v>
      </c>
      <c r="X243" s="16">
        <f>SUM(tblCalculation[[#This Row],[PtfTrading]:[PtfModelRes]])</f>
        <v>1.85E-7</v>
      </c>
      <c r="Y243" s="16">
        <f>tblCalculation[[#This Row],[FIAttributable]]*tblBOneExport[[#This Row],[PTF_TRADING]]</f>
        <v>0</v>
      </c>
      <c r="Z243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43" s="16">
        <f>tblCalculation[[#This Row],[FIAttributable]]*tblBOneExport[[#This Row],[PTF_MODEL_RESIDUAL]]-PTF_Credit_Adj*tblCalculation[[#This Row],[PtfDTSWeight]]</f>
        <v>1.85E-7</v>
      </c>
      <c r="AB243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43" s="16">
        <f>tblBOneExport[[#This Row],[BMK_WEIGHT]]</f>
        <v>0</v>
      </c>
      <c r="AD243" s="78">
        <f>tblCalculation[[#This Row],[FIAttributable]]*SUMIFS(tblDTS[DTSContribution_BM],tblDTS[ISIN],tblCalculation[[#This Row],[ISIN]])</f>
        <v>0</v>
      </c>
      <c r="AE243" s="16">
        <f>IF(SUM(tblCalculation[BMKDTS])=0,0,tblCalculation[[#This Row],[BMKDTS]]/SUM(tblCalculation[BMKDTS]))</f>
        <v>0</v>
      </c>
      <c r="AF243" s="16">
        <f>tblBOneExport[[#This Row],[BMK_CONTRIBUTION]]</f>
        <v>0</v>
      </c>
      <c r="AG243" s="16">
        <f>tblCalculation[[#This Row],[BMKContributionBase]]-tblBOneExport[BMK_SPOT_CCY_RETURN]-tblBOneExport[[#This Row],[BMK_CROSS_EFFECT]]</f>
        <v>0</v>
      </c>
      <c r="AH243" s="16">
        <f>tblCalculation[[#This Row],[FIAttributable]]*(tblBOneExport[[#This Row],[BMK_RETURN_GOV_CARRY]])</f>
        <v>0</v>
      </c>
      <c r="AI243" s="16">
        <f>tblCalculation[[#This Row],[FIAttributable]]*tblBOneExport[[#This Row],[BMK_CREDIT_CARRY]]</f>
        <v>0</v>
      </c>
      <c r="AJ243" s="16">
        <f>tblCalculation[[#This Row],[FIAttributable]]*tblBOneExport[[#This Row],[BMK_TOTAL_CURVE]]</f>
        <v>0</v>
      </c>
      <c r="AK243" s="16">
        <f>tblCalculation[[#This Row],[FIAttributable]]*(tblBOneExport[[#This Row],[BMK_TOTAL_SPREAD]]+BMK_Credit_Adj*tblCalculation[[#This Row],[BmkDTSWeight]])</f>
        <v>0</v>
      </c>
      <c r="AL243" s="16">
        <f>tblCalculation[[#This Row],[FIAttributable]]*tblBOneExport[[#This Row],[BMK_MODEL_RESIDUAL]]-BMK_Credit_Adj*tblCalculation[[#This Row],[BmkDTSWeight]]</f>
        <v>0</v>
      </c>
      <c r="AM243" s="16">
        <f>IF(tblCalculation[[#This Row],[Level3]]="Forward Contracts",tblCalculation[[#This Row],[BMKContributionLocal]],0)</f>
        <v>0</v>
      </c>
      <c r="AN243" s="16">
        <f>tblBOneExport[[#This Row],[BMK_SPOT_CCY_RETURN]]+tblBOneExport[[#This Row],[BMK_CROSS_EFFECT]]</f>
        <v>0</v>
      </c>
    </row>
    <row r="244" spans="5:40" x14ac:dyDescent="0.25">
      <c r="E244" s="7" t="str">
        <f>tblBOneExport[[#This Row],[INSTRUMENT_CODE]]</f>
        <v>BD766G9</v>
      </c>
      <c r="F244" s="7" t="str">
        <f>tblBOneExport[[#This Row],[INSTRUMENT]]</f>
        <v>BASF SE 1.75 11/03/25 EMTN</v>
      </c>
      <c r="G244" s="7" t="str">
        <f>IF(tblBOneExport[[#This Row],[ISIN]]&lt;&gt;"", tblBOneExport[[#This Row],[ISIN]],"")</f>
        <v>XS1548422846</v>
      </c>
      <c r="H244" s="7" t="str">
        <f>IF(tblCalculation[[#This Row],[B1Level2]]="CDS",tblBOneExport[[#This Row],[B1_TICKER]],IF(tblCalculation[[#This Row],[ISIN]]="","",INDEX(tblGetStaticData[Ticker],MATCH(tblCalculation[[#This Row],[ISIN]],tblGetStaticData[ISIN],0))))</f>
        <v>BASGR</v>
      </c>
      <c r="I244" s="7" t="str">
        <f>IF(tblBOneExport[[#This Row],[INSTRUMENT_TYPE]]="Forward Contract","Forward Contract",tblBOneExport[LEVEL2])</f>
        <v>Corporates</v>
      </c>
      <c r="J244" s="7" t="str">
        <f>IF(tblBOneExport[[#This Row],[INSTRUMENT_TYPE]]="Forward Contract","Forward Contract",tblBOneExport[[#This Row],[LEVEL3]])</f>
        <v>Industrials</v>
      </c>
      <c r="K244" s="7" t="str">
        <f>INDEX(tblLvl2Mapping[],MATCH(tblCalculation[[#This Row],[B1Level2]]&amp;"_"&amp;tblCalculation[[#This Row],[B1Level3]],tblLvl2Mapping[B1Level2_B1Level3],0),2)</f>
        <v>Corporate</v>
      </c>
      <c r="L244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44" s="7">
        <f>INDEX(tblAttributable[],MATCH(tblCalculation[[#This Row],[Level3]],tblAttributable[Level3],0),2)</f>
        <v>1</v>
      </c>
      <c r="N244" s="16">
        <f>tblBOneExport[[#This Row],[PTF_WEIGHT]]</f>
        <v>1.7332044E-3</v>
      </c>
      <c r="O244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6.5216017310317119E-3</v>
      </c>
      <c r="P244" s="48">
        <f>tblCalculation[[#This Row],[PtfDTS]]/SUM(tblCalculation[PtfDTS])</f>
        <v>7.9088952653331144E-4</v>
      </c>
      <c r="Q244" s="16">
        <f>tblBOneExport[[#This Row],[PTF_CONTRIBUTION]]</f>
        <v>2.1769599999999999E-5</v>
      </c>
      <c r="R244" s="16">
        <f>tblCalculation[[#This Row],[PtfContributionBase]]-tblCalculation[[#This Row],[PtfCurrencyReturn]]</f>
        <v>2.1769599999999999E-5</v>
      </c>
      <c r="S244" s="16">
        <f>IF(tblBOneExport[[#This Row],[LEVEL1]]="Bonds",tblBOneExport[[#This Row],[PTF_GOV_CARRY]],"")</f>
        <v>1.1905000000000001E-6</v>
      </c>
      <c r="T244" s="16">
        <f>tblCalculation[[#This Row],[FIAttributable]]*tblBOneExport[[#This Row],[PTF_CREDIT_CARRY]]</f>
        <v>1.0810999999999999E-6</v>
      </c>
      <c r="U244" s="16">
        <f>tblCalculation[[#This Row],[FIAttributable]]*tblBOneExport[[#This Row],[PTF_TOTAL_CURVE]]</f>
        <v>2.31605E-5</v>
      </c>
      <c r="V244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-3.4771999999999999E-6</v>
      </c>
      <c r="W244" s="16">
        <f>IF(AND(tblCalculation[[#This Row],[Level3]]="Forward Contracts",tblBOneExport[[#This Row],[PTF_COST_OF_CARRY]]=0),tblBOneExport[[#This Row],[PTF_VALUATION]],0)</f>
        <v>0</v>
      </c>
      <c r="X244" s="16">
        <f>SUM(tblCalculation[[#This Row],[PtfTrading]:[PtfModelRes]])</f>
        <v>-1.853E-7</v>
      </c>
      <c r="Y244" s="16">
        <f>tblCalculation[[#This Row],[FIAttributable]]*tblBOneExport[[#This Row],[PTF_TRADING]]</f>
        <v>0</v>
      </c>
      <c r="Z244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44" s="16">
        <f>tblCalculation[[#This Row],[FIAttributable]]*tblBOneExport[[#This Row],[PTF_MODEL_RESIDUAL]]-PTF_Credit_Adj*tblCalculation[[#This Row],[PtfDTSWeight]]</f>
        <v>-1.853E-7</v>
      </c>
      <c r="AB244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44" s="16">
        <f>tblBOneExport[[#This Row],[BMK_WEIGHT]]</f>
        <v>0</v>
      </c>
      <c r="AD244" s="78">
        <f>tblCalculation[[#This Row],[FIAttributable]]*SUMIFS(tblDTS[DTSContribution_BM],tblDTS[ISIN],tblCalculation[[#This Row],[ISIN]])</f>
        <v>0</v>
      </c>
      <c r="AE244" s="16">
        <f>IF(SUM(tblCalculation[BMKDTS])=0,0,tblCalculation[[#This Row],[BMKDTS]]/SUM(tblCalculation[BMKDTS]))</f>
        <v>0</v>
      </c>
      <c r="AF244" s="16">
        <f>tblBOneExport[[#This Row],[BMK_CONTRIBUTION]]</f>
        <v>0</v>
      </c>
      <c r="AG244" s="16">
        <f>tblCalculation[[#This Row],[BMKContributionBase]]-tblBOneExport[BMK_SPOT_CCY_RETURN]-tblBOneExport[[#This Row],[BMK_CROSS_EFFECT]]</f>
        <v>0</v>
      </c>
      <c r="AH244" s="16">
        <f>tblCalculation[[#This Row],[FIAttributable]]*(tblBOneExport[[#This Row],[BMK_RETURN_GOV_CARRY]])</f>
        <v>0</v>
      </c>
      <c r="AI244" s="16">
        <f>tblCalculation[[#This Row],[FIAttributable]]*tblBOneExport[[#This Row],[BMK_CREDIT_CARRY]]</f>
        <v>0</v>
      </c>
      <c r="AJ244" s="16">
        <f>tblCalculation[[#This Row],[FIAttributable]]*tblBOneExport[[#This Row],[BMK_TOTAL_CURVE]]</f>
        <v>0</v>
      </c>
      <c r="AK244" s="16">
        <f>tblCalculation[[#This Row],[FIAttributable]]*(tblBOneExport[[#This Row],[BMK_TOTAL_SPREAD]]+BMK_Credit_Adj*tblCalculation[[#This Row],[BmkDTSWeight]])</f>
        <v>0</v>
      </c>
      <c r="AL244" s="16">
        <f>tblCalculation[[#This Row],[FIAttributable]]*tblBOneExport[[#This Row],[BMK_MODEL_RESIDUAL]]-BMK_Credit_Adj*tblCalculation[[#This Row],[BmkDTSWeight]]</f>
        <v>0</v>
      </c>
      <c r="AM244" s="16">
        <f>IF(tblCalculation[[#This Row],[Level3]]="Forward Contracts",tblCalculation[[#This Row],[BMKContributionLocal]],0)</f>
        <v>0</v>
      </c>
      <c r="AN244" s="16">
        <f>tblBOneExport[[#This Row],[BMK_SPOT_CCY_RETURN]]+tblBOneExport[[#This Row],[BMK_CROSS_EFFECT]]</f>
        <v>0</v>
      </c>
    </row>
    <row r="245" spans="5:40" x14ac:dyDescent="0.25">
      <c r="E245" s="7" t="str">
        <f>tblBOneExport[[#This Row],[INSTRUMENT_CODE]]</f>
        <v>BYMVCS0</v>
      </c>
      <c r="F245" s="7" t="str">
        <f>tblBOneExport[[#This Row],[INSTRUMENT]]</f>
        <v>UNILEVER PLC 1.125 03/02/22 EMTN</v>
      </c>
      <c r="G245" s="7" t="str">
        <f>IF(tblBOneExport[[#This Row],[ISIN]]&lt;&gt;"", tblBOneExport[[#This Row],[ISIN]],"")</f>
        <v>XS1560644830</v>
      </c>
      <c r="H245" s="7" t="str">
        <f>IF(tblCalculation[[#This Row],[B1Level2]]="CDS",tblBOneExport[[#This Row],[B1_TICKER]],IF(tblCalculation[[#This Row],[ISIN]]="","",INDEX(tblGetStaticData[Ticker],MATCH(tblCalculation[[#This Row],[ISIN]],tblGetStaticData[ISIN],0))))</f>
        <v>UNANA</v>
      </c>
      <c r="I245" s="7" t="str">
        <f>IF(tblBOneExport[[#This Row],[INSTRUMENT_TYPE]]="Forward Contract","Forward Contract",tblBOneExport[LEVEL2])</f>
        <v>Corporates</v>
      </c>
      <c r="J245" s="7" t="str">
        <f>IF(tblBOneExport[[#This Row],[INSTRUMENT_TYPE]]="Forward Contract","Forward Contract",tblBOneExport[[#This Row],[LEVEL3]])</f>
        <v>Industrials</v>
      </c>
      <c r="K245" s="7" t="str">
        <f>INDEX(tblLvl2Mapping[],MATCH(tblCalculation[[#This Row],[B1Level2]]&amp;"_"&amp;tblCalculation[[#This Row],[B1Level3]],tblLvl2Mapping[B1Level2_B1Level3],0),2)</f>
        <v>Corporate</v>
      </c>
      <c r="L245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45" s="7">
        <f>INDEX(tblAttributable[],MATCH(tblCalculation[[#This Row],[Level3]],tblAttributable[Level3],0),2)</f>
        <v>1</v>
      </c>
      <c r="N245" s="16">
        <f>tblBOneExport[[#This Row],[PTF_WEIGHT]]</f>
        <v>7.8097944999999998E-3</v>
      </c>
      <c r="O245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7.5000450263066395E-3</v>
      </c>
      <c r="P245" s="48">
        <f>tblCalculation[[#This Row],[PtfDTS]]/SUM(tblCalculation[PtfDTS])</f>
        <v>9.0954757810636565E-4</v>
      </c>
      <c r="Q245" s="16">
        <f>tblBOneExport[[#This Row],[PTF_CONTRIBUTION]]</f>
        <v>6.7714500000000004E-5</v>
      </c>
      <c r="R245" s="16">
        <f>tblCalculation[[#This Row],[PtfContributionBase]]-tblCalculation[[#This Row],[PtfCurrencyReturn]]</f>
        <v>6.7714500000000004E-5</v>
      </c>
      <c r="S245" s="16">
        <f>IF(tblBOneExport[[#This Row],[LEVEL1]]="Bonds",tblBOneExport[[#This Row],[PTF_GOV_CARRY]],"")</f>
        <v>2.6388E-6</v>
      </c>
      <c r="T245" s="16">
        <f>tblCalculation[[#This Row],[FIAttributable]]*tblBOneExport[[#This Row],[PTF_CREDIT_CARRY]]</f>
        <v>3.8534000000000002E-6</v>
      </c>
      <c r="U245" s="16">
        <f>tblCalculation[[#This Row],[FIAttributable]]*tblBOneExport[[#This Row],[PTF_TOTAL_CURVE]]</f>
        <v>5.2055100000000002E-5</v>
      </c>
      <c r="V245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3.3042000000000001E-6</v>
      </c>
      <c r="W245" s="16">
        <f>IF(AND(tblCalculation[[#This Row],[Level3]]="Forward Contracts",tblBOneExport[[#This Row],[PTF_COST_OF_CARRY]]=0),tblBOneExport[[#This Row],[PTF_VALUATION]],0)</f>
        <v>0</v>
      </c>
      <c r="X245" s="16">
        <f>SUM(tblCalculation[[#This Row],[PtfTrading]:[PtfModelRes]])</f>
        <v>5.8630999999999998E-6</v>
      </c>
      <c r="Y245" s="16">
        <f>tblCalculation[[#This Row],[FIAttributable]]*tblBOneExport[[#This Row],[PTF_TRADING]]</f>
        <v>0</v>
      </c>
      <c r="Z245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45" s="16">
        <f>tblCalculation[[#This Row],[FIAttributable]]*tblBOneExport[[#This Row],[PTF_MODEL_RESIDUAL]]-PTF_Credit_Adj*tblCalculation[[#This Row],[PtfDTSWeight]]</f>
        <v>5.8630999999999998E-6</v>
      </c>
      <c r="AB245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45" s="16">
        <f>tblBOneExport[[#This Row],[BMK_WEIGHT]]</f>
        <v>0</v>
      </c>
      <c r="AD245" s="78">
        <f>tblCalculation[[#This Row],[FIAttributable]]*SUMIFS(tblDTS[DTSContribution_BM],tblDTS[ISIN],tblCalculation[[#This Row],[ISIN]])</f>
        <v>0</v>
      </c>
      <c r="AE245" s="16">
        <f>IF(SUM(tblCalculation[BMKDTS])=0,0,tblCalculation[[#This Row],[BMKDTS]]/SUM(tblCalculation[BMKDTS]))</f>
        <v>0</v>
      </c>
      <c r="AF245" s="16">
        <f>tblBOneExport[[#This Row],[BMK_CONTRIBUTION]]</f>
        <v>0</v>
      </c>
      <c r="AG245" s="16">
        <f>tblCalculation[[#This Row],[BMKContributionBase]]-tblBOneExport[BMK_SPOT_CCY_RETURN]-tblBOneExport[[#This Row],[BMK_CROSS_EFFECT]]</f>
        <v>0</v>
      </c>
      <c r="AH245" s="16">
        <f>tblCalculation[[#This Row],[FIAttributable]]*(tblBOneExport[[#This Row],[BMK_RETURN_GOV_CARRY]])</f>
        <v>0</v>
      </c>
      <c r="AI245" s="16">
        <f>tblCalculation[[#This Row],[FIAttributable]]*tblBOneExport[[#This Row],[BMK_CREDIT_CARRY]]</f>
        <v>0</v>
      </c>
      <c r="AJ245" s="16">
        <f>tblCalculation[[#This Row],[FIAttributable]]*tblBOneExport[[#This Row],[BMK_TOTAL_CURVE]]</f>
        <v>0</v>
      </c>
      <c r="AK245" s="16">
        <f>tblCalculation[[#This Row],[FIAttributable]]*(tblBOneExport[[#This Row],[BMK_TOTAL_SPREAD]]+BMK_Credit_Adj*tblCalculation[[#This Row],[BmkDTSWeight]])</f>
        <v>0</v>
      </c>
      <c r="AL245" s="16">
        <f>tblCalculation[[#This Row],[FIAttributable]]*tblBOneExport[[#This Row],[BMK_MODEL_RESIDUAL]]-BMK_Credit_Adj*tblCalculation[[#This Row],[BmkDTSWeight]]</f>
        <v>0</v>
      </c>
      <c r="AM245" s="16">
        <f>IF(tblCalculation[[#This Row],[Level3]]="Forward Contracts",tblCalculation[[#This Row],[BMKContributionLocal]],0)</f>
        <v>0</v>
      </c>
      <c r="AN245" s="16">
        <f>tblBOneExport[[#This Row],[BMK_SPOT_CCY_RETURN]]+tblBOneExport[[#This Row],[BMK_CROSS_EFFECT]]</f>
        <v>0</v>
      </c>
    </row>
    <row r="246" spans="5:40" x14ac:dyDescent="0.25">
      <c r="E246" s="7" t="str">
        <f>tblBOneExport[[#This Row],[INSTRUMENT_CODE]]</f>
        <v>BYWC573</v>
      </c>
      <c r="F246" s="7" t="str">
        <f>tblBOneExport[[#This Row],[INSTRUMENT]]</f>
        <v>MCKESSON CORP 3.125 17/02/29</v>
      </c>
      <c r="G246" s="7" t="str">
        <f>IF(tblBOneExport[[#This Row],[ISIN]]&lt;&gt;"", tblBOneExport[[#This Row],[ISIN]],"")</f>
        <v>XS1567174526</v>
      </c>
      <c r="H246" s="7" t="str">
        <f>IF(tblCalculation[[#This Row],[B1Level2]]="CDS",tblBOneExport[[#This Row],[B1_TICKER]],IF(tblCalculation[[#This Row],[ISIN]]="","",INDEX(tblGetStaticData[Ticker],MATCH(tblCalculation[[#This Row],[ISIN]],tblGetStaticData[ISIN],0))))</f>
        <v>MCK</v>
      </c>
      <c r="I246" s="7" t="str">
        <f>IF(tblBOneExport[[#This Row],[INSTRUMENT_TYPE]]="Forward Contract","Forward Contract",tblBOneExport[LEVEL2])</f>
        <v>Corporates</v>
      </c>
      <c r="J246" s="7" t="str">
        <f>IF(tblBOneExport[[#This Row],[INSTRUMENT_TYPE]]="Forward Contract","Forward Contract",tblBOneExport[[#This Row],[LEVEL3]])</f>
        <v>Industrials</v>
      </c>
      <c r="K246" s="7" t="str">
        <f>INDEX(tblLvl2Mapping[],MATCH(tblCalculation[[#This Row],[B1Level2]]&amp;"_"&amp;tblCalculation[[#This Row],[B1Level3]],tblLvl2Mapping[B1Level2_B1Level3],0),2)</f>
        <v>Corporate</v>
      </c>
      <c r="L246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46" s="7">
        <f>INDEX(tblAttributable[],MATCH(tblCalculation[[#This Row],[Level3]],tblAttributable[Level3],0),2)</f>
        <v>1</v>
      </c>
      <c r="N246" s="16">
        <f>tblBOneExport[[#This Row],[PTF_WEIGHT]]</f>
        <v>4.0346124999999997E-3</v>
      </c>
      <c r="O246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5.6421630687717467E-2</v>
      </c>
      <c r="P246" s="48">
        <f>tblCalculation[[#This Row],[PtfDTS]]/SUM(tblCalculation[PtfDTS])</f>
        <v>6.8423799276971266E-3</v>
      </c>
      <c r="Q246" s="16">
        <f>tblBOneExport[[#This Row],[PTF_CONTRIBUTION]]</f>
        <v>7.4144800000000002E-5</v>
      </c>
      <c r="R246" s="16">
        <f>tblCalculation[[#This Row],[PtfContributionBase]]-tblCalculation[[#This Row],[PtfCurrencyReturn]]</f>
        <v>7.4144800000000002E-5</v>
      </c>
      <c r="S246" s="16">
        <f>IF(tblBOneExport[[#This Row],[LEVEL1]]="Bonds",tblBOneExport[[#This Row],[PTF_GOV_CARRY]],"")</f>
        <v>4.2680999999999998E-6</v>
      </c>
      <c r="T246" s="16">
        <f>tblCalculation[[#This Row],[FIAttributable]]*tblBOneExport[[#This Row],[PTF_CREDIT_CARRY]]</f>
        <v>4.9510999999999999E-6</v>
      </c>
      <c r="U246" s="16">
        <f>tblCalculation[[#This Row],[FIAttributable]]*tblBOneExport[[#This Row],[PTF_TOTAL_CURVE]]</f>
        <v>7.6352800000000005E-5</v>
      </c>
      <c r="V246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-1.0852900000000001E-5</v>
      </c>
      <c r="W246" s="16">
        <f>IF(AND(tblCalculation[[#This Row],[Level3]]="Forward Contracts",tblBOneExport[[#This Row],[PTF_COST_OF_CARRY]]=0),tblBOneExport[[#This Row],[PTF_VALUATION]],0)</f>
        <v>0</v>
      </c>
      <c r="X246" s="16">
        <f>SUM(tblCalculation[[#This Row],[PtfTrading]:[PtfModelRes]])</f>
        <v>-5.7429999999999995E-7</v>
      </c>
      <c r="Y246" s="16">
        <f>tblCalculation[[#This Row],[FIAttributable]]*tblBOneExport[[#This Row],[PTF_TRADING]]</f>
        <v>0</v>
      </c>
      <c r="Z246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46" s="16">
        <f>tblCalculation[[#This Row],[FIAttributable]]*tblBOneExport[[#This Row],[PTF_MODEL_RESIDUAL]]-PTF_Credit_Adj*tblCalculation[[#This Row],[PtfDTSWeight]]</f>
        <v>-5.7429999999999995E-7</v>
      </c>
      <c r="AB246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46" s="16">
        <f>tblBOneExport[[#This Row],[BMK_WEIGHT]]</f>
        <v>0</v>
      </c>
      <c r="AD246" s="78">
        <f>tblCalculation[[#This Row],[FIAttributable]]*SUMIFS(tblDTS[DTSContribution_BM],tblDTS[ISIN],tblCalculation[[#This Row],[ISIN]])</f>
        <v>0</v>
      </c>
      <c r="AE246" s="16">
        <f>IF(SUM(tblCalculation[BMKDTS])=0,0,tblCalculation[[#This Row],[BMKDTS]]/SUM(tblCalculation[BMKDTS]))</f>
        <v>0</v>
      </c>
      <c r="AF246" s="16">
        <f>tblBOneExport[[#This Row],[BMK_CONTRIBUTION]]</f>
        <v>0</v>
      </c>
      <c r="AG246" s="16">
        <f>tblCalculation[[#This Row],[BMKContributionBase]]-tblBOneExport[BMK_SPOT_CCY_RETURN]-tblBOneExport[[#This Row],[BMK_CROSS_EFFECT]]</f>
        <v>0</v>
      </c>
      <c r="AH246" s="16">
        <f>tblCalculation[[#This Row],[FIAttributable]]*(tblBOneExport[[#This Row],[BMK_RETURN_GOV_CARRY]])</f>
        <v>0</v>
      </c>
      <c r="AI246" s="16">
        <f>tblCalculation[[#This Row],[FIAttributable]]*tblBOneExport[[#This Row],[BMK_CREDIT_CARRY]]</f>
        <v>0</v>
      </c>
      <c r="AJ246" s="16">
        <f>tblCalculation[[#This Row],[FIAttributable]]*tblBOneExport[[#This Row],[BMK_TOTAL_CURVE]]</f>
        <v>0</v>
      </c>
      <c r="AK246" s="16">
        <f>tblCalculation[[#This Row],[FIAttributable]]*(tblBOneExport[[#This Row],[BMK_TOTAL_SPREAD]]+BMK_Credit_Adj*tblCalculation[[#This Row],[BmkDTSWeight]])</f>
        <v>0</v>
      </c>
      <c r="AL246" s="16">
        <f>tblCalculation[[#This Row],[FIAttributable]]*tblBOneExport[[#This Row],[BMK_MODEL_RESIDUAL]]-BMK_Credit_Adj*tblCalculation[[#This Row],[BmkDTSWeight]]</f>
        <v>0</v>
      </c>
      <c r="AM246" s="16">
        <f>IF(tblCalculation[[#This Row],[Level3]]="Forward Contracts",tblCalculation[[#This Row],[BMKContributionLocal]],0)</f>
        <v>0</v>
      </c>
      <c r="AN246" s="16">
        <f>tblBOneExport[[#This Row],[BMK_SPOT_CCY_RETURN]]+tblBOneExport[[#This Row],[BMK_CROSS_EFFECT]]</f>
        <v>0</v>
      </c>
    </row>
    <row r="247" spans="5:40" x14ac:dyDescent="0.25">
      <c r="E247" s="7" t="str">
        <f>tblBOneExport[[#This Row],[INSTRUMENT_CODE]]</f>
        <v>BD0YTZ0</v>
      </c>
      <c r="F247" s="7" t="str">
        <f>tblBOneExport[[#This Row],[INSTRUMENT]]</f>
        <v>VERIZON COMM INC 4.073 18/06/24</v>
      </c>
      <c r="G247" s="7" t="str">
        <f>IF(tblBOneExport[[#This Row],[ISIN]]&lt;&gt;"", tblBOneExport[[#This Row],[ISIN]],"")</f>
        <v>XS1579033819</v>
      </c>
      <c r="H247" s="7" t="str">
        <f>IF(tblCalculation[[#This Row],[B1Level2]]="CDS",tblBOneExport[[#This Row],[B1_TICKER]],IF(tblCalculation[[#This Row],[ISIN]]="","",INDEX(tblGetStaticData[Ticker],MATCH(tblCalculation[[#This Row],[ISIN]],tblGetStaticData[ISIN],0))))</f>
        <v>VZ</v>
      </c>
      <c r="I247" s="7" t="str">
        <f>IF(tblBOneExport[[#This Row],[INSTRUMENT_TYPE]]="Forward Contract","Forward Contract",tblBOneExport[LEVEL2])</f>
        <v>Corporates</v>
      </c>
      <c r="J247" s="7" t="str">
        <f>IF(tblBOneExport[[#This Row],[INSTRUMENT_TYPE]]="Forward Contract","Forward Contract",tblBOneExport[[#This Row],[LEVEL3]])</f>
        <v>Industrials</v>
      </c>
      <c r="K247" s="7" t="str">
        <f>INDEX(tblLvl2Mapping[],MATCH(tblCalculation[[#This Row],[B1Level2]]&amp;"_"&amp;tblCalculation[[#This Row],[B1Level3]],tblLvl2Mapping[B1Level2_B1Level3],0),2)</f>
        <v>Corporate</v>
      </c>
      <c r="L247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47" s="7">
        <f>INDEX(tblAttributable[],MATCH(tblCalculation[[#This Row],[Level3]],tblAttributable[Level3],0),2)</f>
        <v>1</v>
      </c>
      <c r="N247" s="16">
        <f>tblBOneExport[[#This Row],[PTF_WEIGHT]]</f>
        <v>6.4528729999999996E-3</v>
      </c>
      <c r="O247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4.1625375622563091E-2</v>
      </c>
      <c r="P247" s="48">
        <f>tblCalculation[[#This Row],[PtfDTS]]/SUM(tblCalculation[PtfDTS])</f>
        <v>5.0480043056373635E-3</v>
      </c>
      <c r="Q247" s="16">
        <f>tblBOneExport[[#This Row],[PTF_CONTRIBUTION]]</f>
        <v>6.6046599999999999E-5</v>
      </c>
      <c r="R247" s="16">
        <f>tblCalculation[[#This Row],[PtfContributionBase]]-tblCalculation[[#This Row],[PtfCurrencyReturn]]</f>
        <v>6.6046599999999999E-5</v>
      </c>
      <c r="S247" s="16">
        <f>IF(tblBOneExport[[#This Row],[LEVEL1]]="Bonds",tblBOneExport[[#This Row],[PTF_GOV_CARRY]],"")</f>
        <v>3.9384999999999996E-6</v>
      </c>
      <c r="T247" s="16">
        <f>tblCalculation[[#This Row],[FIAttributable]]*tblBOneExport[[#This Row],[PTF_CREDIT_CARRY]]</f>
        <v>7.0643999999999997E-6</v>
      </c>
      <c r="U247" s="16">
        <f>tblCalculation[[#This Row],[FIAttributable]]*tblBOneExport[[#This Row],[PTF_TOTAL_CURVE]]</f>
        <v>6.6660099999999996E-5</v>
      </c>
      <c r="V247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-8.8563000000000002E-6</v>
      </c>
      <c r="W247" s="16">
        <f>IF(AND(tblCalculation[[#This Row],[Level3]]="Forward Contracts",tblBOneExport[[#This Row],[PTF_COST_OF_CARRY]]=0),tblBOneExport[[#This Row],[PTF_VALUATION]],0)</f>
        <v>0</v>
      </c>
      <c r="X247" s="16">
        <f>SUM(tblCalculation[[#This Row],[PtfTrading]:[PtfModelRes]])</f>
        <v>-2.7599999999999998E-6</v>
      </c>
      <c r="Y247" s="16">
        <f>tblCalculation[[#This Row],[FIAttributable]]*tblBOneExport[[#This Row],[PTF_TRADING]]</f>
        <v>0</v>
      </c>
      <c r="Z247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47" s="16">
        <f>tblCalculation[[#This Row],[FIAttributable]]*tblBOneExport[[#This Row],[PTF_MODEL_RESIDUAL]]-PTF_Credit_Adj*tblCalculation[[#This Row],[PtfDTSWeight]]</f>
        <v>-2.7599999999999998E-6</v>
      </c>
      <c r="AB247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47" s="16">
        <f>tblBOneExport[[#This Row],[BMK_WEIGHT]]</f>
        <v>0</v>
      </c>
      <c r="AD247" s="78">
        <f>tblCalculation[[#This Row],[FIAttributable]]*SUMIFS(tblDTS[DTSContribution_BM],tblDTS[ISIN],tblCalculation[[#This Row],[ISIN]])</f>
        <v>0</v>
      </c>
      <c r="AE247" s="16">
        <f>IF(SUM(tblCalculation[BMKDTS])=0,0,tblCalculation[[#This Row],[BMKDTS]]/SUM(tblCalculation[BMKDTS]))</f>
        <v>0</v>
      </c>
      <c r="AF247" s="16">
        <f>tblBOneExport[[#This Row],[BMK_CONTRIBUTION]]</f>
        <v>0</v>
      </c>
      <c r="AG247" s="16">
        <f>tblCalculation[[#This Row],[BMKContributionBase]]-tblBOneExport[BMK_SPOT_CCY_RETURN]-tblBOneExport[[#This Row],[BMK_CROSS_EFFECT]]</f>
        <v>0</v>
      </c>
      <c r="AH247" s="16">
        <f>tblCalculation[[#This Row],[FIAttributable]]*(tblBOneExport[[#This Row],[BMK_RETURN_GOV_CARRY]])</f>
        <v>0</v>
      </c>
      <c r="AI247" s="16">
        <f>tblCalculation[[#This Row],[FIAttributable]]*tblBOneExport[[#This Row],[BMK_CREDIT_CARRY]]</f>
        <v>0</v>
      </c>
      <c r="AJ247" s="16">
        <f>tblCalculation[[#This Row],[FIAttributable]]*tblBOneExport[[#This Row],[BMK_TOTAL_CURVE]]</f>
        <v>0</v>
      </c>
      <c r="AK247" s="16">
        <f>tblCalculation[[#This Row],[FIAttributable]]*(tblBOneExport[[#This Row],[BMK_TOTAL_SPREAD]]+BMK_Credit_Adj*tblCalculation[[#This Row],[BmkDTSWeight]])</f>
        <v>0</v>
      </c>
      <c r="AL247" s="16">
        <f>tblCalculation[[#This Row],[FIAttributable]]*tblBOneExport[[#This Row],[BMK_MODEL_RESIDUAL]]-BMK_Credit_Adj*tblCalculation[[#This Row],[BmkDTSWeight]]</f>
        <v>0</v>
      </c>
      <c r="AM247" s="16">
        <f>IF(tblCalculation[[#This Row],[Level3]]="Forward Contracts",tblCalculation[[#This Row],[BMKContributionLocal]],0)</f>
        <v>0</v>
      </c>
      <c r="AN247" s="16">
        <f>tblBOneExport[[#This Row],[BMK_SPOT_CCY_RETURN]]+tblBOneExport[[#This Row],[BMK_CROSS_EFFECT]]</f>
        <v>0</v>
      </c>
    </row>
    <row r="248" spans="5:40" x14ac:dyDescent="0.25">
      <c r="E248" s="7" t="str">
        <f>tblBOneExport[[#This Row],[INSTRUMENT_CODE]]</f>
        <v>BD3J888</v>
      </c>
      <c r="F248" s="7" t="str">
        <f>tblBOneExport[[#This Row],[INSTRUMENT]]</f>
        <v>NEW YORK LIFE GL 1 15/12/21 GMTN</v>
      </c>
      <c r="G248" s="7" t="str">
        <f>IF(tblBOneExport[[#This Row],[ISIN]]&lt;&gt;"", tblBOneExport[[#This Row],[ISIN]],"")</f>
        <v>XS1599141600</v>
      </c>
      <c r="H248" s="7" t="str">
        <f>IF(tblCalculation[[#This Row],[B1Level2]]="CDS",tblBOneExport[[#This Row],[B1_TICKER]],IF(tblCalculation[[#This Row],[ISIN]]="","",INDEX(tblGetStaticData[Ticker],MATCH(tblCalculation[[#This Row],[ISIN]],tblGetStaticData[ISIN],0))))</f>
        <v>NYLIFE</v>
      </c>
      <c r="I248" s="7" t="str">
        <f>IF(tblBOneExport[[#This Row],[INSTRUMENT_TYPE]]="Forward Contract","Forward Contract",tblBOneExport[LEVEL2])</f>
        <v>Corporates</v>
      </c>
      <c r="J248" s="7" t="str">
        <f>IF(tblBOneExport[[#This Row],[INSTRUMENT_TYPE]]="Forward Contract","Forward Contract",tblBOneExport[[#This Row],[LEVEL3]])</f>
        <v>Financial Institutions</v>
      </c>
      <c r="K248" s="7" t="str">
        <f>INDEX(tblLvl2Mapping[],MATCH(tblCalculation[[#This Row],[B1Level2]]&amp;"_"&amp;tblCalculation[[#This Row],[B1Level3]],tblLvl2Mapping[B1Level2_B1Level3],0),2)</f>
        <v>Corporate</v>
      </c>
      <c r="L248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48" s="7">
        <f>INDEX(tblAttributable[],MATCH(tblCalculation[[#This Row],[Level3]],tblAttributable[Level3],0),2)</f>
        <v>1</v>
      </c>
      <c r="N248" s="16">
        <f>tblBOneExport[[#This Row],[PTF_WEIGHT]]</f>
        <v>4.6641898000000003E-3</v>
      </c>
      <c r="O248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3.9455001525601869E-3</v>
      </c>
      <c r="P248" s="48">
        <f>tblCalculation[[#This Row],[PtfDTS]]/SUM(tblCalculation[PtfDTS])</f>
        <v>4.7847980853344459E-4</v>
      </c>
      <c r="Q248" s="16">
        <f>tblBOneExport[[#This Row],[PTF_CONTRIBUTION]]</f>
        <v>2.7464700000000002E-5</v>
      </c>
      <c r="R248" s="16">
        <f>tblCalculation[[#This Row],[PtfContributionBase]]-tblCalculation[[#This Row],[PtfCurrencyReturn]]</f>
        <v>2.7464700000000002E-5</v>
      </c>
      <c r="S248" s="16">
        <f>IF(tblBOneExport[[#This Row],[LEVEL1]]="Bonds",tblBOneExport[[#This Row],[PTF_GOV_CARRY]],"")</f>
        <v>1.4742E-6</v>
      </c>
      <c r="T248" s="16">
        <f>tblCalculation[[#This Row],[FIAttributable]]*tblBOneExport[[#This Row],[PTF_CREDIT_CARRY]]</f>
        <v>2.0161999999999999E-6</v>
      </c>
      <c r="U248" s="16">
        <f>tblCalculation[[#This Row],[FIAttributable]]*tblBOneExport[[#This Row],[PTF_TOTAL_CURVE]]</f>
        <v>2.98267E-5</v>
      </c>
      <c r="V248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-5.1827000000000004E-6</v>
      </c>
      <c r="W248" s="16">
        <f>IF(AND(tblCalculation[[#This Row],[Level3]]="Forward Contracts",tblBOneExport[[#This Row],[PTF_COST_OF_CARRY]]=0),tblBOneExport[[#This Row],[PTF_VALUATION]],0)</f>
        <v>0</v>
      </c>
      <c r="X248" s="16">
        <f>SUM(tblCalculation[[#This Row],[PtfTrading]:[PtfModelRes]])</f>
        <v>-6.6960000000000001E-7</v>
      </c>
      <c r="Y248" s="16">
        <f>tblCalculation[[#This Row],[FIAttributable]]*tblBOneExport[[#This Row],[PTF_TRADING]]</f>
        <v>0</v>
      </c>
      <c r="Z248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48" s="16">
        <f>tblCalculation[[#This Row],[FIAttributable]]*tblBOneExport[[#This Row],[PTF_MODEL_RESIDUAL]]-PTF_Credit_Adj*tblCalculation[[#This Row],[PtfDTSWeight]]</f>
        <v>-6.6960000000000001E-7</v>
      </c>
      <c r="AB248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48" s="16">
        <f>tblBOneExport[[#This Row],[BMK_WEIGHT]]</f>
        <v>0</v>
      </c>
      <c r="AD248" s="78">
        <f>tblCalculation[[#This Row],[FIAttributable]]*SUMIFS(tblDTS[DTSContribution_BM],tblDTS[ISIN],tblCalculation[[#This Row],[ISIN]])</f>
        <v>0</v>
      </c>
      <c r="AE248" s="16">
        <f>IF(SUM(tblCalculation[BMKDTS])=0,0,tblCalculation[[#This Row],[BMKDTS]]/SUM(tblCalculation[BMKDTS]))</f>
        <v>0</v>
      </c>
      <c r="AF248" s="16">
        <f>tblBOneExport[[#This Row],[BMK_CONTRIBUTION]]</f>
        <v>0</v>
      </c>
      <c r="AG248" s="16">
        <f>tblCalculation[[#This Row],[BMKContributionBase]]-tblBOneExport[BMK_SPOT_CCY_RETURN]-tblBOneExport[[#This Row],[BMK_CROSS_EFFECT]]</f>
        <v>0</v>
      </c>
      <c r="AH248" s="16">
        <f>tblCalculation[[#This Row],[FIAttributable]]*(tblBOneExport[[#This Row],[BMK_RETURN_GOV_CARRY]])</f>
        <v>0</v>
      </c>
      <c r="AI248" s="16">
        <f>tblCalculation[[#This Row],[FIAttributable]]*tblBOneExport[[#This Row],[BMK_CREDIT_CARRY]]</f>
        <v>0</v>
      </c>
      <c r="AJ248" s="16">
        <f>tblCalculation[[#This Row],[FIAttributable]]*tblBOneExport[[#This Row],[BMK_TOTAL_CURVE]]</f>
        <v>0</v>
      </c>
      <c r="AK248" s="16">
        <f>tblCalculation[[#This Row],[FIAttributable]]*(tblBOneExport[[#This Row],[BMK_TOTAL_SPREAD]]+BMK_Credit_Adj*tblCalculation[[#This Row],[BmkDTSWeight]])</f>
        <v>0</v>
      </c>
      <c r="AL248" s="16">
        <f>tblCalculation[[#This Row],[FIAttributable]]*tblBOneExport[[#This Row],[BMK_MODEL_RESIDUAL]]-BMK_Credit_Adj*tblCalculation[[#This Row],[BmkDTSWeight]]</f>
        <v>0</v>
      </c>
      <c r="AM248" s="16">
        <f>IF(tblCalculation[[#This Row],[Level3]]="Forward Contracts",tblCalculation[[#This Row],[BMKContributionLocal]],0)</f>
        <v>0</v>
      </c>
      <c r="AN248" s="16">
        <f>tblBOneExport[[#This Row],[BMK_SPOT_CCY_RETURN]]+tblBOneExport[[#This Row],[BMK_CROSS_EFFECT]]</f>
        <v>0</v>
      </c>
    </row>
    <row r="249" spans="5:40" x14ac:dyDescent="0.25">
      <c r="E249" s="7" t="str">
        <f>tblBOneExport[[#This Row],[INSTRUMENT_CODE]]</f>
        <v>BYPFN19</v>
      </c>
      <c r="F249" s="7" t="str">
        <f>tblBOneExport[[#This Row],[INSTRUMENT]]</f>
        <v>PROCTER &amp; GAMBLE 1.8 03/05/29</v>
      </c>
      <c r="G249" s="7" t="str">
        <f>IF(tblBOneExport[[#This Row],[ISIN]]&lt;&gt;"", tblBOneExport[[#This Row],[ISIN]],"")</f>
        <v>XS1608101652</v>
      </c>
      <c r="H249" s="7" t="str">
        <f>IF(tblCalculation[[#This Row],[B1Level2]]="CDS",tblBOneExport[[#This Row],[B1_TICKER]],IF(tblCalculation[[#This Row],[ISIN]]="","",INDEX(tblGetStaticData[Ticker],MATCH(tblCalculation[[#This Row],[ISIN]],tblGetStaticData[ISIN],0))))</f>
        <v>PG</v>
      </c>
      <c r="I249" s="7" t="str">
        <f>IF(tblBOneExport[[#This Row],[INSTRUMENT_TYPE]]="Forward Contract","Forward Contract",tblBOneExport[LEVEL2])</f>
        <v>Corporates</v>
      </c>
      <c r="J249" s="7" t="str">
        <f>IF(tblBOneExport[[#This Row],[INSTRUMENT_TYPE]]="Forward Contract","Forward Contract",tblBOneExport[[#This Row],[LEVEL3]])</f>
        <v>Industrials</v>
      </c>
      <c r="K249" s="7" t="str">
        <f>INDEX(tblLvl2Mapping[],MATCH(tblCalculation[[#This Row],[B1Level2]]&amp;"_"&amp;tblCalculation[[#This Row],[B1Level3]],tblLvl2Mapping[B1Level2_B1Level3],0),2)</f>
        <v>Corporate</v>
      </c>
      <c r="L249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49" s="7">
        <f>INDEX(tblAttributable[],MATCH(tblCalculation[[#This Row],[Level3]],tblAttributable[Level3],0),2)</f>
        <v>1</v>
      </c>
      <c r="N249" s="16">
        <f>tblBOneExport[[#This Row],[PTF_WEIGHT]]</f>
        <v>4.4407094999999999E-3</v>
      </c>
      <c r="O249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2.6729347651534882E-2</v>
      </c>
      <c r="P249" s="48">
        <f>tblCalculation[[#This Row],[PtfDTS]]/SUM(tblCalculation[PtfDTS])</f>
        <v>3.2415289955650788E-3</v>
      </c>
      <c r="Q249" s="16">
        <f>tblBOneExport[[#This Row],[PTF_CONTRIBUTION]]</f>
        <v>9.5812300000000004E-5</v>
      </c>
      <c r="R249" s="16">
        <f>tblCalculation[[#This Row],[PtfContributionBase]]-tblCalculation[[#This Row],[PtfCurrencyReturn]]</f>
        <v>9.5812300000000004E-5</v>
      </c>
      <c r="S249" s="16">
        <f>IF(tblBOneExport[[#This Row],[LEVEL1]]="Bonds",tblBOneExport[[#This Row],[PTF_GOV_CARRY]],"")</f>
        <v>4.9589000000000001E-6</v>
      </c>
      <c r="T249" s="16">
        <f>tblCalculation[[#This Row],[FIAttributable]]*tblBOneExport[[#This Row],[PTF_CREDIT_CARRY]]</f>
        <v>1.9924000000000002E-6</v>
      </c>
      <c r="U249" s="16">
        <f>tblCalculation[[#This Row],[FIAttributable]]*tblBOneExport[[#This Row],[PTF_TOTAL_CURVE]]</f>
        <v>9.3138400000000003E-5</v>
      </c>
      <c r="V249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-4.7795999999999999E-6</v>
      </c>
      <c r="W249" s="16">
        <f>IF(AND(tblCalculation[[#This Row],[Level3]]="Forward Contracts",tblBOneExport[[#This Row],[PTF_COST_OF_CARRY]]=0),tblBOneExport[[#This Row],[PTF_VALUATION]],0)</f>
        <v>0</v>
      </c>
      <c r="X249" s="16">
        <f>SUM(tblCalculation[[#This Row],[PtfTrading]:[PtfModelRes]])</f>
        <v>5.0230000000000004E-7</v>
      </c>
      <c r="Y249" s="16">
        <f>tblCalculation[[#This Row],[FIAttributable]]*tblBOneExport[[#This Row],[PTF_TRADING]]</f>
        <v>0</v>
      </c>
      <c r="Z249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49" s="16">
        <f>tblCalculation[[#This Row],[FIAttributable]]*tblBOneExport[[#This Row],[PTF_MODEL_RESIDUAL]]-PTF_Credit_Adj*tblCalculation[[#This Row],[PtfDTSWeight]]</f>
        <v>5.0230000000000004E-7</v>
      </c>
      <c r="AB249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49" s="16">
        <f>tblBOneExport[[#This Row],[BMK_WEIGHT]]</f>
        <v>0</v>
      </c>
      <c r="AD249" s="78">
        <f>tblCalculation[[#This Row],[FIAttributable]]*SUMIFS(tblDTS[DTSContribution_BM],tblDTS[ISIN],tblCalculation[[#This Row],[ISIN]])</f>
        <v>0</v>
      </c>
      <c r="AE249" s="16">
        <f>IF(SUM(tblCalculation[BMKDTS])=0,0,tblCalculation[[#This Row],[BMKDTS]]/SUM(tblCalculation[BMKDTS]))</f>
        <v>0</v>
      </c>
      <c r="AF249" s="16">
        <f>tblBOneExport[[#This Row],[BMK_CONTRIBUTION]]</f>
        <v>0</v>
      </c>
      <c r="AG249" s="16">
        <f>tblCalculation[[#This Row],[BMKContributionBase]]-tblBOneExport[BMK_SPOT_CCY_RETURN]-tblBOneExport[[#This Row],[BMK_CROSS_EFFECT]]</f>
        <v>0</v>
      </c>
      <c r="AH249" s="16">
        <f>tblCalculation[[#This Row],[FIAttributable]]*(tblBOneExport[[#This Row],[BMK_RETURN_GOV_CARRY]])</f>
        <v>0</v>
      </c>
      <c r="AI249" s="16">
        <f>tblCalculation[[#This Row],[FIAttributable]]*tblBOneExport[[#This Row],[BMK_CREDIT_CARRY]]</f>
        <v>0</v>
      </c>
      <c r="AJ249" s="16">
        <f>tblCalculation[[#This Row],[FIAttributable]]*tblBOneExport[[#This Row],[BMK_TOTAL_CURVE]]</f>
        <v>0</v>
      </c>
      <c r="AK249" s="16">
        <f>tblCalculation[[#This Row],[FIAttributable]]*(tblBOneExport[[#This Row],[BMK_TOTAL_SPREAD]]+BMK_Credit_Adj*tblCalculation[[#This Row],[BmkDTSWeight]])</f>
        <v>0</v>
      </c>
      <c r="AL249" s="16">
        <f>tblCalculation[[#This Row],[FIAttributable]]*tblBOneExport[[#This Row],[BMK_MODEL_RESIDUAL]]-BMK_Credit_Adj*tblCalculation[[#This Row],[BmkDTSWeight]]</f>
        <v>0</v>
      </c>
      <c r="AM249" s="16">
        <f>IF(tblCalculation[[#This Row],[Level3]]="Forward Contracts",tblCalculation[[#This Row],[BMKContributionLocal]],0)</f>
        <v>0</v>
      </c>
      <c r="AN249" s="16">
        <f>tblBOneExport[[#This Row],[BMK_SPOT_CCY_RETURN]]+tblBOneExport[[#This Row],[BMK_CROSS_EFFECT]]</f>
        <v>0</v>
      </c>
    </row>
    <row r="250" spans="5:40" x14ac:dyDescent="0.25">
      <c r="E250" s="7" t="str">
        <f>tblBOneExport[[#This Row],[INSTRUMENT_CODE]]</f>
        <v>S02128879</v>
      </c>
      <c r="F250" s="7" t="str">
        <f>tblBOneExport[[#This Row],[INSTRUMENT]]</f>
        <v>AT&amp;T INC 3.55 14/09/37</v>
      </c>
      <c r="G250" s="7" t="str">
        <f>IF(tblBOneExport[[#This Row],[ISIN]]&lt;&gt;"", tblBOneExport[[#This Row],[ISIN]],"")</f>
        <v>XS1634248865</v>
      </c>
      <c r="H250" s="7" t="str">
        <f>IF(tblCalculation[[#This Row],[B1Level2]]="CDS",tblBOneExport[[#This Row],[B1_TICKER]],IF(tblCalculation[[#This Row],[ISIN]]="","",INDEX(tblGetStaticData[Ticker],MATCH(tblCalculation[[#This Row],[ISIN]],tblGetStaticData[ISIN],0))))</f>
        <v>T</v>
      </c>
      <c r="I250" s="7" t="str">
        <f>IF(tblBOneExport[[#This Row],[INSTRUMENT_TYPE]]="Forward Contract","Forward Contract",tblBOneExport[LEVEL2])</f>
        <v>Corporates</v>
      </c>
      <c r="J250" s="7" t="str">
        <f>IF(tblBOneExport[[#This Row],[INSTRUMENT_TYPE]]="Forward Contract","Forward Contract",tblBOneExport[[#This Row],[LEVEL3]])</f>
        <v>Industrials</v>
      </c>
      <c r="K250" s="7" t="str">
        <f>INDEX(tblLvl2Mapping[],MATCH(tblCalculation[[#This Row],[B1Level2]]&amp;"_"&amp;tblCalculation[[#This Row],[B1Level3]],tblLvl2Mapping[B1Level2_B1Level3],0),2)</f>
        <v>Corporate</v>
      </c>
      <c r="L250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50" s="7">
        <f>INDEX(tblAttributable[],MATCH(tblCalculation[[#This Row],[Level3]],tblAttributable[Level3],0),2)</f>
        <v>1</v>
      </c>
      <c r="N250" s="16">
        <f>tblBOneExport[[#This Row],[PTF_WEIGHT]]</f>
        <v>1.1965112E-3</v>
      </c>
      <c r="O250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3.6932545687806441E-2</v>
      </c>
      <c r="P250" s="48">
        <f>tblCalculation[[#This Row],[PtfDTS]]/SUM(tblCalculation[PtfDTS])</f>
        <v>4.4788941087450006E-3</v>
      </c>
      <c r="Q250" s="16">
        <f>tblBOneExport[[#This Row],[PTF_CONTRIBUTION]]</f>
        <v>1.7804000000000001E-5</v>
      </c>
      <c r="R250" s="16">
        <f>tblCalculation[[#This Row],[PtfContributionBase]]-tblCalculation[[#This Row],[PtfCurrencyReturn]]</f>
        <v>1.7804000000000001E-5</v>
      </c>
      <c r="S250" s="16">
        <f>IF(tblBOneExport[[#This Row],[LEVEL1]]="Bonds",tblBOneExport[[#This Row],[PTF_GOV_CARRY]],"")</f>
        <v>1.6436E-6</v>
      </c>
      <c r="T250" s="16">
        <f>tblCalculation[[#This Row],[FIAttributable]]*tblBOneExport[[#This Row],[PTF_CREDIT_CARRY]]</f>
        <v>2.0016999999999998E-6</v>
      </c>
      <c r="U250" s="16">
        <f>tblCalculation[[#This Row],[FIAttributable]]*tblBOneExport[[#This Row],[PTF_TOTAL_CURVE]]</f>
        <v>1.3331499999999999E-5</v>
      </c>
      <c r="V250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9.9290000000000006E-7</v>
      </c>
      <c r="W250" s="16">
        <f>IF(AND(tblCalculation[[#This Row],[Level3]]="Forward Contracts",tblBOneExport[[#This Row],[PTF_COST_OF_CARRY]]=0),tblBOneExport[[#This Row],[PTF_VALUATION]],0)</f>
        <v>0</v>
      </c>
      <c r="X250" s="16">
        <f>SUM(tblCalculation[[#This Row],[PtfTrading]:[PtfModelRes]])</f>
        <v>-1.6570000000000001E-7</v>
      </c>
      <c r="Y250" s="16">
        <f>tblCalculation[[#This Row],[FIAttributable]]*tblBOneExport[[#This Row],[PTF_TRADING]]</f>
        <v>0</v>
      </c>
      <c r="Z250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50" s="16">
        <f>tblCalculation[[#This Row],[FIAttributable]]*tblBOneExport[[#This Row],[PTF_MODEL_RESIDUAL]]-PTF_Credit_Adj*tblCalculation[[#This Row],[PtfDTSWeight]]</f>
        <v>-1.6570000000000001E-7</v>
      </c>
      <c r="AB250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50" s="16">
        <f>tblBOneExport[[#This Row],[BMK_WEIGHT]]</f>
        <v>0</v>
      </c>
      <c r="AD250" s="78">
        <f>tblCalculation[[#This Row],[FIAttributable]]*SUMIFS(tblDTS[DTSContribution_BM],tblDTS[ISIN],tblCalculation[[#This Row],[ISIN]])</f>
        <v>0</v>
      </c>
      <c r="AE250" s="16">
        <f>IF(SUM(tblCalculation[BMKDTS])=0,0,tblCalculation[[#This Row],[BMKDTS]]/SUM(tblCalculation[BMKDTS]))</f>
        <v>0</v>
      </c>
      <c r="AF250" s="16">
        <f>tblBOneExport[[#This Row],[BMK_CONTRIBUTION]]</f>
        <v>0</v>
      </c>
      <c r="AG250" s="16">
        <f>tblCalculation[[#This Row],[BMKContributionBase]]-tblBOneExport[BMK_SPOT_CCY_RETURN]-tblBOneExport[[#This Row],[BMK_CROSS_EFFECT]]</f>
        <v>0</v>
      </c>
      <c r="AH250" s="16">
        <f>tblCalculation[[#This Row],[FIAttributable]]*(tblBOneExport[[#This Row],[BMK_RETURN_GOV_CARRY]])</f>
        <v>0</v>
      </c>
      <c r="AI250" s="16">
        <f>tblCalculation[[#This Row],[FIAttributable]]*tblBOneExport[[#This Row],[BMK_CREDIT_CARRY]]</f>
        <v>0</v>
      </c>
      <c r="AJ250" s="16">
        <f>tblCalculation[[#This Row],[FIAttributable]]*tblBOneExport[[#This Row],[BMK_TOTAL_CURVE]]</f>
        <v>0</v>
      </c>
      <c r="AK250" s="16">
        <f>tblCalculation[[#This Row],[FIAttributable]]*(tblBOneExport[[#This Row],[BMK_TOTAL_SPREAD]]+BMK_Credit_Adj*tblCalculation[[#This Row],[BmkDTSWeight]])</f>
        <v>0</v>
      </c>
      <c r="AL250" s="16">
        <f>tblCalculation[[#This Row],[FIAttributable]]*tblBOneExport[[#This Row],[BMK_MODEL_RESIDUAL]]-BMK_Credit_Adj*tblCalculation[[#This Row],[BmkDTSWeight]]</f>
        <v>0</v>
      </c>
      <c r="AM250" s="16">
        <f>IF(tblCalculation[[#This Row],[Level3]]="Forward Contracts",tblCalculation[[#This Row],[BMKContributionLocal]],0)</f>
        <v>0</v>
      </c>
      <c r="AN250" s="16">
        <f>tblBOneExport[[#This Row],[BMK_SPOT_CCY_RETURN]]+tblBOneExport[[#This Row],[BMK_CROSS_EFFECT]]</f>
        <v>0</v>
      </c>
    </row>
    <row r="251" spans="5:40" x14ac:dyDescent="0.25">
      <c r="E251" s="7" t="str">
        <f>tblBOneExport[[#This Row],[INSTRUMENT_CODE]]</f>
        <v>BD5HD41</v>
      </c>
      <c r="F251" s="7" t="str">
        <f>tblBOneExport[[#This Row],[INSTRUMENT]]</f>
        <v>COMPASS GROUP 2 03/07/29 EMTN</v>
      </c>
      <c r="G251" s="7" t="str">
        <f>IF(tblBOneExport[[#This Row],[ISIN]]&lt;&gt;"", tblBOneExport[[#This Row],[ISIN]],"")</f>
        <v>XS1637093920</v>
      </c>
      <c r="H251" s="7" t="str">
        <f>IF(tblCalculation[[#This Row],[B1Level2]]="CDS",tblBOneExport[[#This Row],[B1_TICKER]],IF(tblCalculation[[#This Row],[ISIN]]="","",INDEX(tblGetStaticData[Ticker],MATCH(tblCalculation[[#This Row],[ISIN]],tblGetStaticData[ISIN],0))))</f>
        <v>CPGLN</v>
      </c>
      <c r="I251" s="7" t="str">
        <f>IF(tblBOneExport[[#This Row],[INSTRUMENT_TYPE]]="Forward Contract","Forward Contract",tblBOneExport[LEVEL2])</f>
        <v>Corporates</v>
      </c>
      <c r="J251" s="7" t="str">
        <f>IF(tblBOneExport[[#This Row],[INSTRUMENT_TYPE]]="Forward Contract","Forward Contract",tblBOneExport[[#This Row],[LEVEL3]])</f>
        <v>Industrials</v>
      </c>
      <c r="K251" s="7" t="str">
        <f>INDEX(tblLvl2Mapping[],MATCH(tblCalculation[[#This Row],[B1Level2]]&amp;"_"&amp;tblCalculation[[#This Row],[B1Level3]],tblLvl2Mapping[B1Level2_B1Level3],0),2)</f>
        <v>Corporate</v>
      </c>
      <c r="L251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51" s="7">
        <f>INDEX(tblAttributable[],MATCH(tblCalculation[[#This Row],[Level3]],tblAttributable[Level3],0),2)</f>
        <v>1</v>
      </c>
      <c r="N251" s="16">
        <f>tblBOneExport[[#This Row],[PTF_WEIGHT]]</f>
        <v>7.169931E-4</v>
      </c>
      <c r="O251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5.7880857575294108E-3</v>
      </c>
      <c r="P251" s="48">
        <f>tblCalculation[[#This Row],[PtfDTS]]/SUM(tblCalculation[PtfDTS])</f>
        <v>7.0193437028275029E-4</v>
      </c>
      <c r="Q251" s="16">
        <f>tblBOneExport[[#This Row],[PTF_CONTRIBUTION]]</f>
        <v>1.6431800000000001E-5</v>
      </c>
      <c r="R251" s="16">
        <f>tblCalculation[[#This Row],[PtfContributionBase]]-tblCalculation[[#This Row],[PtfCurrencyReturn]]</f>
        <v>1.6431800000000001E-5</v>
      </c>
      <c r="S251" s="16">
        <f>IF(tblBOneExport[[#This Row],[LEVEL1]]="Bonds",tblBOneExport[[#This Row],[PTF_GOV_CARRY]],"")</f>
        <v>7.9250000000000004E-7</v>
      </c>
      <c r="T251" s="16">
        <f>tblCalculation[[#This Row],[FIAttributable]]*tblBOneExport[[#This Row],[PTF_CREDIT_CARRY]]</f>
        <v>4.4729999999999999E-7</v>
      </c>
      <c r="U251" s="16">
        <f>tblCalculation[[#This Row],[FIAttributable]]*tblBOneExport[[#This Row],[PTF_TOTAL_CURVE]]</f>
        <v>1.5098399999999999E-5</v>
      </c>
      <c r="V251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-1.0841999999999999E-6</v>
      </c>
      <c r="W251" s="16">
        <f>IF(AND(tblCalculation[[#This Row],[Level3]]="Forward Contracts",tblBOneExport[[#This Row],[PTF_COST_OF_CARRY]]=0),tblBOneExport[[#This Row],[PTF_VALUATION]],0)</f>
        <v>0</v>
      </c>
      <c r="X251" s="16">
        <f>SUM(tblCalculation[[#This Row],[PtfTrading]:[PtfModelRes]])</f>
        <v>1.1778E-6</v>
      </c>
      <c r="Y251" s="16">
        <f>tblCalculation[[#This Row],[FIAttributable]]*tblBOneExport[[#This Row],[PTF_TRADING]]</f>
        <v>0</v>
      </c>
      <c r="Z251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51" s="16">
        <f>tblCalculation[[#This Row],[FIAttributable]]*tblBOneExport[[#This Row],[PTF_MODEL_RESIDUAL]]-PTF_Credit_Adj*tblCalculation[[#This Row],[PtfDTSWeight]]</f>
        <v>1.1778E-6</v>
      </c>
      <c r="AB251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51" s="16">
        <f>tblBOneExport[[#This Row],[BMK_WEIGHT]]</f>
        <v>0</v>
      </c>
      <c r="AD251" s="78">
        <f>tblCalculation[[#This Row],[FIAttributable]]*SUMIFS(tblDTS[DTSContribution_BM],tblDTS[ISIN],tblCalculation[[#This Row],[ISIN]])</f>
        <v>0</v>
      </c>
      <c r="AE251" s="16">
        <f>IF(SUM(tblCalculation[BMKDTS])=0,0,tblCalculation[[#This Row],[BMKDTS]]/SUM(tblCalculation[BMKDTS]))</f>
        <v>0</v>
      </c>
      <c r="AF251" s="16">
        <f>tblBOneExport[[#This Row],[BMK_CONTRIBUTION]]</f>
        <v>0</v>
      </c>
      <c r="AG251" s="16">
        <f>tblCalculation[[#This Row],[BMKContributionBase]]-tblBOneExport[BMK_SPOT_CCY_RETURN]-tblBOneExport[[#This Row],[BMK_CROSS_EFFECT]]</f>
        <v>0</v>
      </c>
      <c r="AH251" s="16">
        <f>tblCalculation[[#This Row],[FIAttributable]]*(tblBOneExport[[#This Row],[BMK_RETURN_GOV_CARRY]])</f>
        <v>0</v>
      </c>
      <c r="AI251" s="16">
        <f>tblCalculation[[#This Row],[FIAttributable]]*tblBOneExport[[#This Row],[BMK_CREDIT_CARRY]]</f>
        <v>0</v>
      </c>
      <c r="AJ251" s="16">
        <f>tblCalculation[[#This Row],[FIAttributable]]*tblBOneExport[[#This Row],[BMK_TOTAL_CURVE]]</f>
        <v>0</v>
      </c>
      <c r="AK251" s="16">
        <f>tblCalculation[[#This Row],[FIAttributable]]*(tblBOneExport[[#This Row],[BMK_TOTAL_SPREAD]]+BMK_Credit_Adj*tblCalculation[[#This Row],[BmkDTSWeight]])</f>
        <v>0</v>
      </c>
      <c r="AL251" s="16">
        <f>tblCalculation[[#This Row],[FIAttributable]]*tblBOneExport[[#This Row],[BMK_MODEL_RESIDUAL]]-BMK_Credit_Adj*tblCalculation[[#This Row],[BmkDTSWeight]]</f>
        <v>0</v>
      </c>
      <c r="AM251" s="16">
        <f>IF(tblCalculation[[#This Row],[Level3]]="Forward Contracts",tblCalculation[[#This Row],[BMKContributionLocal]],0)</f>
        <v>0</v>
      </c>
      <c r="AN251" s="16">
        <f>tblBOneExport[[#This Row],[BMK_SPOT_CCY_RETURN]]+tblBOneExport[[#This Row],[BMK_CROSS_EFFECT]]</f>
        <v>0</v>
      </c>
    </row>
    <row r="252" spans="5:40" x14ac:dyDescent="0.25">
      <c r="E252" s="7" t="str">
        <f>tblBOneExport[[#This Row],[INSTRUMENT_CODE]]</f>
        <v>BF2BL80</v>
      </c>
      <c r="F252" s="7" t="str">
        <f>tblBOneExport[[#This Row],[INSTRUMENT]]</f>
        <v>GO AHEAD GROUP 2.5 06/07/24</v>
      </c>
      <c r="G252" s="7" t="str">
        <f>IF(tblBOneExport[[#This Row],[ISIN]]&lt;&gt;"", tblBOneExport[[#This Row],[ISIN]],"")</f>
        <v>XS1642733932</v>
      </c>
      <c r="H252" s="7" t="str">
        <f>IF(tblCalculation[[#This Row],[B1Level2]]="CDS",tblBOneExport[[#This Row],[B1_TICKER]],IF(tblCalculation[[#This Row],[ISIN]]="","",INDEX(tblGetStaticData[Ticker],MATCH(tblCalculation[[#This Row],[ISIN]],tblGetStaticData[ISIN],0))))</f>
        <v>GOGLN</v>
      </c>
      <c r="I252" s="7" t="str">
        <f>IF(tblBOneExport[[#This Row],[INSTRUMENT_TYPE]]="Forward Contract","Forward Contract",tblBOneExport[LEVEL2])</f>
        <v>Corporates</v>
      </c>
      <c r="J252" s="7" t="str">
        <f>IF(tblBOneExport[[#This Row],[INSTRUMENT_TYPE]]="Forward Contract","Forward Contract",tblBOneExport[[#This Row],[LEVEL3]])</f>
        <v>Industrials</v>
      </c>
      <c r="K252" s="7" t="str">
        <f>INDEX(tblLvl2Mapping[],MATCH(tblCalculation[[#This Row],[B1Level2]]&amp;"_"&amp;tblCalculation[[#This Row],[B1Level3]],tblLvl2Mapping[B1Level2_B1Level3],0),2)</f>
        <v>Corporate</v>
      </c>
      <c r="L252" s="7" t="str">
        <f>IF(tblCalculation[[#This Row],[Level2]]="Sovereigns",IF(ISERROR(MATCH(tblCalculation[[#This Row],[Ticker]],tblRiskFreeTickers[RiskFreeTickers],0)),"Other Sovereign","Sovereigns"),tblCalculation[[#This Row],[Level2]])</f>
        <v>Corporate</v>
      </c>
      <c r="M252" s="7">
        <f>INDEX(tblAttributable[],MATCH(tblCalculation[[#This Row],[Level3]],tblAttributable[Level3],0),2)</f>
        <v>1</v>
      </c>
      <c r="N252" s="16">
        <f>tblBOneExport[[#This Row],[PTF_WEIGHT]]</f>
        <v>1.6048218E-3</v>
      </c>
      <c r="O252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1.4655920405967669E-2</v>
      </c>
      <c r="P252" s="48">
        <f>tblCalculation[[#This Row],[PtfDTS]]/SUM(tblCalculation[PtfDTS])</f>
        <v>1.7773569176466632E-3</v>
      </c>
      <c r="Q252" s="16">
        <f>tblBOneExport[[#This Row],[PTF_CONTRIBUTION]]</f>
        <v>1.7622299999999999E-5</v>
      </c>
      <c r="R252" s="16">
        <f>tblCalculation[[#This Row],[PtfContributionBase]]-tblCalculation[[#This Row],[PtfCurrencyReturn]]</f>
        <v>1.7622299999999999E-5</v>
      </c>
      <c r="S252" s="16">
        <f>IF(tblBOneExport[[#This Row],[LEVEL1]]="Bonds",tblBOneExport[[#This Row],[PTF_GOV_CARRY]],"")</f>
        <v>9.4320000000000003E-7</v>
      </c>
      <c r="T252" s="16">
        <f>tblCalculation[[#This Row],[FIAttributable]]*tblBOneExport[[#This Row],[PTF_CREDIT_CARRY]]</f>
        <v>2.3392E-6</v>
      </c>
      <c r="U252" s="16">
        <f>tblCalculation[[#This Row],[FIAttributable]]*tblBOneExport[[#This Row],[PTF_TOTAL_CURVE]]</f>
        <v>1.60033E-5</v>
      </c>
      <c r="V252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1.2504999999999999E-6</v>
      </c>
      <c r="W252" s="16">
        <f>IF(AND(tblCalculation[[#This Row],[Level3]]="Forward Contracts",tblBOneExport[[#This Row],[PTF_COST_OF_CARRY]]=0),tblBOneExport[[#This Row],[PTF_VALUATION]],0)</f>
        <v>0</v>
      </c>
      <c r="X252" s="16">
        <f>SUM(tblCalculation[[#This Row],[PtfTrading]:[PtfModelRes]])</f>
        <v>-2.9139000000000002E-6</v>
      </c>
      <c r="Y252" s="16">
        <f>tblCalculation[[#This Row],[FIAttributable]]*tblBOneExport[[#This Row],[PTF_TRADING]]</f>
        <v>0</v>
      </c>
      <c r="Z252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52" s="16">
        <f>tblCalculation[[#This Row],[FIAttributable]]*tblBOneExport[[#This Row],[PTF_MODEL_RESIDUAL]]-PTF_Credit_Adj*tblCalculation[[#This Row],[PtfDTSWeight]]</f>
        <v>-2.9139000000000002E-6</v>
      </c>
      <c r="AB252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52" s="16">
        <f>tblBOneExport[[#This Row],[BMK_WEIGHT]]</f>
        <v>0</v>
      </c>
      <c r="AD252" s="78">
        <f>tblCalculation[[#This Row],[FIAttributable]]*SUMIFS(tblDTS[DTSContribution_BM],tblDTS[ISIN],tblCalculation[[#This Row],[ISIN]])</f>
        <v>0</v>
      </c>
      <c r="AE252" s="16">
        <f>IF(SUM(tblCalculation[BMKDTS])=0,0,tblCalculation[[#This Row],[BMKDTS]]/SUM(tblCalculation[BMKDTS]))</f>
        <v>0</v>
      </c>
      <c r="AF252" s="16">
        <f>tblBOneExport[[#This Row],[BMK_CONTRIBUTION]]</f>
        <v>0</v>
      </c>
      <c r="AG252" s="16">
        <f>tblCalculation[[#This Row],[BMKContributionBase]]-tblBOneExport[BMK_SPOT_CCY_RETURN]-tblBOneExport[[#This Row],[BMK_CROSS_EFFECT]]</f>
        <v>0</v>
      </c>
      <c r="AH252" s="16">
        <f>tblCalculation[[#This Row],[FIAttributable]]*(tblBOneExport[[#This Row],[BMK_RETURN_GOV_CARRY]])</f>
        <v>0</v>
      </c>
      <c r="AI252" s="16">
        <f>tblCalculation[[#This Row],[FIAttributable]]*tblBOneExport[[#This Row],[BMK_CREDIT_CARRY]]</f>
        <v>0</v>
      </c>
      <c r="AJ252" s="16">
        <f>tblCalculation[[#This Row],[FIAttributable]]*tblBOneExport[[#This Row],[BMK_TOTAL_CURVE]]</f>
        <v>0</v>
      </c>
      <c r="AK252" s="16">
        <f>tblCalculation[[#This Row],[FIAttributable]]*(tblBOneExport[[#This Row],[BMK_TOTAL_SPREAD]]+BMK_Credit_Adj*tblCalculation[[#This Row],[BmkDTSWeight]])</f>
        <v>0</v>
      </c>
      <c r="AL252" s="16">
        <f>tblCalculation[[#This Row],[FIAttributable]]*tblBOneExport[[#This Row],[BMK_MODEL_RESIDUAL]]-BMK_Credit_Adj*tblCalculation[[#This Row],[BmkDTSWeight]]</f>
        <v>0</v>
      </c>
      <c r="AM252" s="16">
        <f>IF(tblCalculation[[#This Row],[Level3]]="Forward Contracts",tblCalculation[[#This Row],[BMKContributionLocal]],0)</f>
        <v>0</v>
      </c>
      <c r="AN252" s="16">
        <f>tblBOneExport[[#This Row],[BMK_SPOT_CCY_RETURN]]+tblBOneExport[[#This Row],[BMK_CROSS_EFFECT]]</f>
        <v>0</v>
      </c>
    </row>
    <row r="253" spans="5:40" x14ac:dyDescent="0.25">
      <c r="E253" s="7" t="str">
        <f>tblBOneExport[[#This Row],[INSTRUMENT_CODE]]</f>
        <v>CASH GBP</v>
      </c>
      <c r="F253" s="7" t="str">
        <f>tblBOneExport[[#This Row],[INSTRUMENT]]</f>
        <v>CASH GBP</v>
      </c>
      <c r="G253" s="7" t="str">
        <f>IF(tblBOneExport[[#This Row],[ISIN]]&lt;&gt;"", tblBOneExport[[#This Row],[ISIN]],"")</f>
        <v/>
      </c>
      <c r="H253" s="7" t="str">
        <f>IF(tblCalculation[[#This Row],[B1Level2]]="CDS",tblBOneExport[[#This Row],[B1_TICKER]],IF(tblCalculation[[#This Row],[ISIN]]="","",INDEX(tblGetStaticData[Ticker],MATCH(tblCalculation[[#This Row],[ISIN]],tblGetStaticData[ISIN],0))))</f>
        <v/>
      </c>
      <c r="I253" s="7" t="str">
        <f>IF(tblBOneExport[[#This Row],[INSTRUMENT_TYPE]]="Forward Contract","Forward Contract",tblBOneExport[LEVEL2])</f>
        <v>Cash Accounts</v>
      </c>
      <c r="J253" s="7" t="str">
        <f>IF(tblBOneExport[[#This Row],[INSTRUMENT_TYPE]]="Forward Contract","Forward Contract",tblBOneExport[[#This Row],[LEVEL3]])</f>
        <v>Cash Accounts</v>
      </c>
      <c r="K253" s="7" t="str">
        <f>INDEX(tblLvl2Mapping[],MATCH(tblCalculation[[#This Row],[B1Level2]]&amp;"_"&amp;tblCalculation[[#This Row],[B1Level3]],tblLvl2Mapping[B1Level2_B1Level3],0),2)</f>
        <v>Cash Accounts</v>
      </c>
      <c r="L253" s="7" t="str">
        <f>IF(tblCalculation[[#This Row],[Level2]]="Sovereigns",IF(ISERROR(MATCH(tblCalculation[[#This Row],[Ticker]],tblRiskFreeTickers[RiskFreeTickers],0)),"Other Sovereign","Sovereigns"),tblCalculation[[#This Row],[Level2]])</f>
        <v>Cash Accounts</v>
      </c>
      <c r="M253" s="7">
        <f>INDEX(tblAttributable[],MATCH(tblCalculation[[#This Row],[Level3]],tblAttributable[Level3],0),2)</f>
        <v>0</v>
      </c>
      <c r="N253" s="16">
        <f>tblBOneExport[[#This Row],[PTF_WEIGHT]]</f>
        <v>2.9971659599999999E-2</v>
      </c>
      <c r="O253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0</v>
      </c>
      <c r="P253" s="48">
        <f>tblCalculation[[#This Row],[PtfDTS]]/SUM(tblCalculation[PtfDTS])</f>
        <v>0</v>
      </c>
      <c r="Q253" s="16">
        <f>tblBOneExport[[#This Row],[PTF_CONTRIBUTION]]</f>
        <v>2.5389E-6</v>
      </c>
      <c r="R253" s="16">
        <f>tblCalculation[[#This Row],[PtfContributionBase]]-tblCalculation[[#This Row],[PtfCurrencyReturn]]</f>
        <v>2.5389E-6</v>
      </c>
      <c r="S253" s="16" t="str">
        <f>IF(tblBOneExport[[#This Row],[LEVEL1]]="Bonds",tblBOneExport[[#This Row],[PTF_GOV_CARRY]],"")</f>
        <v/>
      </c>
      <c r="T253" s="16">
        <f>tblCalculation[[#This Row],[FIAttributable]]*tblBOneExport[[#This Row],[PTF_CREDIT_CARRY]]</f>
        <v>0</v>
      </c>
      <c r="U253" s="16">
        <f>tblCalculation[[#This Row],[FIAttributable]]*tblBOneExport[[#This Row],[PTF_TOTAL_CURVE]]</f>
        <v>0</v>
      </c>
      <c r="V253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0</v>
      </c>
      <c r="W253" s="16">
        <f>IF(AND(tblCalculation[[#This Row],[Level3]]="Forward Contracts",tblBOneExport[[#This Row],[PTF_COST_OF_CARRY]]=0),tblBOneExport[[#This Row],[PTF_VALUATION]],0)</f>
        <v>0</v>
      </c>
      <c r="X253" s="16">
        <f>SUM(tblCalculation[[#This Row],[PtfTrading]:[PtfModelRes]])</f>
        <v>0</v>
      </c>
      <c r="Y253" s="16">
        <f>tblCalculation[[#This Row],[FIAttributable]]*tblBOneExport[[#This Row],[PTF_TRADING]]</f>
        <v>0</v>
      </c>
      <c r="Z253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53" s="16">
        <f>tblCalculation[[#This Row],[FIAttributable]]*tblBOneExport[[#This Row],[PTF_MODEL_RESIDUAL]]-PTF_Credit_Adj*tblCalculation[[#This Row],[PtfDTSWeight]]</f>
        <v>0</v>
      </c>
      <c r="AB253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53" s="16">
        <f>tblBOneExport[[#This Row],[BMK_WEIGHT]]</f>
        <v>0</v>
      </c>
      <c r="AD253" s="78">
        <f>tblCalculation[[#This Row],[FIAttributable]]*SUMIFS(tblDTS[DTSContribution_BM],tblDTS[ISIN],tblCalculation[[#This Row],[ISIN]])</f>
        <v>0</v>
      </c>
      <c r="AE253" s="16">
        <f>IF(SUM(tblCalculation[BMKDTS])=0,0,tblCalculation[[#This Row],[BMKDTS]]/SUM(tblCalculation[BMKDTS]))</f>
        <v>0</v>
      </c>
      <c r="AF253" s="16">
        <f>tblBOneExport[[#This Row],[BMK_CONTRIBUTION]]</f>
        <v>0</v>
      </c>
      <c r="AG253" s="16">
        <f>tblCalculation[[#This Row],[BMKContributionBase]]-tblBOneExport[BMK_SPOT_CCY_RETURN]-tblBOneExport[[#This Row],[BMK_CROSS_EFFECT]]</f>
        <v>0</v>
      </c>
      <c r="AH253" s="16">
        <f>tblCalculation[[#This Row],[FIAttributable]]*(tblBOneExport[[#This Row],[BMK_RETURN_GOV_CARRY]])</f>
        <v>0</v>
      </c>
      <c r="AI253" s="16">
        <f>tblCalculation[[#This Row],[FIAttributable]]*tblBOneExport[[#This Row],[BMK_CREDIT_CARRY]]</f>
        <v>0</v>
      </c>
      <c r="AJ253" s="16">
        <f>tblCalculation[[#This Row],[FIAttributable]]*tblBOneExport[[#This Row],[BMK_TOTAL_CURVE]]</f>
        <v>0</v>
      </c>
      <c r="AK253" s="16">
        <f>tblCalculation[[#This Row],[FIAttributable]]*(tblBOneExport[[#This Row],[BMK_TOTAL_SPREAD]]+BMK_Credit_Adj*tblCalculation[[#This Row],[BmkDTSWeight]])</f>
        <v>0</v>
      </c>
      <c r="AL253" s="16">
        <f>tblCalculation[[#This Row],[FIAttributable]]*tblBOneExport[[#This Row],[BMK_MODEL_RESIDUAL]]-BMK_Credit_Adj*tblCalculation[[#This Row],[BmkDTSWeight]]</f>
        <v>0</v>
      </c>
      <c r="AM253" s="16">
        <f>IF(tblCalculation[[#This Row],[Level3]]="Forward Contracts",tblCalculation[[#This Row],[BMKContributionLocal]],0)</f>
        <v>0</v>
      </c>
      <c r="AN253" s="16">
        <f>tblBOneExport[[#This Row],[BMK_SPOT_CCY_RETURN]]+tblBOneExport[[#This Row],[BMK_CROSS_EFFECT]]</f>
        <v>0</v>
      </c>
    </row>
    <row r="254" spans="5:40" x14ac:dyDescent="0.25">
      <c r="E254" s="7" t="str">
        <f>tblBOneExport[[#This Row],[INSTRUMENT_CODE]]</f>
        <v>XDAC GBP</v>
      </c>
      <c r="F254" s="7" t="str">
        <f>tblBOneExport[[#This Row],[INSTRUMENT]]</f>
        <v>XDAC GBP</v>
      </c>
      <c r="G254" s="7" t="str">
        <f>IF(tblBOneExport[[#This Row],[ISIN]]&lt;&gt;"", tblBOneExport[[#This Row],[ISIN]],"")</f>
        <v/>
      </c>
      <c r="H254" s="7" t="str">
        <f>IF(tblCalculation[[#This Row],[B1Level2]]="CDS",tblBOneExport[[#This Row],[B1_TICKER]],IF(tblCalculation[[#This Row],[ISIN]]="","",INDEX(tblGetStaticData[Ticker],MATCH(tblCalculation[[#This Row],[ISIN]],tblGetStaticData[ISIN],0))))</f>
        <v/>
      </c>
      <c r="I254" s="7" t="str">
        <f>IF(tblBOneExport[[#This Row],[INSTRUMENT_TYPE]]="Forward Contract","Forward Contract",tblBOneExport[LEVEL2])</f>
        <v>Entitlement Accruals</v>
      </c>
      <c r="J254" s="7" t="str">
        <f>IF(tblBOneExport[[#This Row],[INSTRUMENT_TYPE]]="Forward Contract","Forward Contract",tblBOneExport[[#This Row],[LEVEL3]])</f>
        <v>Entitlement Accruals</v>
      </c>
      <c r="K254" s="7" t="str">
        <f>INDEX(tblLvl2Mapping[],MATCH(tblCalculation[[#This Row],[B1Level2]]&amp;"_"&amp;tblCalculation[[#This Row],[B1Level3]],tblLvl2Mapping[B1Level2_B1Level3],0),2)</f>
        <v>Cash Accounts</v>
      </c>
      <c r="L254" s="7" t="str">
        <f>IF(tblCalculation[[#This Row],[Level2]]="Sovereigns",IF(ISERROR(MATCH(tblCalculation[[#This Row],[Ticker]],tblRiskFreeTickers[RiskFreeTickers],0)),"Other Sovereign","Sovereigns"),tblCalculation[[#This Row],[Level2]])</f>
        <v>Cash Accounts</v>
      </c>
      <c r="M254" s="7">
        <f>INDEX(tblAttributable[],MATCH(tblCalculation[[#This Row],[Level3]],tblAttributable[Level3],0),2)</f>
        <v>0</v>
      </c>
      <c r="N254" s="16">
        <f>tblBOneExport[[#This Row],[PTF_WEIGHT]]</f>
        <v>0</v>
      </c>
      <c r="O254" s="78">
        <f>IF(tblCalculation[[#This Row],[B1Level2]]="CDS",SUM(SUMIFS(tblDTS[DTSContribution],tblDTS[Ticker],tblCalculation[[#This Row],[Ticker]],tblDTS[AssetType],{"CDS","CDI"})),tblCalculation[[#This Row],[FIAttributable]]*SUMIFS(tblDTS[DTSContribution],tblDTS[ISIN],tblCalculation[[#This Row],[ISIN]]))</f>
        <v>0</v>
      </c>
      <c r="P254" s="48">
        <f>tblCalculation[[#This Row],[PtfDTS]]/SUM(tblCalculation[PtfDTS])</f>
        <v>0</v>
      </c>
      <c r="Q254" s="16">
        <f>tblBOneExport[[#This Row],[PTF_CONTRIBUTION]]</f>
        <v>0</v>
      </c>
      <c r="R254" s="16">
        <f>tblCalculation[[#This Row],[PtfContributionBase]]-tblCalculation[[#This Row],[PtfCurrencyReturn]]</f>
        <v>0</v>
      </c>
      <c r="S254" s="16" t="str">
        <f>IF(tblBOneExport[[#This Row],[LEVEL1]]="Bonds",tblBOneExport[[#This Row],[PTF_GOV_CARRY]],"")</f>
        <v/>
      </c>
      <c r="T254" s="16">
        <f>tblCalculation[[#This Row],[FIAttributable]]*tblBOneExport[[#This Row],[PTF_CREDIT_CARRY]]</f>
        <v>0</v>
      </c>
      <c r="U254" s="16">
        <f>tblCalculation[[#This Row],[FIAttributable]]*tblBOneExport[[#This Row],[PTF_TOTAL_CURVE]]</f>
        <v>0</v>
      </c>
      <c r="V254" s="16">
        <f>IF(tblCalculation[[#This Row],[B1Level2]]="CDS",tblCalculation[[#This Row],[PtfContributionLocal]],tblCalculation[[#This Row],[FIAttributable]]*(tblBOneExport[[#This Row],[PTF_TOTAL_SPREAD]])+PTF_Credit_Adj*tblCalculation[[#This Row],[PtfDTSWeight]])</f>
        <v>0</v>
      </c>
      <c r="W254" s="16">
        <f>IF(AND(tblCalculation[[#This Row],[Level3]]="Forward Contracts",tblBOneExport[[#This Row],[PTF_COST_OF_CARRY]]=0),tblBOneExport[[#This Row],[PTF_VALUATION]],0)</f>
        <v>0</v>
      </c>
      <c r="X254" s="16">
        <f>SUM(tblCalculation[[#This Row],[PtfTrading]:[PtfModelRes]])</f>
        <v>0</v>
      </c>
      <c r="Y254" s="16">
        <f>tblCalculation[[#This Row],[FIAttributable]]*tblBOneExport[[#This Row],[PTF_TRADING]]</f>
        <v>0</v>
      </c>
      <c r="Z254" s="16">
        <f>IF(AND(tblCalculation[[#This Row],[Level3]]="Forward Contracts",tblBOneExport[[#This Row],[PTF_COST_OF_CARRY]]&lt;&gt;0),tblBOneExport[[#This Row],[PTF_VALUATION]]+tblBOneExport[[#This Row],[PTF_COST_OF_CARRY]],tblCalculation[[#This Row],[FIAttributable]]*tblBOneExport[[#This Row],[PTF_VALUATION]])</f>
        <v>0</v>
      </c>
      <c r="AA254" s="16">
        <f>tblCalculation[[#This Row],[FIAttributable]]*tblBOneExport[[#This Row],[PTF_MODEL_RESIDUAL]]-PTF_Credit_Adj*tblCalculation[[#This Row],[PtfDTSWeight]]</f>
        <v>0</v>
      </c>
      <c r="AB254" s="16">
        <f>tblBOneExport[[#This Row],[PTF_SPOT_CURRENCY]]+tblBOneExport[[#This Row],[PTF_CROSS_EFFECT]]+IF(tblCalculation[[#This Row],[Level3]]="Cash Accounts",tblBOneExport[[#This Row],[PTF_LOCAL_CCY_TRADING]],0)+IF(tblCalculation[Level3]="Forward Contracts",tblBOneExport[[#This Row],[PTF_TRADING]],0)</f>
        <v>0</v>
      </c>
      <c r="AC254" s="16">
        <f>tblBOneExport[[#This Row],[BMK_WEIGHT]]</f>
        <v>0</v>
      </c>
      <c r="AD254" s="78">
        <f>tblCalculation[[#This Row],[FIAttributable]]*SUMIFS(tblDTS[DTSContribution_BM],tblDTS[ISIN],tblCalculation[[#This Row],[ISIN]])</f>
        <v>0</v>
      </c>
      <c r="AE254" s="16">
        <f>IF(SUM(tblCalculation[BMKDTS])=0,0,tblCalculation[[#This Row],[BMKDTS]]/SUM(tblCalculation[BMKDTS]))</f>
        <v>0</v>
      </c>
      <c r="AF254" s="16">
        <f>tblBOneExport[[#This Row],[BMK_CONTRIBUTION]]</f>
        <v>0</v>
      </c>
      <c r="AG254" s="16">
        <f>tblCalculation[[#This Row],[BMKContributionBase]]-tblBOneExport[BMK_SPOT_CCY_RETURN]-tblBOneExport[[#This Row],[BMK_CROSS_EFFECT]]</f>
        <v>0</v>
      </c>
      <c r="AH254" s="16">
        <f>tblCalculation[[#This Row],[FIAttributable]]*(tblBOneExport[[#This Row],[BMK_RETURN_GOV_CARRY]])</f>
        <v>0</v>
      </c>
      <c r="AI254" s="16">
        <f>tblCalculation[[#This Row],[FIAttributable]]*tblBOneExport[[#This Row],[BMK_CREDIT_CARRY]]</f>
        <v>0</v>
      </c>
      <c r="AJ254" s="16">
        <f>tblCalculation[[#This Row],[FIAttributable]]*tblBOneExport[[#This Row],[BMK_TOTAL_CURVE]]</f>
        <v>0</v>
      </c>
      <c r="AK254" s="16">
        <f>tblCalculation[[#This Row],[FIAttributable]]*(tblBOneExport[[#This Row],[BMK_TOTAL_SPREAD]]+BMK_Credit_Adj*tblCalculation[[#This Row],[BmkDTSWeight]])</f>
        <v>0</v>
      </c>
      <c r="AL254" s="16">
        <f>tblCalculation[[#This Row],[FIAttributable]]*tblBOneExport[[#This Row],[BMK_MODEL_RESIDUAL]]-BMK_Credit_Adj*tblCalculation[[#This Row],[BmkDTSWeight]]</f>
        <v>0</v>
      </c>
      <c r="AM254" s="16">
        <f>IF(tblCalculation[[#This Row],[Level3]]="Forward Contracts",tblCalculation[[#This Row],[BMKContributionLocal]],0)</f>
        <v>0</v>
      </c>
      <c r="AN254" s="16">
        <f>tblBOneExport[[#This Row],[BMK_SPOT_CCY_RETURN]]+tblBOneExport[[#This Row],[BMK_CROSS_EFFECT]]</f>
        <v>0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OneData">
    <tabColor theme="4" tint="-0.249977111117893"/>
  </sheetPr>
  <dimension ref="A1:BM254"/>
  <sheetViews>
    <sheetView topLeftCell="BC1" zoomScale="80" zoomScaleNormal="80" workbookViewId="0">
      <selection activeCell="E1" sqref="E1:BM1"/>
    </sheetView>
  </sheetViews>
  <sheetFormatPr defaultRowHeight="15" x14ac:dyDescent="0.25"/>
  <cols>
    <col min="1" max="1" width="12.140625" bestFit="1" customWidth="1"/>
    <col min="2" max="2" width="12" bestFit="1" customWidth="1"/>
    <col min="3" max="3" width="12.140625" bestFit="1" customWidth="1"/>
    <col min="4" max="4" width="11.5703125" customWidth="1"/>
    <col min="5" max="5" width="13.5703125" bestFit="1" customWidth="1"/>
    <col min="6" max="6" width="16" bestFit="1" customWidth="1"/>
    <col min="7" max="7" width="15.7109375" bestFit="1" customWidth="1"/>
    <col min="8" max="8" width="13.85546875" bestFit="1" customWidth="1"/>
    <col min="9" max="9" width="41.5703125" bestFit="1" customWidth="1"/>
    <col min="10" max="10" width="12.42578125" bestFit="1" customWidth="1"/>
    <col min="11" max="11" width="22.7109375" bestFit="1" customWidth="1"/>
    <col min="12" max="12" width="17.140625" bestFit="1" customWidth="1"/>
    <col min="13" max="13" width="22.5703125" customWidth="1"/>
    <col min="14" max="14" width="32.85546875" bestFit="1" customWidth="1"/>
    <col min="15" max="15" width="22" bestFit="1" customWidth="1"/>
    <col min="16" max="16" width="12.28515625" bestFit="1" customWidth="1"/>
    <col min="17" max="18" width="21.5703125" bestFit="1" customWidth="1"/>
    <col min="19" max="21" width="25.7109375" bestFit="1" customWidth="1"/>
    <col min="22" max="22" width="20.85546875" bestFit="1" customWidth="1"/>
    <col min="23" max="23" width="33.7109375" bestFit="1" customWidth="1"/>
    <col min="24" max="24" width="11.42578125" bestFit="1" customWidth="1"/>
    <col min="25" max="25" width="21.5703125" bestFit="1" customWidth="1"/>
    <col min="26" max="26" width="21.5703125" customWidth="1"/>
    <col min="27" max="27" width="23" bestFit="1" customWidth="1"/>
    <col min="28" max="28" width="23.42578125" bestFit="1" customWidth="1"/>
    <col min="29" max="29" width="20.28515625" bestFit="1" customWidth="1"/>
    <col min="30" max="30" width="15.85546875" bestFit="1" customWidth="1"/>
    <col min="31" max="31" width="22.42578125" bestFit="1" customWidth="1"/>
    <col min="32" max="32" width="22.7109375" bestFit="1" customWidth="1"/>
    <col min="33" max="33" width="17.140625" bestFit="1" customWidth="1"/>
    <col min="34" max="34" width="23.5703125" bestFit="1" customWidth="1"/>
    <col min="35" max="35" width="23.7109375" bestFit="1" customWidth="1"/>
    <col min="36" max="36" width="21.28515625" bestFit="1" customWidth="1"/>
    <col min="37" max="37" width="19.5703125" bestFit="1" customWidth="1"/>
    <col min="38" max="38" width="22.140625" bestFit="1" customWidth="1"/>
    <col min="39" max="39" width="21.5703125" bestFit="1" customWidth="1"/>
    <col min="40" max="40" width="30.140625" bestFit="1" customWidth="1"/>
    <col min="41" max="41" width="22.7109375" bestFit="1" customWidth="1"/>
    <col min="42" max="42" width="25.28515625" bestFit="1" customWidth="1"/>
    <col min="43" max="43" width="27.140625" bestFit="1" customWidth="1"/>
    <col min="44" max="44" width="24.140625" bestFit="1" customWidth="1"/>
    <col min="45" max="45" width="23.85546875" bestFit="1" customWidth="1"/>
    <col min="46" max="46" width="26" bestFit="1" customWidth="1"/>
    <col min="47" max="47" width="22.140625" bestFit="1" customWidth="1"/>
    <col min="48" max="48" width="19.140625" bestFit="1" customWidth="1"/>
    <col min="49" max="49" width="16.7109375" bestFit="1" customWidth="1"/>
    <col min="50" max="51" width="16.7109375" customWidth="1"/>
    <col min="52" max="52" width="22.42578125" bestFit="1" customWidth="1"/>
    <col min="53" max="53" width="29.5703125" bestFit="1" customWidth="1"/>
    <col min="54" max="54" width="23.140625" bestFit="1" customWidth="1"/>
    <col min="55" max="55" width="22.7109375" bestFit="1" customWidth="1"/>
    <col min="56" max="56" width="31.42578125" bestFit="1" customWidth="1"/>
    <col min="57" max="57" width="23.7109375" bestFit="1" customWidth="1"/>
    <col min="58" max="58" width="26.5703125" bestFit="1" customWidth="1"/>
    <col min="59" max="59" width="28.140625" bestFit="1" customWidth="1"/>
    <col min="60" max="60" width="27.42578125" bestFit="1" customWidth="1"/>
    <col min="61" max="61" width="27.140625" bestFit="1" customWidth="1"/>
    <col min="62" max="62" width="23.140625" bestFit="1" customWidth="1"/>
    <col min="63" max="63" width="17.28515625" bestFit="1" customWidth="1"/>
    <col min="64" max="64" width="18.42578125" bestFit="1" customWidth="1"/>
    <col min="65" max="65" width="28.7109375" bestFit="1" customWidth="1"/>
  </cols>
  <sheetData>
    <row r="1" spans="1:65" x14ac:dyDescent="0.25">
      <c r="A1" s="15" t="s">
        <v>174</v>
      </c>
      <c r="B1" s="40">
        <f>SUM(tblBOneExport[PTF_WEIGHT])</f>
        <v>1.0000000000999998</v>
      </c>
      <c r="C1" s="23" t="s">
        <v>175</v>
      </c>
      <c r="D1" s="40">
        <f>SUM(tblBOneExport[BMK_WEIGHT])</f>
        <v>0</v>
      </c>
      <c r="E1" t="s">
        <v>148</v>
      </c>
      <c r="F1" s="12" t="s">
        <v>209</v>
      </c>
      <c r="G1" t="s">
        <v>210</v>
      </c>
      <c r="H1" t="s">
        <v>2</v>
      </c>
      <c r="I1" t="s">
        <v>4</v>
      </c>
      <c r="J1" t="s">
        <v>195</v>
      </c>
      <c r="K1" s="18" t="s">
        <v>3</v>
      </c>
      <c r="L1" t="s">
        <v>5</v>
      </c>
      <c r="M1" t="s">
        <v>99</v>
      </c>
      <c r="N1" t="s">
        <v>7</v>
      </c>
      <c r="O1" t="s">
        <v>57</v>
      </c>
      <c r="P1" t="s">
        <v>8</v>
      </c>
      <c r="Q1" t="s">
        <v>9</v>
      </c>
      <c r="R1" t="s">
        <v>10</v>
      </c>
      <c r="S1" t="s">
        <v>11</v>
      </c>
      <c r="T1" t="s">
        <v>12</v>
      </c>
      <c r="U1" t="s">
        <v>13</v>
      </c>
      <c r="V1" t="s">
        <v>14</v>
      </c>
      <c r="W1" t="s">
        <v>15</v>
      </c>
      <c r="X1" t="s">
        <v>16</v>
      </c>
      <c r="Y1" t="s">
        <v>415</v>
      </c>
      <c r="Z1" t="s">
        <v>416</v>
      </c>
      <c r="AA1" t="s">
        <v>17</v>
      </c>
      <c r="AB1" t="s">
        <v>18</v>
      </c>
      <c r="AC1" t="s">
        <v>19</v>
      </c>
      <c r="AD1" t="s">
        <v>20</v>
      </c>
      <c r="AE1" t="s">
        <v>21</v>
      </c>
      <c r="AF1" t="s">
        <v>22</v>
      </c>
      <c r="AG1" t="s">
        <v>23</v>
      </c>
      <c r="AH1" t="s">
        <v>24</v>
      </c>
      <c r="AI1" t="s">
        <v>25</v>
      </c>
      <c r="AJ1" t="s">
        <v>26</v>
      </c>
      <c r="AK1" t="s">
        <v>27</v>
      </c>
      <c r="AL1" t="s">
        <v>28</v>
      </c>
      <c r="AM1" t="s">
        <v>29</v>
      </c>
      <c r="AN1" t="s">
        <v>30</v>
      </c>
      <c r="AO1" t="s">
        <v>31</v>
      </c>
      <c r="AP1" t="s">
        <v>32</v>
      </c>
      <c r="AQ1" t="s">
        <v>33</v>
      </c>
      <c r="AR1" t="s">
        <v>34</v>
      </c>
      <c r="AS1" t="s">
        <v>35</v>
      </c>
      <c r="AT1" t="s">
        <v>36</v>
      </c>
      <c r="AU1" t="s">
        <v>37</v>
      </c>
      <c r="AV1" t="s">
        <v>38</v>
      </c>
      <c r="AW1" t="s">
        <v>439</v>
      </c>
      <c r="AX1" t="s">
        <v>440</v>
      </c>
      <c r="AY1" t="s">
        <v>39</v>
      </c>
      <c r="AZ1" t="s">
        <v>40</v>
      </c>
      <c r="BA1" t="s">
        <v>41</v>
      </c>
      <c r="BB1" t="s">
        <v>42</v>
      </c>
      <c r="BC1" t="s">
        <v>43</v>
      </c>
      <c r="BD1" t="s">
        <v>44</v>
      </c>
      <c r="BE1" t="s">
        <v>45</v>
      </c>
      <c r="BF1" t="s">
        <v>46</v>
      </c>
      <c r="BG1" t="s">
        <v>47</v>
      </c>
      <c r="BH1" t="s">
        <v>48</v>
      </c>
      <c r="BI1" t="s">
        <v>49</v>
      </c>
      <c r="BJ1" t="s">
        <v>188</v>
      </c>
      <c r="BK1" t="s">
        <v>189</v>
      </c>
      <c r="BL1" t="s">
        <v>70</v>
      </c>
      <c r="BM1" t="s">
        <v>71</v>
      </c>
    </row>
    <row r="2" spans="1:65" x14ac:dyDescent="0.25">
      <c r="E2" s="7">
        <f>COUNTIFS(tblBOneExport[ISIN],tblBOneExport[[#This Row],[ISIN]],tblBOneExport[LEVEL1],"Bonds")</f>
        <v>1</v>
      </c>
      <c r="F2">
        <v>4547</v>
      </c>
      <c r="G2" s="155">
        <v>42947</v>
      </c>
      <c r="H2" s="155">
        <v>42978</v>
      </c>
      <c r="I2" t="s">
        <v>1274</v>
      </c>
      <c r="J2">
        <v>1649461</v>
      </c>
      <c r="K2" s="18" t="s">
        <v>1275</v>
      </c>
      <c r="L2" t="s">
        <v>539</v>
      </c>
      <c r="M2" t="s">
        <v>540</v>
      </c>
      <c r="N2" t="s">
        <v>492</v>
      </c>
      <c r="O2" t="s">
        <v>372</v>
      </c>
      <c r="P2" t="s">
        <v>1276</v>
      </c>
      <c r="Q2" t="s">
        <v>1277</v>
      </c>
      <c r="R2" t="s">
        <v>1278</v>
      </c>
      <c r="S2" t="s">
        <v>1279</v>
      </c>
      <c r="T2" t="s">
        <v>1280</v>
      </c>
      <c r="U2" t="s">
        <v>1280</v>
      </c>
      <c r="V2" t="s">
        <v>1281</v>
      </c>
      <c r="W2" t="s">
        <v>493</v>
      </c>
      <c r="X2" t="s">
        <v>1282</v>
      </c>
      <c r="Y2" s="147">
        <v>45503</v>
      </c>
      <c r="Z2" s="147">
        <v>45503</v>
      </c>
      <c r="AA2" t="s">
        <v>1283</v>
      </c>
      <c r="AB2" t="s">
        <v>1284</v>
      </c>
      <c r="AC2">
        <v>1.9442588E-3</v>
      </c>
      <c r="AD2" s="16">
        <v>9.1176532000000008E-3</v>
      </c>
      <c r="AE2" s="16">
        <v>1.7796500000000001E-5</v>
      </c>
      <c r="AF2" s="16">
        <v>0</v>
      </c>
      <c r="AG2" s="16">
        <v>0</v>
      </c>
      <c r="AH2" s="16">
        <v>0</v>
      </c>
      <c r="AI2" s="16">
        <v>2.8374999999999999E-6</v>
      </c>
      <c r="AJ2" s="16">
        <v>1.2127000000000001E-6</v>
      </c>
      <c r="AK2" s="16">
        <v>1.6248000000000001E-6</v>
      </c>
      <c r="AL2" s="16">
        <v>1.9222800000000002E-5</v>
      </c>
      <c r="AM2" s="16">
        <v>1.1112000000000001E-6</v>
      </c>
      <c r="AN2" s="16">
        <v>-4.0978E-6</v>
      </c>
      <c r="AO2" s="16">
        <v>-1.6610000000000001E-7</v>
      </c>
      <c r="AP2" s="16">
        <v>0</v>
      </c>
      <c r="AQ2" s="16">
        <v>0</v>
      </c>
      <c r="AR2" s="16">
        <v>0</v>
      </c>
      <c r="AS2" s="16">
        <v>0</v>
      </c>
      <c r="AT2" s="16">
        <v>0</v>
      </c>
      <c r="AU2" s="16">
        <v>0</v>
      </c>
      <c r="AV2" s="16">
        <v>0</v>
      </c>
      <c r="AW2" s="16">
        <v>0</v>
      </c>
      <c r="AX2" s="16">
        <v>0</v>
      </c>
      <c r="AY2" s="16">
        <v>0</v>
      </c>
      <c r="AZ2" s="16">
        <v>0</v>
      </c>
      <c r="BA2" s="16">
        <v>0</v>
      </c>
      <c r="BB2" s="16">
        <v>0</v>
      </c>
      <c r="BC2" s="16">
        <v>0</v>
      </c>
      <c r="BD2" s="16">
        <v>0</v>
      </c>
      <c r="BE2" s="16">
        <v>0</v>
      </c>
      <c r="BF2" s="16">
        <v>0</v>
      </c>
      <c r="BG2" s="16">
        <v>0</v>
      </c>
      <c r="BH2" s="16">
        <v>0</v>
      </c>
      <c r="BI2" s="16">
        <v>0</v>
      </c>
      <c r="BJ2" s="16">
        <v>1.9464900000000001E-5</v>
      </c>
      <c r="BK2" s="16"/>
      <c r="BL2" s="16">
        <v>1649461</v>
      </c>
      <c r="BM2" s="61" t="s">
        <v>1285</v>
      </c>
    </row>
    <row r="3" spans="1:65" x14ac:dyDescent="0.25">
      <c r="B3" s="57"/>
      <c r="C3" s="1"/>
      <c r="E3" s="7">
        <f>COUNTIFS(tblBOneExport[ISIN],tblBOneExport[[#This Row],[ISIN]],tblBOneExport[LEVEL1],"Bonds")</f>
        <v>1</v>
      </c>
      <c r="F3">
        <v>4547</v>
      </c>
      <c r="G3" s="155">
        <v>42947</v>
      </c>
      <c r="H3" s="155">
        <v>42978</v>
      </c>
      <c r="I3" t="s">
        <v>1286</v>
      </c>
      <c r="J3">
        <v>1954615</v>
      </c>
      <c r="K3" s="18" t="s">
        <v>1287</v>
      </c>
      <c r="L3" t="s">
        <v>542</v>
      </c>
      <c r="M3" t="s">
        <v>540</v>
      </c>
      <c r="N3" t="s">
        <v>492</v>
      </c>
      <c r="O3" t="s">
        <v>372</v>
      </c>
      <c r="P3" t="s">
        <v>1276</v>
      </c>
      <c r="Q3" t="s">
        <v>1277</v>
      </c>
      <c r="R3" t="s">
        <v>1278</v>
      </c>
      <c r="S3" t="s">
        <v>1279</v>
      </c>
      <c r="T3" t="s">
        <v>1280</v>
      </c>
      <c r="U3" t="s">
        <v>1280</v>
      </c>
      <c r="V3" t="s">
        <v>1288</v>
      </c>
      <c r="W3" t="s">
        <v>493</v>
      </c>
      <c r="X3" t="s">
        <v>1282</v>
      </c>
      <c r="Y3" s="154">
        <v>45924</v>
      </c>
      <c r="Z3" s="154">
        <v>45924</v>
      </c>
      <c r="AA3" t="s">
        <v>1283</v>
      </c>
      <c r="AB3" t="s">
        <v>1284</v>
      </c>
      <c r="AC3">
        <v>1.05292554E-2</v>
      </c>
      <c r="AD3" s="16">
        <v>1.2618425500000001E-2</v>
      </c>
      <c r="AE3" s="16">
        <v>1.331347E-4</v>
      </c>
      <c r="AF3" s="16">
        <v>0</v>
      </c>
      <c r="AG3" s="16">
        <v>0</v>
      </c>
      <c r="AH3" s="16">
        <v>0</v>
      </c>
      <c r="AI3" s="16">
        <v>1.6310599999999999E-5</v>
      </c>
      <c r="AJ3" s="16">
        <v>7.8002000000000003E-6</v>
      </c>
      <c r="AK3" s="16">
        <v>8.5103000000000005E-6</v>
      </c>
      <c r="AL3" s="16">
        <v>1.4434229999999999E-4</v>
      </c>
      <c r="AM3" s="16">
        <v>8.2814E-6</v>
      </c>
      <c r="AN3" s="16">
        <v>-2.41649E-5</v>
      </c>
      <c r="AO3" s="16">
        <v>-3.3531999999999999E-6</v>
      </c>
      <c r="AP3" s="16">
        <v>0</v>
      </c>
      <c r="AQ3" s="16">
        <v>0</v>
      </c>
      <c r="AR3" s="16">
        <v>0</v>
      </c>
      <c r="AS3" s="16">
        <v>0</v>
      </c>
      <c r="AT3" s="16">
        <v>0</v>
      </c>
      <c r="AU3" s="16">
        <v>0</v>
      </c>
      <c r="AV3" s="16">
        <v>0</v>
      </c>
      <c r="AW3" s="16">
        <v>0</v>
      </c>
      <c r="AX3" s="16">
        <v>0</v>
      </c>
      <c r="AY3" s="16">
        <v>0</v>
      </c>
      <c r="AZ3" s="16">
        <v>0</v>
      </c>
      <c r="BA3" s="16">
        <v>0</v>
      </c>
      <c r="BB3" s="16">
        <v>0</v>
      </c>
      <c r="BC3" s="16">
        <v>0</v>
      </c>
      <c r="BD3" s="16">
        <v>0</v>
      </c>
      <c r="BE3" s="16">
        <v>0</v>
      </c>
      <c r="BF3" s="16">
        <v>0</v>
      </c>
      <c r="BG3" s="16">
        <v>0</v>
      </c>
      <c r="BH3" s="16">
        <v>0</v>
      </c>
      <c r="BI3" s="16">
        <v>0</v>
      </c>
      <c r="BJ3" s="16">
        <v>1.0139140000000001E-4</v>
      </c>
      <c r="BK3" s="16"/>
      <c r="BL3" s="16">
        <v>1954615</v>
      </c>
      <c r="BM3" s="61" t="s">
        <v>1285</v>
      </c>
    </row>
    <row r="4" spans="1:65" x14ac:dyDescent="0.25">
      <c r="B4" s="1"/>
      <c r="C4" s="1"/>
      <c r="E4" s="7">
        <f>COUNTIFS(tblBOneExport[ISIN],tblBOneExport[[#This Row],[ISIN]],tblBOneExport[LEVEL1],"Bonds")</f>
        <v>1</v>
      </c>
      <c r="F4">
        <v>4547</v>
      </c>
      <c r="G4" s="155">
        <v>42947</v>
      </c>
      <c r="H4" s="155">
        <v>42978</v>
      </c>
      <c r="I4" t="s">
        <v>1289</v>
      </c>
      <c r="J4">
        <v>1733623</v>
      </c>
      <c r="K4" s="18" t="s">
        <v>1290</v>
      </c>
      <c r="L4" t="s">
        <v>1121</v>
      </c>
      <c r="M4" t="s">
        <v>1119</v>
      </c>
      <c r="N4" t="s">
        <v>492</v>
      </c>
      <c r="O4" t="s">
        <v>372</v>
      </c>
      <c r="P4" t="s">
        <v>1276</v>
      </c>
      <c r="Q4" t="s">
        <v>1277</v>
      </c>
      <c r="R4" t="s">
        <v>1278</v>
      </c>
      <c r="S4" t="s">
        <v>1291</v>
      </c>
      <c r="T4" t="s">
        <v>1292</v>
      </c>
      <c r="U4" t="s">
        <v>1292</v>
      </c>
      <c r="V4" t="s">
        <v>1293</v>
      </c>
      <c r="W4" t="s">
        <v>493</v>
      </c>
      <c r="X4" t="s">
        <v>1282</v>
      </c>
      <c r="Y4" s="154">
        <v>45910</v>
      </c>
      <c r="Z4" s="154">
        <v>45910</v>
      </c>
      <c r="AA4" t="s">
        <v>1294</v>
      </c>
      <c r="AB4" t="s">
        <v>1295</v>
      </c>
      <c r="AC4">
        <v>1.0386029499999999E-2</v>
      </c>
      <c r="AD4" s="16">
        <v>1.4095387500000001E-2</v>
      </c>
      <c r="AE4" s="16">
        <v>1.4648880000000001E-4</v>
      </c>
      <c r="AF4" s="16">
        <v>0</v>
      </c>
      <c r="AG4" s="16">
        <v>0</v>
      </c>
      <c r="AH4" s="16">
        <v>0</v>
      </c>
      <c r="AI4" s="16">
        <v>1.3041699999999999E-5</v>
      </c>
      <c r="AJ4" s="16">
        <v>7.6754999999999996E-6</v>
      </c>
      <c r="AK4" s="16">
        <v>5.3662000000000004E-6</v>
      </c>
      <c r="AL4" s="16">
        <v>1.4811760000000001E-4</v>
      </c>
      <c r="AM4" s="16">
        <v>8.5039E-6</v>
      </c>
      <c r="AN4" s="16">
        <v>-1.9242E-5</v>
      </c>
      <c r="AO4" s="16">
        <v>4.5715000000000002E-6</v>
      </c>
      <c r="AP4" s="16">
        <v>0</v>
      </c>
      <c r="AQ4" s="16">
        <v>0</v>
      </c>
      <c r="AR4" s="16">
        <v>0</v>
      </c>
      <c r="AS4" s="16">
        <v>0</v>
      </c>
      <c r="AT4" s="16">
        <v>0</v>
      </c>
      <c r="AU4" s="16">
        <v>0</v>
      </c>
      <c r="AV4" s="16">
        <v>0</v>
      </c>
      <c r="AW4" s="16">
        <v>0</v>
      </c>
      <c r="AX4" s="16">
        <v>0</v>
      </c>
      <c r="AY4" s="16">
        <v>0</v>
      </c>
      <c r="AZ4" s="16">
        <v>0</v>
      </c>
      <c r="BA4" s="16">
        <v>0</v>
      </c>
      <c r="BB4" s="16">
        <v>0</v>
      </c>
      <c r="BC4" s="16">
        <v>0</v>
      </c>
      <c r="BD4" s="16">
        <v>0</v>
      </c>
      <c r="BE4" s="16">
        <v>0</v>
      </c>
      <c r="BF4" s="16">
        <v>0</v>
      </c>
      <c r="BG4" s="16">
        <v>0</v>
      </c>
      <c r="BH4" s="16">
        <v>0</v>
      </c>
      <c r="BI4" s="16">
        <v>0</v>
      </c>
      <c r="BJ4" s="16">
        <v>6.4642999999999998E-5</v>
      </c>
      <c r="BK4" s="16"/>
      <c r="BL4" s="16">
        <v>1733623</v>
      </c>
      <c r="BM4" s="61" t="s">
        <v>1285</v>
      </c>
    </row>
    <row r="5" spans="1:65" x14ac:dyDescent="0.25">
      <c r="B5" s="1"/>
      <c r="C5" s="1"/>
      <c r="E5" s="7">
        <f>COUNTIFS(tblBOneExport[ISIN],tblBOneExport[[#This Row],[ISIN]],tblBOneExport[LEVEL1],"Bonds")</f>
        <v>1</v>
      </c>
      <c r="F5">
        <v>4547</v>
      </c>
      <c r="G5" s="155">
        <v>42947</v>
      </c>
      <c r="H5" s="155">
        <v>42978</v>
      </c>
      <c r="I5" t="s">
        <v>1296</v>
      </c>
      <c r="J5">
        <v>1733911</v>
      </c>
      <c r="K5" s="18" t="s">
        <v>1297</v>
      </c>
      <c r="L5" t="s">
        <v>1118</v>
      </c>
      <c r="M5" t="s">
        <v>1119</v>
      </c>
      <c r="N5" t="s">
        <v>492</v>
      </c>
      <c r="O5" t="s">
        <v>372</v>
      </c>
      <c r="P5" t="s">
        <v>1276</v>
      </c>
      <c r="Q5" t="s">
        <v>1277</v>
      </c>
      <c r="R5" t="s">
        <v>1278</v>
      </c>
      <c r="S5" t="s">
        <v>1291</v>
      </c>
      <c r="T5" t="s">
        <v>1292</v>
      </c>
      <c r="U5" t="s">
        <v>1292</v>
      </c>
      <c r="V5" t="s">
        <v>1293</v>
      </c>
      <c r="W5" t="s">
        <v>493</v>
      </c>
      <c r="X5" t="s">
        <v>1282</v>
      </c>
      <c r="Y5" s="154">
        <v>52119</v>
      </c>
      <c r="Z5" s="154">
        <v>52119</v>
      </c>
      <c r="AA5" t="s">
        <v>1294</v>
      </c>
      <c r="AB5" t="s">
        <v>1295</v>
      </c>
      <c r="AC5">
        <v>3.5413478000000001E-3</v>
      </c>
      <c r="AD5" s="16">
        <v>2.6709486500000001E-2</v>
      </c>
      <c r="AE5" s="16">
        <v>9.3913900000000002E-5</v>
      </c>
      <c r="AF5" s="16">
        <v>0</v>
      </c>
      <c r="AG5" s="16">
        <v>0</v>
      </c>
      <c r="AH5" s="16">
        <v>0</v>
      </c>
      <c r="AI5" s="16">
        <v>7.4112000000000003E-6</v>
      </c>
      <c r="AJ5" s="16">
        <v>5.2455E-6</v>
      </c>
      <c r="AK5" s="16">
        <v>2.1658000000000001E-6</v>
      </c>
      <c r="AL5" s="16">
        <v>9.7036399999999998E-5</v>
      </c>
      <c r="AM5" s="16">
        <v>-6.8299999999999996E-8</v>
      </c>
      <c r="AN5" s="16">
        <v>-1.2311699999999999E-5</v>
      </c>
      <c r="AO5" s="16">
        <v>1.778E-6</v>
      </c>
      <c r="AP5" s="16">
        <v>0</v>
      </c>
      <c r="AQ5" s="16">
        <v>0</v>
      </c>
      <c r="AR5" s="16">
        <v>0</v>
      </c>
      <c r="AS5" s="16">
        <v>0</v>
      </c>
      <c r="AT5" s="16">
        <v>0</v>
      </c>
      <c r="AU5" s="16">
        <v>0</v>
      </c>
      <c r="AV5" s="16">
        <v>0</v>
      </c>
      <c r="AW5" s="16">
        <v>0</v>
      </c>
      <c r="AX5" s="16">
        <v>0</v>
      </c>
      <c r="AY5" s="16">
        <v>0</v>
      </c>
      <c r="AZ5" s="16">
        <v>0</v>
      </c>
      <c r="BA5" s="16">
        <v>0</v>
      </c>
      <c r="BB5" s="16">
        <v>0</v>
      </c>
      <c r="BC5" s="16">
        <v>0</v>
      </c>
      <c r="BD5" s="16">
        <v>0</v>
      </c>
      <c r="BE5" s="16">
        <v>0</v>
      </c>
      <c r="BF5" s="16">
        <v>0</v>
      </c>
      <c r="BG5" s="16">
        <v>0</v>
      </c>
      <c r="BH5" s="16">
        <v>0</v>
      </c>
      <c r="BI5" s="16">
        <v>0</v>
      </c>
      <c r="BJ5" s="16">
        <v>2.5812800000000001E-5</v>
      </c>
      <c r="BK5" s="16"/>
      <c r="BL5" s="16">
        <v>1733911</v>
      </c>
      <c r="BM5" s="61" t="s">
        <v>1285</v>
      </c>
    </row>
    <row r="6" spans="1:65" x14ac:dyDescent="0.25">
      <c r="B6" s="1"/>
      <c r="C6" s="1"/>
      <c r="E6" s="7">
        <f>COUNTIFS(tblBOneExport[ISIN],tblBOneExport[[#This Row],[ISIN]],tblBOneExport[LEVEL1],"Bonds")</f>
        <v>1</v>
      </c>
      <c r="F6">
        <v>4547</v>
      </c>
      <c r="G6" s="155">
        <v>42947</v>
      </c>
      <c r="H6" s="155">
        <v>42978</v>
      </c>
      <c r="I6" t="s">
        <v>1298</v>
      </c>
      <c r="J6">
        <v>1848957</v>
      </c>
      <c r="K6" s="18" t="s">
        <v>1299</v>
      </c>
      <c r="L6" t="s">
        <v>513</v>
      </c>
      <c r="M6" t="s">
        <v>514</v>
      </c>
      <c r="N6" t="s">
        <v>492</v>
      </c>
      <c r="O6" t="s">
        <v>372</v>
      </c>
      <c r="P6" t="s">
        <v>1276</v>
      </c>
      <c r="Q6" t="s">
        <v>1277</v>
      </c>
      <c r="R6" t="s">
        <v>1300</v>
      </c>
      <c r="S6" t="s">
        <v>1301</v>
      </c>
      <c r="T6" t="s">
        <v>1302</v>
      </c>
      <c r="U6" t="s">
        <v>1302</v>
      </c>
      <c r="V6" t="s">
        <v>1303</v>
      </c>
      <c r="W6" t="s">
        <v>493</v>
      </c>
      <c r="X6" t="s">
        <v>1282</v>
      </c>
      <c r="Y6" s="154">
        <v>52303</v>
      </c>
      <c r="Z6" s="154">
        <v>52303</v>
      </c>
      <c r="AA6" t="s">
        <v>1294</v>
      </c>
      <c r="AB6" t="s">
        <v>1295</v>
      </c>
      <c r="AC6">
        <v>1.6119133000000001E-3</v>
      </c>
      <c r="AD6" s="16">
        <v>1.5657495899999999E-2</v>
      </c>
      <c r="AE6" s="16">
        <v>2.5242400000000001E-5</v>
      </c>
      <c r="AF6" s="16">
        <v>0</v>
      </c>
      <c r="AG6" s="16">
        <v>0</v>
      </c>
      <c r="AH6" s="16">
        <v>0</v>
      </c>
      <c r="AI6" s="16">
        <v>3.461E-6</v>
      </c>
      <c r="AJ6" s="16">
        <v>2.3848E-6</v>
      </c>
      <c r="AK6" s="16">
        <v>1.0762E-6</v>
      </c>
      <c r="AL6" s="16">
        <v>4.3885899999999999E-5</v>
      </c>
      <c r="AM6" s="16">
        <v>-3.0699999999999997E-8</v>
      </c>
      <c r="AN6" s="16">
        <v>-1.1027500000000001E-5</v>
      </c>
      <c r="AO6" s="16">
        <v>-1.1077000000000001E-5</v>
      </c>
      <c r="AP6" s="16">
        <v>0</v>
      </c>
      <c r="AQ6" s="16">
        <v>0</v>
      </c>
      <c r="AR6" s="16">
        <v>0</v>
      </c>
      <c r="AS6" s="16">
        <v>0</v>
      </c>
      <c r="AT6" s="16">
        <v>0</v>
      </c>
      <c r="AU6" s="16">
        <v>0</v>
      </c>
      <c r="AV6" s="16">
        <v>0</v>
      </c>
      <c r="AW6" s="16">
        <v>0</v>
      </c>
      <c r="AX6" s="16">
        <v>0</v>
      </c>
      <c r="AY6" s="16">
        <v>0</v>
      </c>
      <c r="AZ6" s="16">
        <v>0</v>
      </c>
      <c r="BA6" s="16">
        <v>0</v>
      </c>
      <c r="BB6" s="16">
        <v>0</v>
      </c>
      <c r="BC6" s="16">
        <v>0</v>
      </c>
      <c r="BD6" s="16">
        <v>0</v>
      </c>
      <c r="BE6" s="16">
        <v>0</v>
      </c>
      <c r="BF6" s="16">
        <v>0</v>
      </c>
      <c r="BG6" s="16">
        <v>0</v>
      </c>
      <c r="BH6" s="16">
        <v>0</v>
      </c>
      <c r="BI6" s="16">
        <v>0</v>
      </c>
      <c r="BJ6" s="16">
        <v>1.3141399999999999E-5</v>
      </c>
      <c r="BK6" s="16"/>
      <c r="BL6" s="16">
        <v>1848957</v>
      </c>
      <c r="BM6" s="61" t="s">
        <v>1285</v>
      </c>
    </row>
    <row r="7" spans="1:65" x14ac:dyDescent="0.25">
      <c r="B7" s="1"/>
      <c r="C7" s="1"/>
      <c r="E7" s="7">
        <f>COUNTIFS(tblBOneExport[ISIN],tblBOneExport[[#This Row],[ISIN]],tblBOneExport[LEVEL1],"Bonds")</f>
        <v>1</v>
      </c>
      <c r="F7">
        <v>4547</v>
      </c>
      <c r="G7" s="155">
        <v>42947</v>
      </c>
      <c r="H7" s="155">
        <v>42978</v>
      </c>
      <c r="I7" t="s">
        <v>1304</v>
      </c>
      <c r="J7">
        <v>2223831</v>
      </c>
      <c r="K7" s="18" t="s">
        <v>1305</v>
      </c>
      <c r="L7" t="s">
        <v>599</v>
      </c>
      <c r="M7" t="s">
        <v>595</v>
      </c>
      <c r="N7" t="s">
        <v>492</v>
      </c>
      <c r="O7" t="s">
        <v>372</v>
      </c>
      <c r="P7" t="s">
        <v>1276</v>
      </c>
      <c r="Q7" t="s">
        <v>1277</v>
      </c>
      <c r="R7" t="s">
        <v>1278</v>
      </c>
      <c r="S7" t="s">
        <v>1306</v>
      </c>
      <c r="T7" t="s">
        <v>1307</v>
      </c>
      <c r="U7" t="s">
        <v>1307</v>
      </c>
      <c r="V7" t="s">
        <v>1293</v>
      </c>
      <c r="W7" t="s">
        <v>493</v>
      </c>
      <c r="X7" t="s">
        <v>1282</v>
      </c>
      <c r="Y7" s="154">
        <v>43789</v>
      </c>
      <c r="Z7" s="154">
        <v>43789</v>
      </c>
      <c r="AA7" t="s">
        <v>1308</v>
      </c>
      <c r="AB7" t="s">
        <v>1309</v>
      </c>
      <c r="AC7">
        <v>1.8033999999999999E-3</v>
      </c>
      <c r="AD7" s="16">
        <v>2.5558070999999998E-3</v>
      </c>
      <c r="AE7" s="16">
        <v>4.6448E-6</v>
      </c>
      <c r="AF7" s="16">
        <v>0</v>
      </c>
      <c r="AG7" s="16">
        <v>0</v>
      </c>
      <c r="AH7" s="16">
        <v>0</v>
      </c>
      <c r="AI7" s="16">
        <v>1.3807E-6</v>
      </c>
      <c r="AJ7" s="16">
        <v>3.3929999999999997E-7</v>
      </c>
      <c r="AK7" s="16">
        <v>1.0414000000000001E-6</v>
      </c>
      <c r="AL7" s="16">
        <v>4.0818999999999998E-6</v>
      </c>
      <c r="AM7" s="16">
        <v>1.1300000000000001E-7</v>
      </c>
      <c r="AN7" s="16">
        <v>-4.017E-7</v>
      </c>
      <c r="AO7" s="16">
        <v>-4.1609999999999997E-7</v>
      </c>
      <c r="AP7" s="16">
        <v>0</v>
      </c>
      <c r="AQ7" s="16">
        <v>0</v>
      </c>
      <c r="AR7" s="16">
        <v>0</v>
      </c>
      <c r="AS7" s="16">
        <v>0</v>
      </c>
      <c r="AT7" s="16">
        <v>0</v>
      </c>
      <c r="AU7" s="16">
        <v>0</v>
      </c>
      <c r="AV7" s="16">
        <v>0</v>
      </c>
      <c r="AW7" s="16">
        <v>0</v>
      </c>
      <c r="AX7" s="16">
        <v>0</v>
      </c>
      <c r="AY7" s="16">
        <v>0</v>
      </c>
      <c r="AZ7" s="16">
        <v>0</v>
      </c>
      <c r="BA7" s="16">
        <v>0</v>
      </c>
      <c r="BB7" s="16">
        <v>0</v>
      </c>
      <c r="BC7" s="16">
        <v>0</v>
      </c>
      <c r="BD7" s="16">
        <v>0</v>
      </c>
      <c r="BE7" s="16">
        <v>0</v>
      </c>
      <c r="BF7" s="16">
        <v>0</v>
      </c>
      <c r="BG7" s="16">
        <v>0</v>
      </c>
      <c r="BH7" s="16">
        <v>0</v>
      </c>
      <c r="BI7" s="16">
        <v>0</v>
      </c>
      <c r="BJ7" s="16">
        <v>1.2097599999999999E-5</v>
      </c>
      <c r="BK7" s="16"/>
      <c r="BL7" s="16">
        <v>2223831</v>
      </c>
      <c r="BM7" s="61" t="s">
        <v>1285</v>
      </c>
    </row>
    <row r="8" spans="1:65" x14ac:dyDescent="0.25">
      <c r="B8" s="1"/>
      <c r="C8" s="1"/>
      <c r="E8" s="7">
        <f>COUNTIFS(tblBOneExport[ISIN],tblBOneExport[[#This Row],[ISIN]],tblBOneExport[LEVEL1],"Bonds")</f>
        <v>1</v>
      </c>
      <c r="F8">
        <v>4547</v>
      </c>
      <c r="G8" s="155">
        <v>42947</v>
      </c>
      <c r="H8" s="155">
        <v>42978</v>
      </c>
      <c r="I8" t="s">
        <v>1310</v>
      </c>
      <c r="J8">
        <v>1643935</v>
      </c>
      <c r="K8" s="18" t="s">
        <v>1311</v>
      </c>
      <c r="L8" t="s">
        <v>1022</v>
      </c>
      <c r="M8" t="s">
        <v>1023</v>
      </c>
      <c r="N8" t="s">
        <v>492</v>
      </c>
      <c r="O8" t="s">
        <v>372</v>
      </c>
      <c r="P8" t="s">
        <v>1276</v>
      </c>
      <c r="Q8" t="s">
        <v>1277</v>
      </c>
      <c r="R8" t="s">
        <v>1278</v>
      </c>
      <c r="S8" t="s">
        <v>1312</v>
      </c>
      <c r="T8" t="s">
        <v>1313</v>
      </c>
      <c r="U8" t="s">
        <v>1314</v>
      </c>
      <c r="V8" t="s">
        <v>1315</v>
      </c>
      <c r="W8" t="s">
        <v>493</v>
      </c>
      <c r="X8" t="s">
        <v>1282</v>
      </c>
      <c r="Y8" s="154">
        <v>44145</v>
      </c>
      <c r="Z8" s="154">
        <v>44145</v>
      </c>
      <c r="AA8" t="s">
        <v>1316</v>
      </c>
      <c r="AB8" t="s">
        <v>1317</v>
      </c>
      <c r="AC8">
        <v>1.7412894E-3</v>
      </c>
      <c r="AD8" s="16">
        <v>3.6614521E-3</v>
      </c>
      <c r="AE8" s="16">
        <v>6.4191000000000001E-6</v>
      </c>
      <c r="AF8" s="16">
        <v>0</v>
      </c>
      <c r="AG8" s="16">
        <v>0</v>
      </c>
      <c r="AH8" s="16">
        <v>0</v>
      </c>
      <c r="AI8" s="16">
        <v>1.4586999999999999E-6</v>
      </c>
      <c r="AJ8" s="16">
        <v>3.8579999999999997E-7</v>
      </c>
      <c r="AK8" s="16">
        <v>1.0728999999999999E-6</v>
      </c>
      <c r="AL8" s="16">
        <v>6.1341000000000003E-6</v>
      </c>
      <c r="AM8" s="16">
        <v>2.6230000000000001E-7</v>
      </c>
      <c r="AN8" s="16">
        <v>-1.0065E-6</v>
      </c>
      <c r="AO8" s="16">
        <v>-1.6710000000000001E-7</v>
      </c>
      <c r="AP8" s="16">
        <v>0</v>
      </c>
      <c r="AQ8" s="16">
        <v>0</v>
      </c>
      <c r="AR8" s="16">
        <v>0</v>
      </c>
      <c r="AS8" s="16">
        <v>0</v>
      </c>
      <c r="AT8" s="16">
        <v>0</v>
      </c>
      <c r="AU8" s="16">
        <v>0</v>
      </c>
      <c r="AV8" s="16">
        <v>0</v>
      </c>
      <c r="AW8" s="16">
        <v>0</v>
      </c>
      <c r="AX8" s="16">
        <v>0</v>
      </c>
      <c r="AY8" s="16">
        <v>0</v>
      </c>
      <c r="AZ8" s="16">
        <v>0</v>
      </c>
      <c r="BA8" s="16">
        <v>0</v>
      </c>
      <c r="BB8" s="16">
        <v>0</v>
      </c>
      <c r="BC8" s="16">
        <v>0</v>
      </c>
      <c r="BD8" s="16">
        <v>0</v>
      </c>
      <c r="BE8" s="16">
        <v>0</v>
      </c>
      <c r="BF8" s="16">
        <v>0</v>
      </c>
      <c r="BG8" s="16">
        <v>0</v>
      </c>
      <c r="BH8" s="16">
        <v>0</v>
      </c>
      <c r="BI8" s="16">
        <v>0</v>
      </c>
      <c r="BJ8" s="16">
        <v>1.26782E-5</v>
      </c>
      <c r="BK8" s="16"/>
      <c r="BL8" s="16">
        <v>1643935</v>
      </c>
      <c r="BM8" s="61" t="s">
        <v>1285</v>
      </c>
    </row>
    <row r="9" spans="1:65" x14ac:dyDescent="0.25">
      <c r="B9" s="1"/>
      <c r="C9" s="1"/>
      <c r="E9" s="7">
        <f>COUNTIFS(tblBOneExport[ISIN],tblBOneExport[[#This Row],[ISIN]],tblBOneExport[LEVEL1],"Bonds")</f>
        <v>1</v>
      </c>
      <c r="F9">
        <v>4547</v>
      </c>
      <c r="G9" s="155">
        <v>42947</v>
      </c>
      <c r="H9" s="155">
        <v>42978</v>
      </c>
      <c r="I9" t="s">
        <v>1318</v>
      </c>
      <c r="J9">
        <v>1641914</v>
      </c>
      <c r="K9" s="18" t="s">
        <v>1319</v>
      </c>
      <c r="L9" t="s">
        <v>1025</v>
      </c>
      <c r="M9" t="s">
        <v>1023</v>
      </c>
      <c r="N9" t="s">
        <v>492</v>
      </c>
      <c r="O9" t="s">
        <v>372</v>
      </c>
      <c r="P9" t="s">
        <v>1276</v>
      </c>
      <c r="Q9" t="s">
        <v>1277</v>
      </c>
      <c r="R9" t="s">
        <v>1278</v>
      </c>
      <c r="S9" t="s">
        <v>1312</v>
      </c>
      <c r="T9" t="s">
        <v>1313</v>
      </c>
      <c r="U9" t="s">
        <v>1314</v>
      </c>
      <c r="V9" t="s">
        <v>1315</v>
      </c>
      <c r="W9" t="s">
        <v>493</v>
      </c>
      <c r="X9" t="s">
        <v>1282</v>
      </c>
      <c r="Y9" s="154">
        <v>48967</v>
      </c>
      <c r="Z9" s="154">
        <v>48967</v>
      </c>
      <c r="AA9" t="s">
        <v>1316</v>
      </c>
      <c r="AB9" t="s">
        <v>1317</v>
      </c>
      <c r="AC9">
        <v>4.0522120000000003E-3</v>
      </c>
      <c r="AD9" s="16">
        <v>1.9843295E-2</v>
      </c>
      <c r="AE9" s="16">
        <v>8.0152099999999994E-5</v>
      </c>
      <c r="AF9" s="16">
        <v>0</v>
      </c>
      <c r="AG9" s="16">
        <v>0</v>
      </c>
      <c r="AH9" s="16">
        <v>0</v>
      </c>
      <c r="AI9" s="16">
        <v>9.6126000000000001E-6</v>
      </c>
      <c r="AJ9" s="16">
        <v>5.1708999999999999E-6</v>
      </c>
      <c r="AK9" s="16">
        <v>4.4417000000000002E-6</v>
      </c>
      <c r="AL9" s="16">
        <v>6.9516800000000005E-5</v>
      </c>
      <c r="AM9" s="16">
        <v>1.4037E-6</v>
      </c>
      <c r="AN9" s="16">
        <v>1.5936000000000001E-6</v>
      </c>
      <c r="AO9" s="16">
        <v>-5.708E-7</v>
      </c>
      <c r="AP9" s="16">
        <v>0</v>
      </c>
      <c r="AQ9" s="16">
        <v>0</v>
      </c>
      <c r="AR9" s="16">
        <v>0</v>
      </c>
      <c r="AS9" s="16">
        <v>0</v>
      </c>
      <c r="AT9" s="16">
        <v>0</v>
      </c>
      <c r="AU9" s="16">
        <v>0</v>
      </c>
      <c r="AV9" s="16">
        <v>0</v>
      </c>
      <c r="AW9" s="16">
        <v>0</v>
      </c>
      <c r="AX9" s="16">
        <v>0</v>
      </c>
      <c r="AY9" s="16">
        <v>0</v>
      </c>
      <c r="AZ9" s="16">
        <v>0</v>
      </c>
      <c r="BA9" s="16">
        <v>0</v>
      </c>
      <c r="BB9" s="16">
        <v>0</v>
      </c>
      <c r="BC9" s="16">
        <v>0</v>
      </c>
      <c r="BD9" s="16">
        <v>0</v>
      </c>
      <c r="BE9" s="16">
        <v>0</v>
      </c>
      <c r="BF9" s="16">
        <v>0</v>
      </c>
      <c r="BG9" s="16">
        <v>0</v>
      </c>
      <c r="BH9" s="16">
        <v>0</v>
      </c>
      <c r="BI9" s="16">
        <v>0</v>
      </c>
      <c r="BJ9" s="16">
        <v>5.19364E-5</v>
      </c>
      <c r="BK9" s="16"/>
      <c r="BL9" s="16">
        <v>1641914</v>
      </c>
      <c r="BM9" s="61" t="s">
        <v>1285</v>
      </c>
    </row>
    <row r="10" spans="1:65" x14ac:dyDescent="0.25">
      <c r="B10" s="1"/>
      <c r="C10" s="1"/>
      <c r="E10" s="7">
        <f>COUNTIFS(tblBOneExport[ISIN],tblBOneExport[[#This Row],[ISIN]],tblBOneExport[LEVEL1],"Bonds")</f>
        <v>1</v>
      </c>
      <c r="F10">
        <v>4547</v>
      </c>
      <c r="G10" s="155">
        <v>42947</v>
      </c>
      <c r="H10" s="155">
        <v>42978</v>
      </c>
      <c r="I10" t="s">
        <v>1320</v>
      </c>
      <c r="J10">
        <v>1641484</v>
      </c>
      <c r="K10" s="18" t="s">
        <v>1321</v>
      </c>
      <c r="L10" t="s">
        <v>1228</v>
      </c>
      <c r="M10" t="s">
        <v>1229</v>
      </c>
      <c r="N10" t="s">
        <v>492</v>
      </c>
      <c r="O10" t="s">
        <v>372</v>
      </c>
      <c r="P10" t="s">
        <v>1276</v>
      </c>
      <c r="Q10" t="s">
        <v>1277</v>
      </c>
      <c r="R10" t="s">
        <v>1322</v>
      </c>
      <c r="S10" t="s">
        <v>1323</v>
      </c>
      <c r="T10" t="s">
        <v>1323</v>
      </c>
      <c r="U10" t="s">
        <v>1323</v>
      </c>
      <c r="V10" t="s">
        <v>1288</v>
      </c>
      <c r="W10" t="s">
        <v>493</v>
      </c>
      <c r="X10" t="s">
        <v>1282</v>
      </c>
      <c r="Y10" s="154">
        <v>50342</v>
      </c>
      <c r="Z10" s="154">
        <v>50342</v>
      </c>
      <c r="AA10" t="s">
        <v>1316</v>
      </c>
      <c r="AB10" t="s">
        <v>1317</v>
      </c>
      <c r="AC10">
        <v>5.3720714999999997E-3</v>
      </c>
      <c r="AD10" s="16">
        <v>2.3591045099999999E-2</v>
      </c>
      <c r="AE10" s="16">
        <v>1.2603469999999999E-4</v>
      </c>
      <c r="AF10" s="16">
        <v>0</v>
      </c>
      <c r="AG10" s="16">
        <v>0</v>
      </c>
      <c r="AH10" s="16">
        <v>0</v>
      </c>
      <c r="AI10" s="16">
        <v>1.30048E-5</v>
      </c>
      <c r="AJ10" s="16">
        <v>7.4468999999999998E-6</v>
      </c>
      <c r="AK10" s="16">
        <v>5.5578999999999998E-6</v>
      </c>
      <c r="AL10" s="16">
        <v>5.5031999999999998E-5</v>
      </c>
      <c r="AM10" s="16">
        <v>1.3057000000000001E-6</v>
      </c>
      <c r="AN10" s="16">
        <v>5.0486699999999999E-5</v>
      </c>
      <c r="AO10" s="16">
        <v>7.5112000000000002E-6</v>
      </c>
      <c r="AP10" s="16">
        <v>0</v>
      </c>
      <c r="AQ10" s="16">
        <v>0</v>
      </c>
      <c r="AR10" s="16">
        <v>0</v>
      </c>
      <c r="AS10" s="16">
        <v>0</v>
      </c>
      <c r="AT10" s="16">
        <v>0</v>
      </c>
      <c r="AU10" s="16">
        <v>0</v>
      </c>
      <c r="AV10" s="16">
        <v>0</v>
      </c>
      <c r="AW10" s="16">
        <v>0</v>
      </c>
      <c r="AX10" s="16">
        <v>0</v>
      </c>
      <c r="AY10" s="16">
        <v>0</v>
      </c>
      <c r="AZ10" s="16">
        <v>0</v>
      </c>
      <c r="BA10" s="16">
        <v>0</v>
      </c>
      <c r="BB10" s="16">
        <v>0</v>
      </c>
      <c r="BC10" s="16">
        <v>0</v>
      </c>
      <c r="BD10" s="16">
        <v>0</v>
      </c>
      <c r="BE10" s="16">
        <v>0</v>
      </c>
      <c r="BF10" s="16">
        <v>0</v>
      </c>
      <c r="BG10" s="16">
        <v>0</v>
      </c>
      <c r="BH10" s="16">
        <v>0</v>
      </c>
      <c r="BI10" s="16">
        <v>0</v>
      </c>
      <c r="BJ10" s="16">
        <v>6.1550400000000006E-5</v>
      </c>
      <c r="BK10" s="16"/>
      <c r="BL10" s="16">
        <v>1641484</v>
      </c>
      <c r="BM10" s="61" t="s">
        <v>1285</v>
      </c>
    </row>
    <row r="11" spans="1:65" x14ac:dyDescent="0.25">
      <c r="B11" s="1"/>
      <c r="C11" s="1"/>
      <c r="E11" s="7">
        <f>COUNTIFS(tblBOneExport[ISIN],tblBOneExport[[#This Row],[ISIN]],tblBOneExport[LEVEL1],"Bonds")</f>
        <v>1</v>
      </c>
      <c r="F11">
        <v>4547</v>
      </c>
      <c r="G11" s="155">
        <v>42947</v>
      </c>
      <c r="H11" s="155">
        <v>42978</v>
      </c>
      <c r="I11" t="s">
        <v>1324</v>
      </c>
      <c r="J11">
        <v>1649324</v>
      </c>
      <c r="K11" s="18" t="s">
        <v>1325</v>
      </c>
      <c r="L11" t="s">
        <v>777</v>
      </c>
      <c r="M11" t="s">
        <v>775</v>
      </c>
      <c r="N11" t="s">
        <v>492</v>
      </c>
      <c r="O11" t="s">
        <v>372</v>
      </c>
      <c r="P11" t="s">
        <v>1276</v>
      </c>
      <c r="Q11" t="s">
        <v>1277</v>
      </c>
      <c r="R11" t="s">
        <v>1322</v>
      </c>
      <c r="S11" t="s">
        <v>1326</v>
      </c>
      <c r="T11" t="s">
        <v>1327</v>
      </c>
      <c r="U11" t="s">
        <v>1327</v>
      </c>
      <c r="V11" t="s">
        <v>1281</v>
      </c>
      <c r="W11" t="s">
        <v>493</v>
      </c>
      <c r="X11" t="s">
        <v>1282</v>
      </c>
      <c r="Y11" s="154">
        <v>47056</v>
      </c>
      <c r="Z11" s="154">
        <v>47056</v>
      </c>
      <c r="AA11" t="s">
        <v>1316</v>
      </c>
      <c r="AB11" t="s">
        <v>1317</v>
      </c>
      <c r="AC11">
        <v>4.2992042000000001E-3</v>
      </c>
      <c r="AD11" s="16">
        <v>1.87433064E-2</v>
      </c>
      <c r="AE11" s="16">
        <v>8.0391700000000005E-5</v>
      </c>
      <c r="AF11" s="16">
        <v>0</v>
      </c>
      <c r="AG11" s="16">
        <v>0</v>
      </c>
      <c r="AH11" s="16">
        <v>0</v>
      </c>
      <c r="AI11" s="16">
        <v>7.5000000000000002E-6</v>
      </c>
      <c r="AJ11" s="16">
        <v>4.5542999999999997E-6</v>
      </c>
      <c r="AK11" s="16">
        <v>2.9457E-6</v>
      </c>
      <c r="AL11" s="16">
        <v>7.2093800000000004E-5</v>
      </c>
      <c r="AM11" s="16">
        <v>3.8757E-6</v>
      </c>
      <c r="AN11" s="16">
        <v>-1.1449E-6</v>
      </c>
      <c r="AO11" s="16">
        <v>1.9427000000000001E-6</v>
      </c>
      <c r="AP11" s="16">
        <v>0</v>
      </c>
      <c r="AQ11" s="16">
        <v>0</v>
      </c>
      <c r="AR11" s="16">
        <v>0</v>
      </c>
      <c r="AS11" s="16">
        <v>0</v>
      </c>
      <c r="AT11" s="16">
        <v>0</v>
      </c>
      <c r="AU11" s="16">
        <v>0</v>
      </c>
      <c r="AV11" s="16">
        <v>0</v>
      </c>
      <c r="AW11" s="16">
        <v>0</v>
      </c>
      <c r="AX11" s="16">
        <v>0</v>
      </c>
      <c r="AY11" s="16">
        <v>0</v>
      </c>
      <c r="AZ11" s="16">
        <v>0</v>
      </c>
      <c r="BA11" s="16">
        <v>0</v>
      </c>
      <c r="BB11" s="16">
        <v>0</v>
      </c>
      <c r="BC11" s="16">
        <v>0</v>
      </c>
      <c r="BD11" s="16">
        <v>0</v>
      </c>
      <c r="BE11" s="16">
        <v>0</v>
      </c>
      <c r="BF11" s="16">
        <v>0</v>
      </c>
      <c r="BG11" s="16">
        <v>0</v>
      </c>
      <c r="BH11" s="16">
        <v>0</v>
      </c>
      <c r="BI11" s="16">
        <v>0</v>
      </c>
      <c r="BJ11" s="16">
        <v>3.4751E-5</v>
      </c>
      <c r="BK11" s="16"/>
      <c r="BL11" s="16">
        <v>1649324</v>
      </c>
      <c r="BM11" s="61" t="s">
        <v>1285</v>
      </c>
    </row>
    <row r="12" spans="1:65" x14ac:dyDescent="0.25">
      <c r="B12" s="1"/>
      <c r="C12" s="1"/>
      <c r="E12" s="7">
        <f>COUNTIFS(tblBOneExport[ISIN],tblBOneExport[[#This Row],[ISIN]],tblBOneExport[LEVEL1],"Bonds")</f>
        <v>1</v>
      </c>
      <c r="F12">
        <v>4547</v>
      </c>
      <c r="G12" s="155">
        <v>42947</v>
      </c>
      <c r="H12" s="155">
        <v>42978</v>
      </c>
      <c r="I12" t="s">
        <v>1328</v>
      </c>
      <c r="J12">
        <v>1649859</v>
      </c>
      <c r="K12" s="18" t="s">
        <v>1329</v>
      </c>
      <c r="L12" t="s">
        <v>705</v>
      </c>
      <c r="M12" t="s">
        <v>701</v>
      </c>
      <c r="N12" t="s">
        <v>492</v>
      </c>
      <c r="O12" t="s">
        <v>372</v>
      </c>
      <c r="P12" t="s">
        <v>1276</v>
      </c>
      <c r="Q12" t="s">
        <v>1330</v>
      </c>
      <c r="R12" t="s">
        <v>1331</v>
      </c>
      <c r="S12" t="s">
        <v>1331</v>
      </c>
      <c r="T12" t="s">
        <v>1331</v>
      </c>
      <c r="U12" t="s">
        <v>1331</v>
      </c>
      <c r="V12" t="s">
        <v>1332</v>
      </c>
      <c r="W12" t="s">
        <v>493</v>
      </c>
      <c r="X12" t="s">
        <v>1282</v>
      </c>
      <c r="Y12" s="154">
        <v>49097</v>
      </c>
      <c r="Z12" s="154">
        <v>49097</v>
      </c>
      <c r="AA12" t="s">
        <v>1316</v>
      </c>
      <c r="AB12" t="s">
        <v>1317</v>
      </c>
      <c r="AC12">
        <v>2.4287193999999999E-3</v>
      </c>
      <c r="AD12" s="16">
        <v>1.88949819E-2</v>
      </c>
      <c r="AE12" s="16">
        <v>4.5790300000000001E-5</v>
      </c>
      <c r="AF12" s="16">
        <v>0</v>
      </c>
      <c r="AG12" s="16">
        <v>0</v>
      </c>
      <c r="AH12" s="16">
        <v>0</v>
      </c>
      <c r="AI12" s="16">
        <v>6.4358999999999997E-6</v>
      </c>
      <c r="AJ12" s="16">
        <v>3.1151999999999998E-6</v>
      </c>
      <c r="AK12" s="16">
        <v>3.3206999999999998E-6</v>
      </c>
      <c r="AL12" s="16">
        <v>3.9812599999999999E-5</v>
      </c>
      <c r="AM12" s="16">
        <v>8.4359999999999996E-7</v>
      </c>
      <c r="AN12" s="16">
        <v>-2.4874000000000001E-6</v>
      </c>
      <c r="AO12" s="16">
        <v>2.0292E-6</v>
      </c>
      <c r="AP12" s="16">
        <v>0</v>
      </c>
      <c r="AQ12" s="16">
        <v>0</v>
      </c>
      <c r="AR12" s="16">
        <v>0</v>
      </c>
      <c r="AS12" s="16">
        <v>0</v>
      </c>
      <c r="AT12" s="16">
        <v>0</v>
      </c>
      <c r="AU12" s="16">
        <v>0</v>
      </c>
      <c r="AV12" s="16">
        <v>0</v>
      </c>
      <c r="AW12" s="16">
        <v>0</v>
      </c>
      <c r="AX12" s="16">
        <v>0</v>
      </c>
      <c r="AY12" s="16">
        <v>0</v>
      </c>
      <c r="AZ12" s="16">
        <v>0</v>
      </c>
      <c r="BA12" s="16">
        <v>0</v>
      </c>
      <c r="BB12" s="16">
        <v>0</v>
      </c>
      <c r="BC12" s="16">
        <v>0</v>
      </c>
      <c r="BD12" s="16">
        <v>0</v>
      </c>
      <c r="BE12" s="16">
        <v>0</v>
      </c>
      <c r="BF12" s="16">
        <v>0</v>
      </c>
      <c r="BG12" s="16">
        <v>0</v>
      </c>
      <c r="BH12" s="16">
        <v>0</v>
      </c>
      <c r="BI12" s="16">
        <v>0</v>
      </c>
      <c r="BJ12" s="16">
        <v>3.8924400000000003E-5</v>
      </c>
      <c r="BK12" s="16"/>
      <c r="BL12" s="16">
        <v>1649859</v>
      </c>
      <c r="BM12" s="61" t="s">
        <v>1285</v>
      </c>
    </row>
    <row r="13" spans="1:65" x14ac:dyDescent="0.25">
      <c r="B13" s="1"/>
      <c r="C13" s="1"/>
      <c r="E13" s="7">
        <f>COUNTIFS(tblBOneExport[ISIN],tblBOneExport[[#This Row],[ISIN]],tblBOneExport[LEVEL1],"Bonds")</f>
        <v>1</v>
      </c>
      <c r="F13">
        <v>4547</v>
      </c>
      <c r="G13" s="155">
        <v>42947</v>
      </c>
      <c r="H13" s="155">
        <v>42978</v>
      </c>
      <c r="I13" t="s">
        <v>1333</v>
      </c>
      <c r="J13">
        <v>1650782</v>
      </c>
      <c r="K13" s="18" t="s">
        <v>1334</v>
      </c>
      <c r="L13" t="s">
        <v>703</v>
      </c>
      <c r="M13" t="s">
        <v>701</v>
      </c>
      <c r="N13" t="s">
        <v>492</v>
      </c>
      <c r="O13" t="s">
        <v>372</v>
      </c>
      <c r="P13" t="s">
        <v>1276</v>
      </c>
      <c r="Q13" t="s">
        <v>1330</v>
      </c>
      <c r="R13" t="s">
        <v>1331</v>
      </c>
      <c r="S13" t="s">
        <v>1331</v>
      </c>
      <c r="T13" t="s">
        <v>1331</v>
      </c>
      <c r="U13" t="s">
        <v>1331</v>
      </c>
      <c r="V13" t="s">
        <v>1332</v>
      </c>
      <c r="W13" t="s">
        <v>493</v>
      </c>
      <c r="X13" t="s">
        <v>1282</v>
      </c>
      <c r="Y13" s="154">
        <v>55053</v>
      </c>
      <c r="Z13" s="154">
        <v>55053</v>
      </c>
      <c r="AA13" t="s">
        <v>1316</v>
      </c>
      <c r="AB13" t="s">
        <v>1317</v>
      </c>
      <c r="AC13">
        <v>4.2796943000000002E-3</v>
      </c>
      <c r="AD13" s="16">
        <v>2.10807459E-2</v>
      </c>
      <c r="AE13" s="16">
        <v>8.9793699999999994E-5</v>
      </c>
      <c r="AF13" s="16">
        <v>0</v>
      </c>
      <c r="AG13" s="16">
        <v>0</v>
      </c>
      <c r="AH13" s="16">
        <v>0</v>
      </c>
      <c r="AI13" s="16">
        <v>1.25354E-5</v>
      </c>
      <c r="AJ13" s="16">
        <v>6.1039000000000001E-6</v>
      </c>
      <c r="AK13" s="16">
        <v>6.4316000000000004E-6</v>
      </c>
      <c r="AL13" s="16">
        <v>1.1628680000000001E-4</v>
      </c>
      <c r="AM13" s="16">
        <v>-8.4629999999999995E-7</v>
      </c>
      <c r="AN13" s="16">
        <v>-3.5923100000000002E-5</v>
      </c>
      <c r="AO13" s="16">
        <v>-3.1053999999999999E-6</v>
      </c>
      <c r="AP13" s="16">
        <v>0</v>
      </c>
      <c r="AQ13" s="16">
        <v>0</v>
      </c>
      <c r="AR13" s="16">
        <v>0</v>
      </c>
      <c r="AS13" s="16">
        <v>0</v>
      </c>
      <c r="AT13" s="16">
        <v>0</v>
      </c>
      <c r="AU13" s="16">
        <v>0</v>
      </c>
      <c r="AV13" s="16">
        <v>0</v>
      </c>
      <c r="AW13" s="16">
        <v>0</v>
      </c>
      <c r="AX13" s="16">
        <v>0</v>
      </c>
      <c r="AY13" s="16">
        <v>0</v>
      </c>
      <c r="AZ13" s="16">
        <v>0</v>
      </c>
      <c r="BA13" s="16">
        <v>0</v>
      </c>
      <c r="BB13" s="16">
        <v>0</v>
      </c>
      <c r="BC13" s="16">
        <v>0</v>
      </c>
      <c r="BD13" s="16">
        <v>0</v>
      </c>
      <c r="BE13" s="16">
        <v>0</v>
      </c>
      <c r="BF13" s="16">
        <v>0</v>
      </c>
      <c r="BG13" s="16">
        <v>0</v>
      </c>
      <c r="BH13" s="16">
        <v>0</v>
      </c>
      <c r="BI13" s="16">
        <v>0</v>
      </c>
      <c r="BJ13" s="16">
        <v>7.7028300000000002E-5</v>
      </c>
      <c r="BK13" s="16"/>
      <c r="BL13" s="16">
        <v>1650782</v>
      </c>
      <c r="BM13" s="61" t="s">
        <v>1285</v>
      </c>
    </row>
    <row r="14" spans="1:65" x14ac:dyDescent="0.25">
      <c r="B14" s="1"/>
      <c r="C14" s="1"/>
      <c r="E14" s="7">
        <f>COUNTIFS(tblBOneExport[ISIN],tblBOneExport[[#This Row],[ISIN]],tblBOneExport[LEVEL1],"Bonds")</f>
        <v>1</v>
      </c>
      <c r="F14">
        <v>4547</v>
      </c>
      <c r="G14" s="155">
        <v>42947</v>
      </c>
      <c r="H14" s="155">
        <v>42978</v>
      </c>
      <c r="I14" t="s">
        <v>1335</v>
      </c>
      <c r="J14">
        <v>1647666</v>
      </c>
      <c r="K14" s="18" t="s">
        <v>1336</v>
      </c>
      <c r="L14" t="s">
        <v>774</v>
      </c>
      <c r="M14" t="s">
        <v>775</v>
      </c>
      <c r="N14" t="s">
        <v>492</v>
      </c>
      <c r="O14" t="s">
        <v>372</v>
      </c>
      <c r="P14" t="s">
        <v>1276</v>
      </c>
      <c r="Q14" t="s">
        <v>1277</v>
      </c>
      <c r="R14" t="s">
        <v>1322</v>
      </c>
      <c r="S14" t="s">
        <v>1326</v>
      </c>
      <c r="T14" t="s">
        <v>1326</v>
      </c>
      <c r="U14" t="s">
        <v>1326</v>
      </c>
      <c r="V14" t="s">
        <v>1332</v>
      </c>
      <c r="W14" t="s">
        <v>493</v>
      </c>
      <c r="X14" t="s">
        <v>1282</v>
      </c>
      <c r="Y14" s="154">
        <v>58715</v>
      </c>
      <c r="Z14" s="154">
        <v>58715</v>
      </c>
      <c r="AA14" t="s">
        <v>1316</v>
      </c>
      <c r="AB14" t="s">
        <v>1317</v>
      </c>
      <c r="AC14">
        <v>4.8545576E-3</v>
      </c>
      <c r="AD14" s="16">
        <v>3.4869632599999999E-2</v>
      </c>
      <c r="AE14" s="16">
        <v>1.6750679999999999E-4</v>
      </c>
      <c r="AF14" s="16">
        <v>0</v>
      </c>
      <c r="AG14" s="16">
        <v>0</v>
      </c>
      <c r="AH14" s="16">
        <v>0</v>
      </c>
      <c r="AI14" s="16">
        <v>1.0343199999999999E-5</v>
      </c>
      <c r="AJ14" s="16">
        <v>6.5892000000000004E-6</v>
      </c>
      <c r="AK14" s="16">
        <v>3.754E-6</v>
      </c>
      <c r="AL14" s="16">
        <v>1.615756E-4</v>
      </c>
      <c r="AM14" s="16">
        <v>-1.741E-7</v>
      </c>
      <c r="AN14" s="16">
        <v>2.7045999999999999E-6</v>
      </c>
      <c r="AO14" s="16">
        <v>-7.1165999999999998E-6</v>
      </c>
      <c r="AP14" s="16">
        <v>0</v>
      </c>
      <c r="AQ14" s="16">
        <v>0</v>
      </c>
      <c r="AR14" s="16">
        <v>0</v>
      </c>
      <c r="AS14" s="16">
        <v>0</v>
      </c>
      <c r="AT14" s="16">
        <v>0</v>
      </c>
      <c r="AU14" s="16">
        <v>0</v>
      </c>
      <c r="AV14" s="16">
        <v>0</v>
      </c>
      <c r="AW14" s="16">
        <v>0</v>
      </c>
      <c r="AX14" s="16">
        <v>0</v>
      </c>
      <c r="AY14" s="16">
        <v>0</v>
      </c>
      <c r="AZ14" s="16">
        <v>0</v>
      </c>
      <c r="BA14" s="16">
        <v>0</v>
      </c>
      <c r="BB14" s="16">
        <v>0</v>
      </c>
      <c r="BC14" s="16">
        <v>0</v>
      </c>
      <c r="BD14" s="16">
        <v>0</v>
      </c>
      <c r="BE14" s="16">
        <v>0</v>
      </c>
      <c r="BF14" s="16">
        <v>0</v>
      </c>
      <c r="BG14" s="16">
        <v>0</v>
      </c>
      <c r="BH14" s="16">
        <v>0</v>
      </c>
      <c r="BI14" s="16">
        <v>0</v>
      </c>
      <c r="BJ14" s="16">
        <v>4.3905000000000001E-5</v>
      </c>
      <c r="BK14" s="16"/>
      <c r="BL14" s="16">
        <v>1647666</v>
      </c>
      <c r="BM14" s="61" t="s">
        <v>1285</v>
      </c>
    </row>
    <row r="15" spans="1:65" x14ac:dyDescent="0.25">
      <c r="B15" s="1"/>
      <c r="C15" s="1"/>
      <c r="E15" s="7">
        <f>COUNTIFS(tblBOneExport[ISIN],tblBOneExport[[#This Row],[ISIN]],tblBOneExport[LEVEL1],"Bonds")</f>
        <v>1</v>
      </c>
      <c r="F15">
        <v>4547</v>
      </c>
      <c r="G15" s="155">
        <v>42947</v>
      </c>
      <c r="H15" s="155">
        <v>42978</v>
      </c>
      <c r="I15" t="s">
        <v>1337</v>
      </c>
      <c r="J15">
        <v>1669446</v>
      </c>
      <c r="K15" s="18" t="s">
        <v>1338</v>
      </c>
      <c r="L15" t="s">
        <v>700</v>
      </c>
      <c r="M15" t="s">
        <v>701</v>
      </c>
      <c r="N15" t="s">
        <v>492</v>
      </c>
      <c r="O15" t="s">
        <v>372</v>
      </c>
      <c r="P15" t="s">
        <v>1276</v>
      </c>
      <c r="Q15" t="s">
        <v>1330</v>
      </c>
      <c r="R15" t="s">
        <v>1331</v>
      </c>
      <c r="S15" t="s">
        <v>1331</v>
      </c>
      <c r="T15" t="s">
        <v>1331</v>
      </c>
      <c r="U15" t="s">
        <v>1331</v>
      </c>
      <c r="V15" t="s">
        <v>1332</v>
      </c>
      <c r="W15" t="s">
        <v>493</v>
      </c>
      <c r="X15" t="s">
        <v>1282</v>
      </c>
      <c r="Y15" s="154">
        <v>51791</v>
      </c>
      <c r="Z15" s="154">
        <v>51791</v>
      </c>
      <c r="AA15" t="s">
        <v>1316</v>
      </c>
      <c r="AB15" t="s">
        <v>1317</v>
      </c>
      <c r="AC15">
        <v>1.6066183000000001E-3</v>
      </c>
      <c r="AD15" s="16">
        <v>2.18710895E-2</v>
      </c>
      <c r="AE15" s="16">
        <v>3.4993000000000002E-5</v>
      </c>
      <c r="AF15" s="16">
        <v>0</v>
      </c>
      <c r="AG15" s="16">
        <v>0</v>
      </c>
      <c r="AH15" s="16">
        <v>0</v>
      </c>
      <c r="AI15" s="16">
        <v>4.6168000000000004E-6</v>
      </c>
      <c r="AJ15" s="16">
        <v>2.3338E-6</v>
      </c>
      <c r="AK15" s="16">
        <v>2.283E-6</v>
      </c>
      <c r="AL15" s="16">
        <v>3.4832000000000001E-5</v>
      </c>
      <c r="AM15" s="16">
        <v>4.3650000000000002E-7</v>
      </c>
      <c r="AN15" s="16">
        <v>-3.7633E-6</v>
      </c>
      <c r="AO15" s="16">
        <v>-6.9250000000000004E-7</v>
      </c>
      <c r="AP15" s="16">
        <v>0</v>
      </c>
      <c r="AQ15" s="16">
        <v>0</v>
      </c>
      <c r="AR15" s="16">
        <v>0</v>
      </c>
      <c r="AS15" s="16">
        <v>0</v>
      </c>
      <c r="AT15" s="16">
        <v>0</v>
      </c>
      <c r="AU15" s="16">
        <v>0</v>
      </c>
      <c r="AV15" s="16">
        <v>0</v>
      </c>
      <c r="AW15" s="16">
        <v>0</v>
      </c>
      <c r="AX15" s="16">
        <v>0</v>
      </c>
      <c r="AY15" s="16">
        <v>0</v>
      </c>
      <c r="AZ15" s="16">
        <v>0</v>
      </c>
      <c r="BA15" s="16">
        <v>0</v>
      </c>
      <c r="BB15" s="16">
        <v>0</v>
      </c>
      <c r="BC15" s="16">
        <v>0</v>
      </c>
      <c r="BD15" s="16">
        <v>0</v>
      </c>
      <c r="BE15" s="16">
        <v>0</v>
      </c>
      <c r="BF15" s="16">
        <v>0</v>
      </c>
      <c r="BG15" s="16">
        <v>0</v>
      </c>
      <c r="BH15" s="16">
        <v>0</v>
      </c>
      <c r="BI15" s="16">
        <v>0</v>
      </c>
      <c r="BJ15" s="16">
        <v>2.70435E-5</v>
      </c>
      <c r="BK15" s="16"/>
      <c r="BL15" s="16">
        <v>1669446</v>
      </c>
      <c r="BM15" s="61" t="s">
        <v>1285</v>
      </c>
    </row>
    <row r="16" spans="1:65" x14ac:dyDescent="0.25">
      <c r="B16" s="1"/>
      <c r="C16" s="1"/>
      <c r="E16" s="7">
        <f>COUNTIFS(tblBOneExport[ISIN],tblBOneExport[[#This Row],[ISIN]],tblBOneExport[LEVEL1],"Bonds")</f>
        <v>1</v>
      </c>
      <c r="F16">
        <v>4547</v>
      </c>
      <c r="G16" s="155">
        <v>42947</v>
      </c>
      <c r="H16" s="155">
        <v>42978</v>
      </c>
      <c r="I16" t="s">
        <v>1339</v>
      </c>
      <c r="J16">
        <v>1670560</v>
      </c>
      <c r="K16" s="18" t="s">
        <v>1340</v>
      </c>
      <c r="L16" t="s">
        <v>1148</v>
      </c>
      <c r="M16" t="s">
        <v>1149</v>
      </c>
      <c r="N16" t="s">
        <v>492</v>
      </c>
      <c r="O16" t="s">
        <v>372</v>
      </c>
      <c r="P16" t="s">
        <v>1276</v>
      </c>
      <c r="Q16" t="s">
        <v>1277</v>
      </c>
      <c r="R16" t="s">
        <v>1322</v>
      </c>
      <c r="S16" t="s">
        <v>1323</v>
      </c>
      <c r="T16" t="s">
        <v>1323</v>
      </c>
      <c r="U16" t="s">
        <v>1323</v>
      </c>
      <c r="V16" t="s">
        <v>1332</v>
      </c>
      <c r="W16" t="s">
        <v>493</v>
      </c>
      <c r="X16" t="s">
        <v>1282</v>
      </c>
      <c r="Y16" s="154">
        <v>47819</v>
      </c>
      <c r="Z16" s="154">
        <v>47819</v>
      </c>
      <c r="AA16" t="s">
        <v>1316</v>
      </c>
      <c r="AB16" t="s">
        <v>1317</v>
      </c>
      <c r="AC16">
        <v>1.05717143E-2</v>
      </c>
      <c r="AD16" s="16">
        <v>1.8840468499999999E-2</v>
      </c>
      <c r="AE16" s="16">
        <v>1.9872910000000001E-4</v>
      </c>
      <c r="AF16" s="16">
        <v>0</v>
      </c>
      <c r="AG16" s="16">
        <v>0</v>
      </c>
      <c r="AH16" s="16">
        <v>0</v>
      </c>
      <c r="AI16" s="16">
        <v>2.1016799999999998E-5</v>
      </c>
      <c r="AJ16" s="16">
        <v>1.25082E-5</v>
      </c>
      <c r="AK16" s="16">
        <v>8.5086000000000002E-6</v>
      </c>
      <c r="AL16" s="16">
        <v>1.9494980000000001E-4</v>
      </c>
      <c r="AM16" s="16">
        <v>3.4010000000000001E-6</v>
      </c>
      <c r="AN16" s="16">
        <v>-1.8329500000000001E-5</v>
      </c>
      <c r="AO16" s="16">
        <v>1.0921000000000001E-6</v>
      </c>
      <c r="AP16" s="16">
        <v>0</v>
      </c>
      <c r="AQ16" s="16">
        <v>0</v>
      </c>
      <c r="AR16" s="16">
        <v>0</v>
      </c>
      <c r="AS16" s="16">
        <v>0</v>
      </c>
      <c r="AT16" s="16">
        <v>0</v>
      </c>
      <c r="AU16" s="16">
        <v>0</v>
      </c>
      <c r="AV16" s="16">
        <v>0</v>
      </c>
      <c r="AW16" s="16">
        <v>0</v>
      </c>
      <c r="AX16" s="16">
        <v>0</v>
      </c>
      <c r="AY16" s="16">
        <v>0</v>
      </c>
      <c r="AZ16" s="16">
        <v>0</v>
      </c>
      <c r="BA16" s="16">
        <v>0</v>
      </c>
      <c r="BB16" s="16">
        <v>0</v>
      </c>
      <c r="BC16" s="16">
        <v>0</v>
      </c>
      <c r="BD16" s="16">
        <v>0</v>
      </c>
      <c r="BE16" s="16">
        <v>0</v>
      </c>
      <c r="BF16" s="16">
        <v>0</v>
      </c>
      <c r="BG16" s="16">
        <v>0</v>
      </c>
      <c r="BH16" s="16">
        <v>0</v>
      </c>
      <c r="BI16" s="16">
        <v>0</v>
      </c>
      <c r="BJ16" s="16">
        <v>1.004949E-4</v>
      </c>
      <c r="BK16" s="16"/>
      <c r="BL16" s="16">
        <v>1670560</v>
      </c>
      <c r="BM16" s="61" t="s">
        <v>1285</v>
      </c>
    </row>
    <row r="17" spans="5:65" x14ac:dyDescent="0.25">
      <c r="E17" s="7">
        <f>COUNTIFS(tblBOneExport[ISIN],tblBOneExport[[#This Row],[ISIN]],tblBOneExport[LEVEL1],"Bonds")</f>
        <v>1</v>
      </c>
      <c r="F17">
        <v>4547</v>
      </c>
      <c r="G17" s="155">
        <v>42947</v>
      </c>
      <c r="H17" s="155">
        <v>42978</v>
      </c>
      <c r="I17" t="s">
        <v>1341</v>
      </c>
      <c r="J17">
        <v>2183432</v>
      </c>
      <c r="K17" s="18" t="s">
        <v>1342</v>
      </c>
      <c r="L17" t="s">
        <v>918</v>
      </c>
      <c r="M17" t="s">
        <v>919</v>
      </c>
      <c r="N17" t="s">
        <v>492</v>
      </c>
      <c r="O17" t="s">
        <v>372</v>
      </c>
      <c r="P17" t="s">
        <v>1276</v>
      </c>
      <c r="Q17" t="s">
        <v>1277</v>
      </c>
      <c r="R17" t="s">
        <v>1278</v>
      </c>
      <c r="S17" t="s">
        <v>1279</v>
      </c>
      <c r="T17" t="s">
        <v>1343</v>
      </c>
      <c r="U17" t="s">
        <v>1343</v>
      </c>
      <c r="V17" t="s">
        <v>1293</v>
      </c>
      <c r="W17" t="s">
        <v>493</v>
      </c>
      <c r="X17" t="s">
        <v>1282</v>
      </c>
      <c r="Y17" s="154">
        <v>43089</v>
      </c>
      <c r="Z17" s="154">
        <v>43089</v>
      </c>
      <c r="AA17" t="s">
        <v>1316</v>
      </c>
      <c r="AB17" t="s">
        <v>1317</v>
      </c>
      <c r="AC17">
        <v>9.3011639999999996E-4</v>
      </c>
      <c r="AD17" s="16">
        <v>5.0347979999999998E-4</v>
      </c>
      <c r="AE17" s="16">
        <v>4.7170000000000002E-7</v>
      </c>
      <c r="AF17" s="16">
        <v>0</v>
      </c>
      <c r="AG17" s="16">
        <v>0</v>
      </c>
      <c r="AH17" s="16">
        <v>0</v>
      </c>
      <c r="AI17" s="16">
        <v>5.0220000000000004E-7</v>
      </c>
      <c r="AJ17" s="16">
        <v>1.3580000000000001E-7</v>
      </c>
      <c r="AK17" s="16">
        <v>3.664E-7</v>
      </c>
      <c r="AL17" s="16">
        <v>-1.9399999999999998E-8</v>
      </c>
      <c r="AM17" s="16">
        <v>4.0200000000000003E-8</v>
      </c>
      <c r="AN17" s="16">
        <v>-1.173E-7</v>
      </c>
      <c r="AO17" s="16">
        <v>1.0630000000000001E-7</v>
      </c>
      <c r="AP17" s="16">
        <v>0</v>
      </c>
      <c r="AQ17" s="16">
        <v>0</v>
      </c>
      <c r="AR17" s="16">
        <v>0</v>
      </c>
      <c r="AS17" s="16">
        <v>0</v>
      </c>
      <c r="AT17" s="16">
        <v>0</v>
      </c>
      <c r="AU17" s="16">
        <v>0</v>
      </c>
      <c r="AV17" s="16">
        <v>0</v>
      </c>
      <c r="AW17" s="16">
        <v>0</v>
      </c>
      <c r="AX17" s="16">
        <v>0</v>
      </c>
      <c r="AY17" s="16">
        <v>0</v>
      </c>
      <c r="AZ17" s="16">
        <v>0</v>
      </c>
      <c r="BA17" s="16">
        <v>0</v>
      </c>
      <c r="BB17" s="16">
        <v>0</v>
      </c>
      <c r="BC17" s="16">
        <v>0</v>
      </c>
      <c r="BD17" s="16">
        <v>0</v>
      </c>
      <c r="BE17" s="16">
        <v>0</v>
      </c>
      <c r="BF17" s="16">
        <v>0</v>
      </c>
      <c r="BG17" s="16">
        <v>0</v>
      </c>
      <c r="BH17" s="16">
        <v>0</v>
      </c>
      <c r="BI17" s="16">
        <v>0</v>
      </c>
      <c r="BJ17" s="16">
        <v>4.5097999999999996E-6</v>
      </c>
      <c r="BK17" s="16"/>
      <c r="BL17" s="16">
        <v>2183432</v>
      </c>
      <c r="BM17" s="61" t="s">
        <v>1285</v>
      </c>
    </row>
    <row r="18" spans="5:65" x14ac:dyDescent="0.25">
      <c r="E18" s="7">
        <f>COUNTIFS(tblBOneExport[ISIN],tblBOneExport[[#This Row],[ISIN]],tblBOneExport[LEVEL1],"Bonds")</f>
        <v>1</v>
      </c>
      <c r="F18">
        <v>4547</v>
      </c>
      <c r="G18" s="155">
        <v>42947</v>
      </c>
      <c r="H18" s="155">
        <v>42978</v>
      </c>
      <c r="I18" t="s">
        <v>1344</v>
      </c>
      <c r="J18">
        <v>3036748</v>
      </c>
      <c r="K18" s="18" t="s">
        <v>1345</v>
      </c>
      <c r="L18" t="s">
        <v>921</v>
      </c>
      <c r="M18" t="s">
        <v>919</v>
      </c>
      <c r="N18" t="s">
        <v>492</v>
      </c>
      <c r="O18" t="s">
        <v>372</v>
      </c>
      <c r="P18" t="s">
        <v>1276</v>
      </c>
      <c r="Q18" t="s">
        <v>1277</v>
      </c>
      <c r="R18" t="s">
        <v>1278</v>
      </c>
      <c r="S18" t="s">
        <v>1279</v>
      </c>
      <c r="T18" t="s">
        <v>1343</v>
      </c>
      <c r="U18" t="s">
        <v>1343</v>
      </c>
      <c r="V18" t="s">
        <v>1332</v>
      </c>
      <c r="W18" t="s">
        <v>493</v>
      </c>
      <c r="X18" t="s">
        <v>1282</v>
      </c>
      <c r="Y18" s="154">
        <v>44634</v>
      </c>
      <c r="Z18" s="154">
        <v>44634</v>
      </c>
      <c r="AA18" t="s">
        <v>1316</v>
      </c>
      <c r="AB18" t="s">
        <v>1317</v>
      </c>
      <c r="AC18">
        <v>8.9911981999999998E-3</v>
      </c>
      <c r="AD18" s="16">
        <v>8.0608189000000007E-3</v>
      </c>
      <c r="AE18" s="16">
        <v>7.2811299999999999E-5</v>
      </c>
      <c r="AF18" s="16">
        <v>0</v>
      </c>
      <c r="AG18" s="16">
        <v>0</v>
      </c>
      <c r="AH18" s="16">
        <v>0</v>
      </c>
      <c r="AI18" s="16">
        <v>7.8195000000000003E-6</v>
      </c>
      <c r="AJ18" s="16">
        <v>3.1916999999999999E-6</v>
      </c>
      <c r="AK18" s="16">
        <v>4.6278E-6</v>
      </c>
      <c r="AL18" s="16">
        <v>6.5193500000000005E-5</v>
      </c>
      <c r="AM18" s="16">
        <v>6.7596999999999998E-6</v>
      </c>
      <c r="AN18" s="16">
        <v>2.336E-7</v>
      </c>
      <c r="AO18" s="16">
        <v>-4.3529999999999999E-7</v>
      </c>
      <c r="AP18" s="16">
        <v>0</v>
      </c>
      <c r="AQ18" s="16">
        <v>0</v>
      </c>
      <c r="AR18" s="16">
        <v>0</v>
      </c>
      <c r="AS18" s="16">
        <v>0</v>
      </c>
      <c r="AT18" s="16">
        <v>0</v>
      </c>
      <c r="AU18" s="16">
        <v>0</v>
      </c>
      <c r="AV18" s="16">
        <v>0</v>
      </c>
      <c r="AW18" s="16">
        <v>0</v>
      </c>
      <c r="AX18" s="16">
        <v>0</v>
      </c>
      <c r="AY18" s="16">
        <v>0</v>
      </c>
      <c r="AZ18" s="16">
        <v>0</v>
      </c>
      <c r="BA18" s="16">
        <v>0</v>
      </c>
      <c r="BB18" s="16">
        <v>0</v>
      </c>
      <c r="BC18" s="16">
        <v>0</v>
      </c>
      <c r="BD18" s="16">
        <v>0</v>
      </c>
      <c r="BE18" s="16">
        <v>0</v>
      </c>
      <c r="BF18" s="16">
        <v>0</v>
      </c>
      <c r="BG18" s="16">
        <v>0</v>
      </c>
      <c r="BH18" s="16">
        <v>0</v>
      </c>
      <c r="BI18" s="16">
        <v>0</v>
      </c>
      <c r="BJ18" s="16">
        <v>5.4474200000000001E-5</v>
      </c>
      <c r="BK18" s="16"/>
      <c r="BL18" s="16">
        <v>3036748</v>
      </c>
      <c r="BM18" s="61" t="s">
        <v>1285</v>
      </c>
    </row>
    <row r="19" spans="5:65" x14ac:dyDescent="0.25">
      <c r="E19" s="7">
        <f>COUNTIFS(tblBOneExport[ISIN],tblBOneExport[[#This Row],[ISIN]],tblBOneExport[LEVEL1],"Bonds")</f>
        <v>1</v>
      </c>
      <c r="F19">
        <v>4547</v>
      </c>
      <c r="G19" s="155">
        <v>42947</v>
      </c>
      <c r="H19" s="155">
        <v>42978</v>
      </c>
      <c r="I19" t="s">
        <v>1346</v>
      </c>
      <c r="J19">
        <v>1648372</v>
      </c>
      <c r="K19" s="18" t="s">
        <v>1347</v>
      </c>
      <c r="L19" t="s">
        <v>1176</v>
      </c>
      <c r="M19" t="s">
        <v>1177</v>
      </c>
      <c r="N19" t="s">
        <v>492</v>
      </c>
      <c r="O19" t="s">
        <v>372</v>
      </c>
      <c r="P19" t="s">
        <v>1276</v>
      </c>
      <c r="Q19" t="s">
        <v>1277</v>
      </c>
      <c r="R19" t="s">
        <v>1278</v>
      </c>
      <c r="S19" t="s">
        <v>1348</v>
      </c>
      <c r="T19" t="s">
        <v>1349</v>
      </c>
      <c r="U19" t="s">
        <v>1349</v>
      </c>
      <c r="V19" t="s">
        <v>1288</v>
      </c>
      <c r="W19" t="s">
        <v>493</v>
      </c>
      <c r="X19" t="s">
        <v>1282</v>
      </c>
      <c r="Y19" s="154">
        <v>43326</v>
      </c>
      <c r="Z19" s="154">
        <v>43326</v>
      </c>
      <c r="AA19" t="s">
        <v>1294</v>
      </c>
      <c r="AB19" t="s">
        <v>1295</v>
      </c>
      <c r="AC19">
        <v>1.4335284E-3</v>
      </c>
      <c r="AD19" s="16">
        <v>2.0416382000000002E-3</v>
      </c>
      <c r="AE19" s="16">
        <v>2.9156999999999999E-6</v>
      </c>
      <c r="AF19" s="16">
        <v>0</v>
      </c>
      <c r="AG19" s="16">
        <v>0</v>
      </c>
      <c r="AH19" s="16">
        <v>0</v>
      </c>
      <c r="AI19" s="16">
        <v>1.2937E-6</v>
      </c>
      <c r="AJ19" s="16">
        <v>2.6370000000000001E-7</v>
      </c>
      <c r="AK19" s="16">
        <v>1.0300000000000001E-6</v>
      </c>
      <c r="AL19" s="16">
        <v>2.0041E-6</v>
      </c>
      <c r="AM19" s="16">
        <v>-1.0099999999999999E-8</v>
      </c>
      <c r="AN19" s="16">
        <v>7.075E-7</v>
      </c>
      <c r="AO19" s="16">
        <v>-1.0893999999999999E-6</v>
      </c>
      <c r="AP19" s="16">
        <v>0</v>
      </c>
      <c r="AQ19" s="16">
        <v>0</v>
      </c>
      <c r="AR19" s="16">
        <v>0</v>
      </c>
      <c r="AS19" s="16">
        <v>0</v>
      </c>
      <c r="AT19" s="16">
        <v>0</v>
      </c>
      <c r="AU19" s="16">
        <v>0</v>
      </c>
      <c r="AV19" s="16">
        <v>0</v>
      </c>
      <c r="AW19" s="16">
        <v>0</v>
      </c>
      <c r="AX19" s="16">
        <v>0</v>
      </c>
      <c r="AY19" s="16">
        <v>0</v>
      </c>
      <c r="AZ19" s="16">
        <v>0</v>
      </c>
      <c r="BA19" s="16">
        <v>0</v>
      </c>
      <c r="BB19" s="16">
        <v>0</v>
      </c>
      <c r="BC19" s="16">
        <v>0</v>
      </c>
      <c r="BD19" s="16">
        <v>0</v>
      </c>
      <c r="BE19" s="16">
        <v>0</v>
      </c>
      <c r="BF19" s="16">
        <v>0</v>
      </c>
      <c r="BG19" s="16">
        <v>0</v>
      </c>
      <c r="BH19" s="16">
        <v>0</v>
      </c>
      <c r="BI19" s="16">
        <v>0</v>
      </c>
      <c r="BJ19" s="16">
        <v>1.0865E-5</v>
      </c>
      <c r="BK19" s="16"/>
      <c r="BL19" s="16">
        <v>1648372</v>
      </c>
      <c r="BM19" s="61" t="s">
        <v>1285</v>
      </c>
    </row>
    <row r="20" spans="5:65" x14ac:dyDescent="0.25">
      <c r="E20" s="7">
        <f>COUNTIFS(tblBOneExport[ISIN],tblBOneExport[[#This Row],[ISIN]],tblBOneExport[LEVEL1],"Bonds")</f>
        <v>1</v>
      </c>
      <c r="F20">
        <v>4547</v>
      </c>
      <c r="G20" s="155">
        <v>42947</v>
      </c>
      <c r="H20" s="155">
        <v>42978</v>
      </c>
      <c r="I20" t="s">
        <v>1350</v>
      </c>
      <c r="J20">
        <v>1640800</v>
      </c>
      <c r="K20" s="18" t="s">
        <v>1351</v>
      </c>
      <c r="L20" t="s">
        <v>739</v>
      </c>
      <c r="M20" t="s">
        <v>733</v>
      </c>
      <c r="N20" t="s">
        <v>492</v>
      </c>
      <c r="O20" t="s">
        <v>372</v>
      </c>
      <c r="P20" t="s">
        <v>1276</v>
      </c>
      <c r="Q20" t="s">
        <v>1330</v>
      </c>
      <c r="R20" t="s">
        <v>1352</v>
      </c>
      <c r="S20" t="s">
        <v>1352</v>
      </c>
      <c r="T20" t="s">
        <v>1352</v>
      </c>
      <c r="U20" t="s">
        <v>1352</v>
      </c>
      <c r="V20" t="s">
        <v>1353</v>
      </c>
      <c r="W20" t="s">
        <v>493</v>
      </c>
      <c r="X20" t="s">
        <v>1282</v>
      </c>
      <c r="Y20" s="154">
        <v>42972</v>
      </c>
      <c r="Z20" s="154">
        <v>42972</v>
      </c>
      <c r="AA20" t="s">
        <v>1354</v>
      </c>
      <c r="AB20" t="s">
        <v>1355</v>
      </c>
      <c r="AC20">
        <v>6.3364759999999997E-4</v>
      </c>
      <c r="AD20" s="16">
        <v>6.4077209999999999E-4</v>
      </c>
      <c r="AE20" s="16">
        <v>4.9149999999999997E-7</v>
      </c>
      <c r="AF20" s="16">
        <v>0</v>
      </c>
      <c r="AG20" s="16">
        <v>0</v>
      </c>
      <c r="AH20" s="16">
        <v>0</v>
      </c>
      <c r="AI20" s="16">
        <v>1.2376E-6</v>
      </c>
      <c r="AJ20" s="16">
        <v>1.2459999999999999E-7</v>
      </c>
      <c r="AK20" s="16">
        <v>1.113E-6</v>
      </c>
      <c r="AL20" s="16">
        <v>6E-10</v>
      </c>
      <c r="AM20" s="16">
        <v>0</v>
      </c>
      <c r="AN20" s="16">
        <v>-7.5030000000000004E-7</v>
      </c>
      <c r="AO20" s="16">
        <v>-1.684E-7</v>
      </c>
      <c r="AP20" s="16">
        <v>0</v>
      </c>
      <c r="AQ20" s="16">
        <v>0</v>
      </c>
      <c r="AR20" s="16">
        <v>0</v>
      </c>
      <c r="AS20" s="16">
        <v>0</v>
      </c>
      <c r="AT20" s="16">
        <v>0</v>
      </c>
      <c r="AU20" s="16">
        <v>0</v>
      </c>
      <c r="AV20" s="16">
        <v>1.72E-7</v>
      </c>
      <c r="AW20" s="16">
        <v>1.72E-7</v>
      </c>
      <c r="AX20" s="16">
        <v>0</v>
      </c>
      <c r="AY20" s="16">
        <v>0</v>
      </c>
      <c r="AZ20" s="16">
        <v>0</v>
      </c>
      <c r="BA20" s="16">
        <v>0</v>
      </c>
      <c r="BB20" s="16">
        <v>0</v>
      </c>
      <c r="BC20" s="16">
        <v>0</v>
      </c>
      <c r="BD20" s="16">
        <v>0</v>
      </c>
      <c r="BE20" s="16">
        <v>0</v>
      </c>
      <c r="BF20" s="16">
        <v>0</v>
      </c>
      <c r="BG20" s="16">
        <v>0</v>
      </c>
      <c r="BH20" s="16">
        <v>0</v>
      </c>
      <c r="BI20" s="16">
        <v>0</v>
      </c>
      <c r="BJ20" s="16"/>
      <c r="BK20" s="16"/>
      <c r="BL20" s="16">
        <v>1640800</v>
      </c>
      <c r="BM20" s="61" t="s">
        <v>1285</v>
      </c>
    </row>
    <row r="21" spans="5:65" x14ac:dyDescent="0.25">
      <c r="E21" s="7">
        <f>COUNTIFS(tblBOneExport[ISIN],tblBOneExport[[#This Row],[ISIN]],tblBOneExport[LEVEL1],"Bonds")</f>
        <v>1</v>
      </c>
      <c r="F21">
        <v>4547</v>
      </c>
      <c r="G21" s="155">
        <v>42947</v>
      </c>
      <c r="H21" s="155">
        <v>42978</v>
      </c>
      <c r="I21" t="s">
        <v>1356</v>
      </c>
      <c r="J21">
        <v>1640762</v>
      </c>
      <c r="K21" s="18" t="s">
        <v>1357</v>
      </c>
      <c r="L21" t="s">
        <v>690</v>
      </c>
      <c r="M21" t="s">
        <v>691</v>
      </c>
      <c r="N21" t="s">
        <v>492</v>
      </c>
      <c r="O21" t="s">
        <v>372</v>
      </c>
      <c r="P21" t="s">
        <v>1276</v>
      </c>
      <c r="Q21" t="s">
        <v>1277</v>
      </c>
      <c r="R21" t="s">
        <v>1322</v>
      </c>
      <c r="S21" t="s">
        <v>1358</v>
      </c>
      <c r="T21" t="s">
        <v>1358</v>
      </c>
      <c r="U21" t="s">
        <v>1358</v>
      </c>
      <c r="V21" t="s">
        <v>1288</v>
      </c>
      <c r="W21" t="s">
        <v>493</v>
      </c>
      <c r="X21" t="s">
        <v>1282</v>
      </c>
      <c r="Y21" s="154">
        <v>45747</v>
      </c>
      <c r="Z21" s="154">
        <v>45747</v>
      </c>
      <c r="AA21" t="s">
        <v>1359</v>
      </c>
      <c r="AB21" t="s">
        <v>1360</v>
      </c>
      <c r="AC21">
        <v>1.7410638E-3</v>
      </c>
      <c r="AD21" s="16">
        <v>1.18791186E-2</v>
      </c>
      <c r="AE21" s="16">
        <v>2.0720299999999999E-5</v>
      </c>
      <c r="AF21" s="16">
        <v>0</v>
      </c>
      <c r="AG21" s="16">
        <v>0</v>
      </c>
      <c r="AH21" s="16">
        <v>0</v>
      </c>
      <c r="AI21" s="16">
        <v>2.7002E-6</v>
      </c>
      <c r="AJ21" s="16">
        <v>1.2021000000000001E-6</v>
      </c>
      <c r="AK21" s="16">
        <v>1.4980999999999999E-6</v>
      </c>
      <c r="AL21" s="16">
        <v>2.0115500000000001E-5</v>
      </c>
      <c r="AM21" s="16">
        <v>1.0656E-6</v>
      </c>
      <c r="AN21" s="16">
        <v>-2.6178000000000002E-6</v>
      </c>
      <c r="AO21" s="16">
        <v>5.2239999999999997E-7</v>
      </c>
      <c r="AP21" s="16">
        <v>0</v>
      </c>
      <c r="AQ21" s="16">
        <v>0</v>
      </c>
      <c r="AR21" s="16">
        <v>0</v>
      </c>
      <c r="AS21" s="16">
        <v>0</v>
      </c>
      <c r="AT21" s="16">
        <v>0</v>
      </c>
      <c r="AU21" s="16">
        <v>0</v>
      </c>
      <c r="AV21" s="16">
        <v>0</v>
      </c>
      <c r="AW21" s="16">
        <v>0</v>
      </c>
      <c r="AX21" s="16">
        <v>0</v>
      </c>
      <c r="AY21" s="16">
        <v>0</v>
      </c>
      <c r="AZ21" s="16">
        <v>0</v>
      </c>
      <c r="BA21" s="16">
        <v>0</v>
      </c>
      <c r="BB21" s="16">
        <v>0</v>
      </c>
      <c r="BC21" s="16">
        <v>0</v>
      </c>
      <c r="BD21" s="16">
        <v>0</v>
      </c>
      <c r="BE21" s="16">
        <v>0</v>
      </c>
      <c r="BF21" s="16">
        <v>0</v>
      </c>
      <c r="BG21" s="16">
        <v>0</v>
      </c>
      <c r="BH21" s="16">
        <v>0</v>
      </c>
      <c r="BI21" s="16">
        <v>0</v>
      </c>
      <c r="BJ21" s="16">
        <v>1.78049E-5</v>
      </c>
      <c r="BK21" s="16"/>
      <c r="BL21" s="16">
        <v>1640762</v>
      </c>
      <c r="BM21" s="61" t="s">
        <v>1285</v>
      </c>
    </row>
    <row r="22" spans="5:65" x14ac:dyDescent="0.25">
      <c r="E22" s="7">
        <f>COUNTIFS(tblBOneExport[ISIN],tblBOneExport[[#This Row],[ISIN]],tblBOneExport[LEVEL1],"Bonds")</f>
        <v>1</v>
      </c>
      <c r="F22">
        <v>4547</v>
      </c>
      <c r="G22" s="155">
        <v>42947</v>
      </c>
      <c r="H22" s="155">
        <v>42978</v>
      </c>
      <c r="I22" t="s">
        <v>1361</v>
      </c>
      <c r="J22">
        <v>1643238</v>
      </c>
      <c r="K22" s="18" t="s">
        <v>1362</v>
      </c>
      <c r="L22" t="s">
        <v>712</v>
      </c>
      <c r="M22" t="s">
        <v>713</v>
      </c>
      <c r="N22" t="s">
        <v>492</v>
      </c>
      <c r="O22" t="s">
        <v>372</v>
      </c>
      <c r="P22" t="s">
        <v>1276</v>
      </c>
      <c r="Q22" t="s">
        <v>1277</v>
      </c>
      <c r="R22" t="s">
        <v>1322</v>
      </c>
      <c r="S22" t="s">
        <v>1358</v>
      </c>
      <c r="T22" t="s">
        <v>1358</v>
      </c>
      <c r="U22" t="s">
        <v>1358</v>
      </c>
      <c r="V22" t="s">
        <v>1288</v>
      </c>
      <c r="W22" t="s">
        <v>493</v>
      </c>
      <c r="X22" t="s">
        <v>1282</v>
      </c>
      <c r="Y22" s="154">
        <v>46106</v>
      </c>
      <c r="Z22" s="154">
        <v>46106</v>
      </c>
      <c r="AA22" t="s">
        <v>1359</v>
      </c>
      <c r="AB22" t="s">
        <v>1360</v>
      </c>
      <c r="AC22">
        <v>9.1673048999999993E-3</v>
      </c>
      <c r="AD22" s="16">
        <v>1.3332695699999999E-2</v>
      </c>
      <c r="AE22" s="16">
        <v>1.22383E-4</v>
      </c>
      <c r="AF22" s="16">
        <v>0</v>
      </c>
      <c r="AG22" s="16">
        <v>0</v>
      </c>
      <c r="AH22" s="16">
        <v>0</v>
      </c>
      <c r="AI22" s="16">
        <v>1.5376999999999999E-5</v>
      </c>
      <c r="AJ22" s="16">
        <v>7.3015999999999997E-6</v>
      </c>
      <c r="AK22" s="16">
        <v>8.0754999999999992E-6</v>
      </c>
      <c r="AL22" s="16">
        <v>1.2006089999999999E-4</v>
      </c>
      <c r="AM22" s="16">
        <v>6.9269999999999999E-6</v>
      </c>
      <c r="AN22" s="16">
        <v>-1.6008500000000001E-5</v>
      </c>
      <c r="AO22" s="16">
        <v>2.9536E-6</v>
      </c>
      <c r="AP22" s="16">
        <v>0</v>
      </c>
      <c r="AQ22" s="16">
        <v>0</v>
      </c>
      <c r="AR22" s="16">
        <v>0</v>
      </c>
      <c r="AS22" s="16">
        <v>0</v>
      </c>
      <c r="AT22" s="16">
        <v>0</v>
      </c>
      <c r="AU22" s="16">
        <v>0</v>
      </c>
      <c r="AV22" s="16">
        <v>0</v>
      </c>
      <c r="AW22" s="16">
        <v>0</v>
      </c>
      <c r="AX22" s="16">
        <v>0</v>
      </c>
      <c r="AY22" s="16">
        <v>0</v>
      </c>
      <c r="AZ22" s="16">
        <v>0</v>
      </c>
      <c r="BA22" s="16">
        <v>0</v>
      </c>
      <c r="BB22" s="16">
        <v>0</v>
      </c>
      <c r="BC22" s="16">
        <v>0</v>
      </c>
      <c r="BD22" s="16">
        <v>0</v>
      </c>
      <c r="BE22" s="16">
        <v>0</v>
      </c>
      <c r="BF22" s="16">
        <v>0</v>
      </c>
      <c r="BG22" s="16">
        <v>0</v>
      </c>
      <c r="BH22" s="16">
        <v>0</v>
      </c>
      <c r="BI22" s="16">
        <v>0</v>
      </c>
      <c r="BJ22" s="16">
        <v>9.5560800000000002E-5</v>
      </c>
      <c r="BK22" s="16"/>
      <c r="BL22" s="16">
        <v>1643238</v>
      </c>
      <c r="BM22" s="61" t="s">
        <v>1285</v>
      </c>
    </row>
    <row r="23" spans="5:65" x14ac:dyDescent="0.25">
      <c r="E23" s="7">
        <f>COUNTIFS(tblBOneExport[ISIN],tblBOneExport[[#This Row],[ISIN]],tblBOneExport[LEVEL1],"Bonds")</f>
        <v>1</v>
      </c>
      <c r="F23">
        <v>4547</v>
      </c>
      <c r="G23" s="155">
        <v>42947</v>
      </c>
      <c r="H23" s="155">
        <v>42978</v>
      </c>
      <c r="I23" t="s">
        <v>1363</v>
      </c>
      <c r="J23">
        <v>2136171</v>
      </c>
      <c r="K23" s="18" t="s">
        <v>1364</v>
      </c>
      <c r="L23" t="s">
        <v>1050</v>
      </c>
      <c r="M23" t="s">
        <v>1051</v>
      </c>
      <c r="N23" t="s">
        <v>492</v>
      </c>
      <c r="O23" t="s">
        <v>372</v>
      </c>
      <c r="P23" t="s">
        <v>1276</v>
      </c>
      <c r="Q23" t="s">
        <v>1277</v>
      </c>
      <c r="R23" t="s">
        <v>1322</v>
      </c>
      <c r="S23" t="s">
        <v>1358</v>
      </c>
      <c r="T23" t="s">
        <v>1358</v>
      </c>
      <c r="U23" t="s">
        <v>1358</v>
      </c>
      <c r="V23" t="s">
        <v>1281</v>
      </c>
      <c r="W23" t="s">
        <v>493</v>
      </c>
      <c r="X23" t="s">
        <v>1282</v>
      </c>
      <c r="Y23" s="154">
        <v>44144</v>
      </c>
      <c r="Z23" s="154">
        <v>44144</v>
      </c>
      <c r="AA23" t="s">
        <v>1359</v>
      </c>
      <c r="AB23" t="s">
        <v>1360</v>
      </c>
      <c r="AC23">
        <v>1.6950363999999999E-3</v>
      </c>
      <c r="AD23" s="16">
        <v>3.9470774000000004E-3</v>
      </c>
      <c r="AE23" s="16">
        <v>6.7318999999999999E-6</v>
      </c>
      <c r="AF23" s="16">
        <v>0</v>
      </c>
      <c r="AG23" s="16">
        <v>0</v>
      </c>
      <c r="AH23" s="16">
        <v>0</v>
      </c>
      <c r="AI23" s="16">
        <v>1.4793E-6</v>
      </c>
      <c r="AJ23" s="16">
        <v>3.7520000000000002E-7</v>
      </c>
      <c r="AK23" s="16">
        <v>1.1040999999999999E-6</v>
      </c>
      <c r="AL23" s="16">
        <v>5.8190999999999999E-6</v>
      </c>
      <c r="AM23" s="16">
        <v>2.488E-7</v>
      </c>
      <c r="AN23" s="16">
        <v>-4.6950000000000002E-7</v>
      </c>
      <c r="AO23" s="16">
        <v>-9.6900000000000001E-8</v>
      </c>
      <c r="AP23" s="16">
        <v>0</v>
      </c>
      <c r="AQ23" s="16">
        <v>0</v>
      </c>
      <c r="AR23" s="16">
        <v>0</v>
      </c>
      <c r="AS23" s="16">
        <v>0</v>
      </c>
      <c r="AT23" s="16">
        <v>0</v>
      </c>
      <c r="AU23" s="16">
        <v>0</v>
      </c>
      <c r="AV23" s="16">
        <v>0</v>
      </c>
      <c r="AW23" s="16">
        <v>0</v>
      </c>
      <c r="AX23" s="16">
        <v>0</v>
      </c>
      <c r="AY23" s="16">
        <v>0</v>
      </c>
      <c r="AZ23" s="16">
        <v>0</v>
      </c>
      <c r="BA23" s="16">
        <v>0</v>
      </c>
      <c r="BB23" s="16">
        <v>0</v>
      </c>
      <c r="BC23" s="16">
        <v>0</v>
      </c>
      <c r="BD23" s="16">
        <v>0</v>
      </c>
      <c r="BE23" s="16">
        <v>0</v>
      </c>
      <c r="BF23" s="16">
        <v>0</v>
      </c>
      <c r="BG23" s="16">
        <v>0</v>
      </c>
      <c r="BH23" s="16">
        <v>0</v>
      </c>
      <c r="BI23" s="16">
        <v>0</v>
      </c>
      <c r="BJ23" s="16">
        <v>1.29171E-5</v>
      </c>
      <c r="BK23" s="16"/>
      <c r="BL23" s="16">
        <v>2136171</v>
      </c>
      <c r="BM23" s="61" t="s">
        <v>1285</v>
      </c>
    </row>
    <row r="24" spans="5:65" x14ac:dyDescent="0.25">
      <c r="E24" s="7">
        <f>COUNTIFS(tblBOneExport[ISIN],tblBOneExport[[#This Row],[ISIN]],tblBOneExport[LEVEL1],"Bonds")</f>
        <v>1</v>
      </c>
      <c r="F24">
        <v>4547</v>
      </c>
      <c r="G24" s="155">
        <v>42947</v>
      </c>
      <c r="H24" s="155">
        <v>42978</v>
      </c>
      <c r="I24" t="s">
        <v>1365</v>
      </c>
      <c r="J24">
        <v>1650118</v>
      </c>
      <c r="K24" s="18" t="s">
        <v>1366</v>
      </c>
      <c r="L24" t="s">
        <v>1013</v>
      </c>
      <c r="M24" t="s">
        <v>1011</v>
      </c>
      <c r="N24" t="s">
        <v>492</v>
      </c>
      <c r="O24" t="s">
        <v>372</v>
      </c>
      <c r="P24" t="s">
        <v>1276</v>
      </c>
      <c r="Q24" t="s">
        <v>1277</v>
      </c>
      <c r="R24" t="s">
        <v>1322</v>
      </c>
      <c r="S24" t="s">
        <v>1323</v>
      </c>
      <c r="T24" t="s">
        <v>1323</v>
      </c>
      <c r="U24" t="s">
        <v>1323</v>
      </c>
      <c r="V24" t="s">
        <v>1288</v>
      </c>
      <c r="W24" t="s">
        <v>493</v>
      </c>
      <c r="X24" t="s">
        <v>1282</v>
      </c>
      <c r="Y24" s="154">
        <v>44963</v>
      </c>
      <c r="Z24" s="154">
        <v>44963</v>
      </c>
      <c r="AA24" t="s">
        <v>1359</v>
      </c>
      <c r="AB24" t="s">
        <v>1360</v>
      </c>
      <c r="AC24">
        <v>1.0662848000000001E-3</v>
      </c>
      <c r="AD24" s="16">
        <v>7.4152523999999999E-3</v>
      </c>
      <c r="AE24" s="16">
        <v>7.9423000000000002E-6</v>
      </c>
      <c r="AF24" s="16">
        <v>0</v>
      </c>
      <c r="AG24" s="16">
        <v>0</v>
      </c>
      <c r="AH24" s="16">
        <v>0</v>
      </c>
      <c r="AI24" s="16">
        <v>1.3844E-6</v>
      </c>
      <c r="AJ24" s="16">
        <v>5.031E-7</v>
      </c>
      <c r="AK24" s="16">
        <v>8.8130000000000004E-7</v>
      </c>
      <c r="AL24" s="16">
        <v>7.4030000000000001E-6</v>
      </c>
      <c r="AM24" s="16">
        <v>5.3389999999999998E-7</v>
      </c>
      <c r="AN24" s="16">
        <v>-6.7599999999999997E-7</v>
      </c>
      <c r="AO24" s="16">
        <v>-1.6899999999999999E-7</v>
      </c>
      <c r="AP24" s="16">
        <v>0</v>
      </c>
      <c r="AQ24" s="16">
        <v>0</v>
      </c>
      <c r="AR24" s="16">
        <v>0</v>
      </c>
      <c r="AS24" s="16">
        <v>0</v>
      </c>
      <c r="AT24" s="16">
        <v>0</v>
      </c>
      <c r="AU24" s="16">
        <v>0</v>
      </c>
      <c r="AV24" s="16">
        <v>0</v>
      </c>
      <c r="AW24" s="16">
        <v>0</v>
      </c>
      <c r="AX24" s="16">
        <v>0</v>
      </c>
      <c r="AY24" s="16">
        <v>0</v>
      </c>
      <c r="AZ24" s="16">
        <v>0</v>
      </c>
      <c r="BA24" s="16">
        <v>0</v>
      </c>
      <c r="BB24" s="16">
        <v>0</v>
      </c>
      <c r="BC24" s="16">
        <v>0</v>
      </c>
      <c r="BD24" s="16">
        <v>0</v>
      </c>
      <c r="BE24" s="16">
        <v>0</v>
      </c>
      <c r="BF24" s="16">
        <v>0</v>
      </c>
      <c r="BG24" s="16">
        <v>0</v>
      </c>
      <c r="BH24" s="16">
        <v>0</v>
      </c>
      <c r="BI24" s="16">
        <v>0</v>
      </c>
      <c r="BJ24" s="16">
        <v>1.03473E-5</v>
      </c>
      <c r="BK24" s="16"/>
      <c r="BL24" s="16">
        <v>1650118</v>
      </c>
      <c r="BM24" s="61" t="s">
        <v>1285</v>
      </c>
    </row>
    <row r="25" spans="5:65" x14ac:dyDescent="0.25">
      <c r="E25" s="7">
        <f>COUNTIFS(tblBOneExport[ISIN],tblBOneExport[[#This Row],[ISIN]],tblBOneExport[LEVEL1],"Bonds")</f>
        <v>1</v>
      </c>
      <c r="F25">
        <v>4547</v>
      </c>
      <c r="G25" s="155">
        <v>42947</v>
      </c>
      <c r="H25" s="155">
        <v>42978</v>
      </c>
      <c r="I25" t="s">
        <v>1367</v>
      </c>
      <c r="J25">
        <v>1652015</v>
      </c>
      <c r="K25" s="18" t="s">
        <v>1368</v>
      </c>
      <c r="L25" t="s">
        <v>732</v>
      </c>
      <c r="M25" t="s">
        <v>733</v>
      </c>
      <c r="N25" t="s">
        <v>492</v>
      </c>
      <c r="O25" t="s">
        <v>372</v>
      </c>
      <c r="P25" t="s">
        <v>1276</v>
      </c>
      <c r="Q25" t="s">
        <v>1330</v>
      </c>
      <c r="R25" t="s">
        <v>1352</v>
      </c>
      <c r="S25" t="s">
        <v>1352</v>
      </c>
      <c r="T25" t="s">
        <v>1352</v>
      </c>
      <c r="U25" t="s">
        <v>1352</v>
      </c>
      <c r="V25" t="s">
        <v>1353</v>
      </c>
      <c r="W25" t="s">
        <v>493</v>
      </c>
      <c r="X25" t="s">
        <v>1282</v>
      </c>
      <c r="Y25" s="154">
        <v>47094</v>
      </c>
      <c r="Z25" s="154">
        <v>47094</v>
      </c>
      <c r="AA25" t="s">
        <v>1369</v>
      </c>
      <c r="AB25" t="s">
        <v>1370</v>
      </c>
      <c r="AC25">
        <v>4.6949805000000002E-3</v>
      </c>
      <c r="AD25" s="16">
        <v>1.80990332E-2</v>
      </c>
      <c r="AE25" s="16">
        <v>8.4773300000000004E-5</v>
      </c>
      <c r="AF25" s="16">
        <v>0</v>
      </c>
      <c r="AG25" s="16">
        <v>0</v>
      </c>
      <c r="AH25" s="16">
        <v>0</v>
      </c>
      <c r="AI25" s="16">
        <v>6.0831999999999996E-6</v>
      </c>
      <c r="AJ25" s="16">
        <v>5.0529000000000004E-6</v>
      </c>
      <c r="AK25" s="16">
        <v>1.0302999999999999E-6</v>
      </c>
      <c r="AL25" s="16">
        <v>8.26548E-5</v>
      </c>
      <c r="AM25" s="16">
        <v>4.4532E-6</v>
      </c>
      <c r="AN25" s="16">
        <v>-4.1470000000000003E-6</v>
      </c>
      <c r="AO25" s="16">
        <v>1.8230000000000001E-7</v>
      </c>
      <c r="AP25" s="16">
        <v>0</v>
      </c>
      <c r="AQ25" s="16">
        <v>0</v>
      </c>
      <c r="AR25" s="16">
        <v>0</v>
      </c>
      <c r="AS25" s="16">
        <v>0</v>
      </c>
      <c r="AT25" s="16">
        <v>0</v>
      </c>
      <c r="AU25" s="16">
        <v>0</v>
      </c>
      <c r="AV25" s="16">
        <v>0</v>
      </c>
      <c r="AW25" s="16">
        <v>0</v>
      </c>
      <c r="AX25" s="16">
        <v>0</v>
      </c>
      <c r="AY25" s="16">
        <v>0</v>
      </c>
      <c r="AZ25" s="16">
        <v>0</v>
      </c>
      <c r="BA25" s="16">
        <v>0</v>
      </c>
      <c r="BB25" s="16">
        <v>0</v>
      </c>
      <c r="BC25" s="16">
        <v>0</v>
      </c>
      <c r="BD25" s="16">
        <v>0</v>
      </c>
      <c r="BE25" s="16">
        <v>0</v>
      </c>
      <c r="BF25" s="16">
        <v>0</v>
      </c>
      <c r="BG25" s="16">
        <v>0</v>
      </c>
      <c r="BH25" s="16">
        <v>0</v>
      </c>
      <c r="BI25" s="16">
        <v>0</v>
      </c>
      <c r="BJ25" s="16">
        <v>1.25577E-5</v>
      </c>
      <c r="BK25" s="16"/>
      <c r="BL25" s="16">
        <v>1652015</v>
      </c>
      <c r="BM25" s="61" t="s">
        <v>1285</v>
      </c>
    </row>
    <row r="26" spans="5:65" x14ac:dyDescent="0.25">
      <c r="E26" s="7">
        <f>COUNTIFS(tblBOneExport[ISIN],tblBOneExport[[#This Row],[ISIN]],tblBOneExport[LEVEL1],"Bonds")</f>
        <v>1</v>
      </c>
      <c r="F26">
        <v>4547</v>
      </c>
      <c r="G26" s="155">
        <v>42947</v>
      </c>
      <c r="H26" s="155">
        <v>42978</v>
      </c>
      <c r="I26" t="s">
        <v>1371</v>
      </c>
      <c r="J26">
        <v>1710701</v>
      </c>
      <c r="K26" s="18" t="s">
        <v>1372</v>
      </c>
      <c r="L26" t="s">
        <v>843</v>
      </c>
      <c r="M26" t="s">
        <v>844</v>
      </c>
      <c r="N26" t="s">
        <v>492</v>
      </c>
      <c r="O26" t="s">
        <v>372</v>
      </c>
      <c r="P26" t="s">
        <v>1276</v>
      </c>
      <c r="Q26" t="s">
        <v>1277</v>
      </c>
      <c r="R26" t="s">
        <v>1322</v>
      </c>
      <c r="S26" t="s">
        <v>1358</v>
      </c>
      <c r="T26" t="s">
        <v>1358</v>
      </c>
      <c r="U26" t="s">
        <v>1358</v>
      </c>
      <c r="V26" t="s">
        <v>1315</v>
      </c>
      <c r="W26" t="s">
        <v>493</v>
      </c>
      <c r="X26" t="s">
        <v>1282</v>
      </c>
      <c r="Y26" s="154">
        <v>45075</v>
      </c>
      <c r="Z26" s="154">
        <v>45075</v>
      </c>
      <c r="AA26" t="s">
        <v>1359</v>
      </c>
      <c r="AB26" t="s">
        <v>1360</v>
      </c>
      <c r="AC26">
        <v>7.4825619999999995E-4</v>
      </c>
      <c r="AD26" s="16">
        <v>9.6926189999999995E-3</v>
      </c>
      <c r="AE26" s="16">
        <v>7.2743E-6</v>
      </c>
      <c r="AF26" s="16">
        <v>0</v>
      </c>
      <c r="AG26" s="16">
        <v>0</v>
      </c>
      <c r="AH26" s="16">
        <v>0</v>
      </c>
      <c r="AI26" s="16">
        <v>1.0695000000000001E-6</v>
      </c>
      <c r="AJ26" s="16">
        <v>3.77E-7</v>
      </c>
      <c r="AK26" s="16">
        <v>6.9250000000000004E-7</v>
      </c>
      <c r="AL26" s="16">
        <v>5.2554999999999999E-6</v>
      </c>
      <c r="AM26" s="16">
        <v>3.995E-7</v>
      </c>
      <c r="AN26" s="16">
        <v>6.4939999999999998E-7</v>
      </c>
      <c r="AO26" s="16">
        <v>2.9999999999999999E-7</v>
      </c>
      <c r="AP26" s="16">
        <v>0</v>
      </c>
      <c r="AQ26" s="16">
        <v>0</v>
      </c>
      <c r="AR26" s="16">
        <v>0</v>
      </c>
      <c r="AS26" s="16">
        <v>0</v>
      </c>
      <c r="AT26" s="16">
        <v>0</v>
      </c>
      <c r="AU26" s="16">
        <v>0</v>
      </c>
      <c r="AV26" s="16">
        <v>0</v>
      </c>
      <c r="AW26" s="16">
        <v>0</v>
      </c>
      <c r="AX26" s="16">
        <v>0</v>
      </c>
      <c r="AY26" s="16">
        <v>0</v>
      </c>
      <c r="AZ26" s="16">
        <v>0</v>
      </c>
      <c r="BA26" s="16">
        <v>0</v>
      </c>
      <c r="BB26" s="16">
        <v>0</v>
      </c>
      <c r="BC26" s="16">
        <v>0</v>
      </c>
      <c r="BD26" s="16">
        <v>0</v>
      </c>
      <c r="BE26" s="16">
        <v>0</v>
      </c>
      <c r="BF26" s="16">
        <v>0</v>
      </c>
      <c r="BG26" s="16">
        <v>0</v>
      </c>
      <c r="BH26" s="16">
        <v>0</v>
      </c>
      <c r="BI26" s="16">
        <v>0</v>
      </c>
      <c r="BJ26" s="16">
        <v>7.9843999999999993E-6</v>
      </c>
      <c r="BK26" s="16"/>
      <c r="BL26" s="16">
        <v>1710701</v>
      </c>
      <c r="BM26" s="61" t="s">
        <v>1285</v>
      </c>
    </row>
    <row r="27" spans="5:65" x14ac:dyDescent="0.25">
      <c r="E27" s="7">
        <f>COUNTIFS(tblBOneExport[ISIN],tblBOneExport[[#This Row],[ISIN]],tblBOneExport[LEVEL1],"Bonds")</f>
        <v>1</v>
      </c>
      <c r="F27">
        <v>4547</v>
      </c>
      <c r="G27" s="155">
        <v>42947</v>
      </c>
      <c r="H27" s="155">
        <v>42978</v>
      </c>
      <c r="I27" t="s">
        <v>1373</v>
      </c>
      <c r="J27">
        <v>1643527</v>
      </c>
      <c r="K27" s="18" t="s">
        <v>1374</v>
      </c>
      <c r="L27" t="s">
        <v>531</v>
      </c>
      <c r="M27" t="s">
        <v>532</v>
      </c>
      <c r="N27" t="s">
        <v>492</v>
      </c>
      <c r="O27" t="s">
        <v>372</v>
      </c>
      <c r="P27" t="s">
        <v>1276</v>
      </c>
      <c r="Q27" t="s">
        <v>1277</v>
      </c>
      <c r="R27" t="s">
        <v>1322</v>
      </c>
      <c r="S27" t="s">
        <v>1323</v>
      </c>
      <c r="T27" t="s">
        <v>1323</v>
      </c>
      <c r="U27" t="s">
        <v>1323</v>
      </c>
      <c r="V27" t="s">
        <v>1332</v>
      </c>
      <c r="W27" t="s">
        <v>493</v>
      </c>
      <c r="X27" t="s">
        <v>1282</v>
      </c>
      <c r="Y27" s="154">
        <v>45159</v>
      </c>
      <c r="Z27" s="154">
        <v>45159</v>
      </c>
      <c r="AA27" t="s">
        <v>1359</v>
      </c>
      <c r="AB27" t="s">
        <v>1360</v>
      </c>
      <c r="AC27">
        <v>2.6141298E-3</v>
      </c>
      <c r="AD27" s="16">
        <v>8.8220083999999994E-3</v>
      </c>
      <c r="AE27" s="16">
        <v>2.3209200000000001E-5</v>
      </c>
      <c r="AF27" s="16">
        <v>0</v>
      </c>
      <c r="AG27" s="16">
        <v>0</v>
      </c>
      <c r="AH27" s="16">
        <v>0</v>
      </c>
      <c r="AI27" s="16">
        <v>3.0734999999999999E-6</v>
      </c>
      <c r="AJ27" s="16">
        <v>1.3885999999999999E-6</v>
      </c>
      <c r="AK27" s="16">
        <v>1.685E-6</v>
      </c>
      <c r="AL27" s="16">
        <v>1.78701E-5</v>
      </c>
      <c r="AM27" s="16">
        <v>1.3939999999999999E-6</v>
      </c>
      <c r="AN27" s="16">
        <v>2.6861E-6</v>
      </c>
      <c r="AO27" s="16">
        <v>-4.2049999999999999E-7</v>
      </c>
      <c r="AP27" s="16">
        <v>0</v>
      </c>
      <c r="AQ27" s="16">
        <v>0</v>
      </c>
      <c r="AR27" s="16">
        <v>0</v>
      </c>
      <c r="AS27" s="16">
        <v>0</v>
      </c>
      <c r="AT27" s="16">
        <v>0</v>
      </c>
      <c r="AU27" s="16">
        <v>0</v>
      </c>
      <c r="AV27" s="16">
        <v>0</v>
      </c>
      <c r="AW27" s="16">
        <v>0</v>
      </c>
      <c r="AX27" s="16">
        <v>0</v>
      </c>
      <c r="AY27" s="16">
        <v>0</v>
      </c>
      <c r="AZ27" s="16">
        <v>0</v>
      </c>
      <c r="BA27" s="16">
        <v>0</v>
      </c>
      <c r="BB27" s="16">
        <v>0</v>
      </c>
      <c r="BC27" s="16">
        <v>0</v>
      </c>
      <c r="BD27" s="16">
        <v>0</v>
      </c>
      <c r="BE27" s="16">
        <v>0</v>
      </c>
      <c r="BF27" s="16">
        <v>0</v>
      </c>
      <c r="BG27" s="16">
        <v>0</v>
      </c>
      <c r="BH27" s="16">
        <v>0</v>
      </c>
      <c r="BI27" s="16">
        <v>0</v>
      </c>
      <c r="BJ27" s="16">
        <v>1.84572E-5</v>
      </c>
      <c r="BK27" s="16"/>
      <c r="BL27" s="16">
        <v>1643527</v>
      </c>
      <c r="BM27" s="61" t="s">
        <v>1285</v>
      </c>
    </row>
    <row r="28" spans="5:65" x14ac:dyDescent="0.25">
      <c r="E28" s="7">
        <f>COUNTIFS(tblBOneExport[ISIN],tblBOneExport[[#This Row],[ISIN]],tblBOneExport[LEVEL1],"Bonds")</f>
        <v>1</v>
      </c>
      <c r="F28">
        <v>4547</v>
      </c>
      <c r="G28" s="155">
        <v>42947</v>
      </c>
      <c r="H28" s="155">
        <v>42978</v>
      </c>
      <c r="I28" t="s">
        <v>1375</v>
      </c>
      <c r="J28">
        <v>1652638</v>
      </c>
      <c r="K28" s="18" t="s">
        <v>1376</v>
      </c>
      <c r="L28" t="s">
        <v>728</v>
      </c>
      <c r="M28" t="s">
        <v>729</v>
      </c>
      <c r="N28" t="s">
        <v>492</v>
      </c>
      <c r="O28" t="s">
        <v>372</v>
      </c>
      <c r="P28" t="s">
        <v>1276</v>
      </c>
      <c r="Q28" t="s">
        <v>1330</v>
      </c>
      <c r="R28" t="s">
        <v>1352</v>
      </c>
      <c r="S28" t="s">
        <v>1352</v>
      </c>
      <c r="T28" t="s">
        <v>1352</v>
      </c>
      <c r="U28" t="s">
        <v>1352</v>
      </c>
      <c r="V28" t="s">
        <v>1353</v>
      </c>
      <c r="W28" t="s">
        <v>493</v>
      </c>
      <c r="X28" t="s">
        <v>1282</v>
      </c>
      <c r="Y28" s="154">
        <v>47094</v>
      </c>
      <c r="Z28" s="154">
        <v>47094</v>
      </c>
      <c r="AA28" t="s">
        <v>1354</v>
      </c>
      <c r="AB28" t="s">
        <v>1355</v>
      </c>
      <c r="AC28">
        <v>1.6866546000000001E-3</v>
      </c>
      <c r="AD28" s="16">
        <v>1.7755025099999999E-2</v>
      </c>
      <c r="AE28" s="16">
        <v>2.98805E-5</v>
      </c>
      <c r="AF28" s="16">
        <v>0</v>
      </c>
      <c r="AG28" s="16">
        <v>0</v>
      </c>
      <c r="AH28" s="16">
        <v>0</v>
      </c>
      <c r="AI28" s="16">
        <v>2.2543000000000002E-6</v>
      </c>
      <c r="AJ28" s="16">
        <v>1.8142999999999999E-6</v>
      </c>
      <c r="AK28" s="16">
        <v>4.4000000000000002E-7</v>
      </c>
      <c r="AL28" s="16">
        <v>3.0009300000000001E-5</v>
      </c>
      <c r="AM28" s="16">
        <v>1.6140999999999999E-6</v>
      </c>
      <c r="AN28" s="16">
        <v>1.1969999999999999E-6</v>
      </c>
      <c r="AO28" s="16">
        <v>-3.5802E-6</v>
      </c>
      <c r="AP28" s="16">
        <v>0</v>
      </c>
      <c r="AQ28" s="16">
        <v>0</v>
      </c>
      <c r="AR28" s="16">
        <v>0</v>
      </c>
      <c r="AS28" s="16">
        <v>0</v>
      </c>
      <c r="AT28" s="16">
        <v>0</v>
      </c>
      <c r="AU28" s="16">
        <v>0</v>
      </c>
      <c r="AV28" s="16">
        <v>0</v>
      </c>
      <c r="AW28" s="16">
        <v>0</v>
      </c>
      <c r="AX28" s="16">
        <v>0</v>
      </c>
      <c r="AY28" s="16">
        <v>0</v>
      </c>
      <c r="AZ28" s="16">
        <v>0</v>
      </c>
      <c r="BA28" s="16">
        <v>0</v>
      </c>
      <c r="BB28" s="16">
        <v>0</v>
      </c>
      <c r="BC28" s="16">
        <v>0</v>
      </c>
      <c r="BD28" s="16">
        <v>0</v>
      </c>
      <c r="BE28" s="16">
        <v>0</v>
      </c>
      <c r="BF28" s="16">
        <v>0</v>
      </c>
      <c r="BG28" s="16">
        <v>0</v>
      </c>
      <c r="BH28" s="16">
        <v>0</v>
      </c>
      <c r="BI28" s="16">
        <v>0</v>
      </c>
      <c r="BJ28" s="16">
        <v>4.8928E-6</v>
      </c>
      <c r="BK28" s="16"/>
      <c r="BL28" s="16">
        <v>1652638</v>
      </c>
      <c r="BM28" s="61" t="s">
        <v>1285</v>
      </c>
    </row>
    <row r="29" spans="5:65" x14ac:dyDescent="0.25">
      <c r="E29" s="7">
        <f>COUNTIFS(tblBOneExport[ISIN],tblBOneExport[[#This Row],[ISIN]],tblBOneExport[LEVEL1],"Bonds")</f>
        <v>1</v>
      </c>
      <c r="F29">
        <v>4547</v>
      </c>
      <c r="G29" s="155">
        <v>42947</v>
      </c>
      <c r="H29" s="155">
        <v>42978</v>
      </c>
      <c r="I29" t="s">
        <v>1377</v>
      </c>
      <c r="J29">
        <v>1652643</v>
      </c>
      <c r="K29" s="18" t="s">
        <v>1378</v>
      </c>
      <c r="L29" t="s">
        <v>1167</v>
      </c>
      <c r="M29" t="s">
        <v>1165</v>
      </c>
      <c r="N29" t="s">
        <v>492</v>
      </c>
      <c r="O29" t="s">
        <v>372</v>
      </c>
      <c r="P29" t="s">
        <v>1276</v>
      </c>
      <c r="Q29" t="s">
        <v>1277</v>
      </c>
      <c r="R29" t="s">
        <v>1322</v>
      </c>
      <c r="S29" t="s">
        <v>1323</v>
      </c>
      <c r="T29" t="s">
        <v>1323</v>
      </c>
      <c r="U29" t="s">
        <v>1323</v>
      </c>
      <c r="V29" t="s">
        <v>1288</v>
      </c>
      <c r="W29" t="s">
        <v>493</v>
      </c>
      <c r="X29" t="s">
        <v>1282</v>
      </c>
      <c r="Y29" s="154">
        <v>47073</v>
      </c>
      <c r="Z29" s="154">
        <v>47073</v>
      </c>
      <c r="AA29" t="s">
        <v>1359</v>
      </c>
      <c r="AB29" t="s">
        <v>1360</v>
      </c>
      <c r="AC29">
        <v>8.6423469999999999E-4</v>
      </c>
      <c r="AD29" s="16">
        <v>1.17393798E-2</v>
      </c>
      <c r="AE29" s="16">
        <v>1.01713E-5</v>
      </c>
      <c r="AF29" s="16">
        <v>0</v>
      </c>
      <c r="AG29" s="16">
        <v>0</v>
      </c>
      <c r="AH29" s="16">
        <v>0</v>
      </c>
      <c r="AI29" s="16">
        <v>1.6614000000000001E-6</v>
      </c>
      <c r="AJ29" s="16">
        <v>9.1800000000000004E-7</v>
      </c>
      <c r="AK29" s="16">
        <v>7.4340000000000005E-7</v>
      </c>
      <c r="AL29" s="16">
        <v>1.45948E-5</v>
      </c>
      <c r="AM29" s="16">
        <v>7.836E-7</v>
      </c>
      <c r="AN29" s="16">
        <v>-5.631E-6</v>
      </c>
      <c r="AO29" s="16">
        <v>-4.5390000000000001E-7</v>
      </c>
      <c r="AP29" s="16">
        <v>0</v>
      </c>
      <c r="AQ29" s="16">
        <v>0</v>
      </c>
      <c r="AR29" s="16">
        <v>0</v>
      </c>
      <c r="AS29" s="16">
        <v>0</v>
      </c>
      <c r="AT29" s="16">
        <v>0</v>
      </c>
      <c r="AU29" s="16">
        <v>0</v>
      </c>
      <c r="AV29" s="16">
        <v>0</v>
      </c>
      <c r="AW29" s="16">
        <v>0</v>
      </c>
      <c r="AX29" s="16">
        <v>0</v>
      </c>
      <c r="AY29" s="16">
        <v>0</v>
      </c>
      <c r="AZ29" s="16">
        <v>0</v>
      </c>
      <c r="BA29" s="16">
        <v>0</v>
      </c>
      <c r="BB29" s="16">
        <v>0</v>
      </c>
      <c r="BC29" s="16">
        <v>0</v>
      </c>
      <c r="BD29" s="16">
        <v>0</v>
      </c>
      <c r="BE29" s="16">
        <v>0</v>
      </c>
      <c r="BF29" s="16">
        <v>0</v>
      </c>
      <c r="BG29" s="16">
        <v>0</v>
      </c>
      <c r="BH29" s="16">
        <v>0</v>
      </c>
      <c r="BI29" s="16">
        <v>0</v>
      </c>
      <c r="BJ29" s="16">
        <v>9.0182999999999997E-6</v>
      </c>
      <c r="BK29" s="16"/>
      <c r="BL29" s="16">
        <v>1652643</v>
      </c>
      <c r="BM29" s="61" t="s">
        <v>1285</v>
      </c>
    </row>
    <row r="30" spans="5:65" x14ac:dyDescent="0.25">
      <c r="E30" s="7">
        <f>COUNTIFS(tblBOneExport[ISIN],tblBOneExport[[#This Row],[ISIN]],tblBOneExport[LEVEL1],"Bonds")</f>
        <v>1</v>
      </c>
      <c r="F30">
        <v>4547</v>
      </c>
      <c r="G30" s="155">
        <v>42947</v>
      </c>
      <c r="H30" s="155">
        <v>42978</v>
      </c>
      <c r="I30" t="s">
        <v>1379</v>
      </c>
      <c r="J30">
        <v>1652887</v>
      </c>
      <c r="K30" s="18" t="s">
        <v>1380</v>
      </c>
      <c r="L30" t="s">
        <v>783</v>
      </c>
      <c r="M30" t="s">
        <v>781</v>
      </c>
      <c r="N30" t="s">
        <v>492</v>
      </c>
      <c r="O30" t="s">
        <v>372</v>
      </c>
      <c r="P30" t="s">
        <v>1276</v>
      </c>
      <c r="Q30" t="s">
        <v>1277</v>
      </c>
      <c r="R30" t="s">
        <v>1300</v>
      </c>
      <c r="S30" t="s">
        <v>1381</v>
      </c>
      <c r="T30" t="s">
        <v>1382</v>
      </c>
      <c r="U30" t="s">
        <v>1383</v>
      </c>
      <c r="V30" t="s">
        <v>1293</v>
      </c>
      <c r="W30" t="s">
        <v>493</v>
      </c>
      <c r="X30" t="s">
        <v>1282</v>
      </c>
      <c r="Y30" s="154">
        <v>44354</v>
      </c>
      <c r="Z30" s="154">
        <v>44354</v>
      </c>
      <c r="AA30" t="s">
        <v>1308</v>
      </c>
      <c r="AB30" t="s">
        <v>1309</v>
      </c>
      <c r="AC30">
        <v>5.6469236000000001E-3</v>
      </c>
      <c r="AD30" s="16">
        <v>4.6644238000000003E-3</v>
      </c>
      <c r="AE30" s="16">
        <v>2.6508599999999999E-5</v>
      </c>
      <c r="AF30" s="16">
        <v>0</v>
      </c>
      <c r="AG30" s="16">
        <v>0</v>
      </c>
      <c r="AH30" s="16">
        <v>0</v>
      </c>
      <c r="AI30" s="16">
        <v>4.7620000000000003E-6</v>
      </c>
      <c r="AJ30" s="16">
        <v>1.4196999999999999E-6</v>
      </c>
      <c r="AK30" s="16">
        <v>3.3423000000000002E-6</v>
      </c>
      <c r="AL30" s="16">
        <v>2.55388E-5</v>
      </c>
      <c r="AM30" s="16">
        <v>1.0391999999999999E-6</v>
      </c>
      <c r="AN30" s="16">
        <v>-3.4638000000000002E-6</v>
      </c>
      <c r="AO30" s="16">
        <v>-3.2850000000000001E-7</v>
      </c>
      <c r="AP30" s="16">
        <v>0</v>
      </c>
      <c r="AQ30" s="16">
        <v>0</v>
      </c>
      <c r="AR30" s="16">
        <v>0</v>
      </c>
      <c r="AS30" s="16">
        <v>0</v>
      </c>
      <c r="AT30" s="16">
        <v>0</v>
      </c>
      <c r="AU30" s="16">
        <v>0</v>
      </c>
      <c r="AV30" s="16">
        <v>0</v>
      </c>
      <c r="AW30" s="16">
        <v>0</v>
      </c>
      <c r="AX30" s="16">
        <v>0</v>
      </c>
      <c r="AY30" s="16">
        <v>0</v>
      </c>
      <c r="AZ30" s="16">
        <v>0</v>
      </c>
      <c r="BA30" s="16">
        <v>0</v>
      </c>
      <c r="BB30" s="16">
        <v>0</v>
      </c>
      <c r="BC30" s="16">
        <v>0</v>
      </c>
      <c r="BD30" s="16">
        <v>0</v>
      </c>
      <c r="BE30" s="16">
        <v>0</v>
      </c>
      <c r="BF30" s="16">
        <v>0</v>
      </c>
      <c r="BG30" s="16">
        <v>0</v>
      </c>
      <c r="BH30" s="16">
        <v>0</v>
      </c>
      <c r="BI30" s="16">
        <v>0</v>
      </c>
      <c r="BJ30" s="16">
        <v>3.9782900000000002E-5</v>
      </c>
      <c r="BK30" s="16"/>
      <c r="BL30" s="16">
        <v>1652887</v>
      </c>
      <c r="BM30" s="61" t="s">
        <v>1285</v>
      </c>
    </row>
    <row r="31" spans="5:65" x14ac:dyDescent="0.25">
      <c r="E31" s="7">
        <f>COUNTIFS(tblBOneExport[ISIN],tblBOneExport[[#This Row],[ISIN]],tblBOneExport[LEVEL1],"Bonds")</f>
        <v>1</v>
      </c>
      <c r="F31">
        <v>4547</v>
      </c>
      <c r="G31" s="155">
        <v>42947</v>
      </c>
      <c r="H31" s="155">
        <v>42978</v>
      </c>
      <c r="I31" t="s">
        <v>1384</v>
      </c>
      <c r="J31">
        <v>1643380</v>
      </c>
      <c r="K31" s="18" t="s">
        <v>1385</v>
      </c>
      <c r="L31" t="s">
        <v>562</v>
      </c>
      <c r="M31" t="s">
        <v>563</v>
      </c>
      <c r="N31" t="s">
        <v>492</v>
      </c>
      <c r="O31" t="s">
        <v>372</v>
      </c>
      <c r="P31" t="s">
        <v>1276</v>
      </c>
      <c r="Q31" t="s">
        <v>1330</v>
      </c>
      <c r="R31" t="s">
        <v>1331</v>
      </c>
      <c r="S31" t="s">
        <v>1331</v>
      </c>
      <c r="T31" t="s">
        <v>1331</v>
      </c>
      <c r="U31" t="s">
        <v>1331</v>
      </c>
      <c r="V31" t="s">
        <v>1353</v>
      </c>
      <c r="W31" t="s">
        <v>493</v>
      </c>
      <c r="X31" t="s">
        <v>1282</v>
      </c>
      <c r="Y31" s="154">
        <v>44354</v>
      </c>
      <c r="Z31" s="154">
        <v>44354</v>
      </c>
      <c r="AA31" t="s">
        <v>1294</v>
      </c>
      <c r="AB31" t="s">
        <v>1295</v>
      </c>
      <c r="AC31">
        <v>1.3685167E-3</v>
      </c>
      <c r="AD31" s="16">
        <v>4.9649014999999996E-3</v>
      </c>
      <c r="AE31" s="16">
        <v>6.8356999999999996E-6</v>
      </c>
      <c r="AF31" s="16">
        <v>0</v>
      </c>
      <c r="AG31" s="16">
        <v>0</v>
      </c>
      <c r="AH31" s="16">
        <v>0</v>
      </c>
      <c r="AI31" s="16">
        <v>8.7670000000000001E-7</v>
      </c>
      <c r="AJ31" s="16">
        <v>3.4490000000000002E-7</v>
      </c>
      <c r="AK31" s="16">
        <v>5.3180000000000004E-7</v>
      </c>
      <c r="AL31" s="16">
        <v>6.2110000000000003E-6</v>
      </c>
      <c r="AM31" s="16">
        <v>2.5289999999999999E-7</v>
      </c>
      <c r="AN31" s="16">
        <v>-1.2279999999999999E-7</v>
      </c>
      <c r="AO31" s="16">
        <v>-1.2910000000000001E-7</v>
      </c>
      <c r="AP31" s="16">
        <v>0</v>
      </c>
      <c r="AQ31" s="16">
        <v>0</v>
      </c>
      <c r="AR31" s="16">
        <v>0</v>
      </c>
      <c r="AS31" s="16">
        <v>0</v>
      </c>
      <c r="AT31" s="16">
        <v>0</v>
      </c>
      <c r="AU31" s="16">
        <v>0</v>
      </c>
      <c r="AV31" s="16">
        <v>0</v>
      </c>
      <c r="AW31" s="16">
        <v>0</v>
      </c>
      <c r="AX31" s="16">
        <v>0</v>
      </c>
      <c r="AY31" s="16">
        <v>0</v>
      </c>
      <c r="AZ31" s="16">
        <v>0</v>
      </c>
      <c r="BA31" s="16">
        <v>0</v>
      </c>
      <c r="BB31" s="16">
        <v>0</v>
      </c>
      <c r="BC31" s="16">
        <v>0</v>
      </c>
      <c r="BD31" s="16">
        <v>0</v>
      </c>
      <c r="BE31" s="16">
        <v>0</v>
      </c>
      <c r="BF31" s="16">
        <v>0</v>
      </c>
      <c r="BG31" s="16">
        <v>0</v>
      </c>
      <c r="BH31" s="16">
        <v>0</v>
      </c>
      <c r="BI31" s="16">
        <v>0</v>
      </c>
      <c r="BJ31" s="16">
        <v>6.2971000000000002E-6</v>
      </c>
      <c r="BK31" s="16"/>
      <c r="BL31" s="16">
        <v>1643380</v>
      </c>
      <c r="BM31" s="61" t="s">
        <v>1285</v>
      </c>
    </row>
    <row r="32" spans="5:65" x14ac:dyDescent="0.25">
      <c r="E32" s="7">
        <f>COUNTIFS(tblBOneExport[ISIN],tblBOneExport[[#This Row],[ISIN]],tblBOneExport[LEVEL1],"Bonds")</f>
        <v>1</v>
      </c>
      <c r="F32">
        <v>4547</v>
      </c>
      <c r="G32" s="155">
        <v>42947</v>
      </c>
      <c r="H32" s="155">
        <v>42978</v>
      </c>
      <c r="I32" t="s">
        <v>1386</v>
      </c>
      <c r="J32">
        <v>1643734</v>
      </c>
      <c r="K32" s="18" t="s">
        <v>1387</v>
      </c>
      <c r="L32" t="s">
        <v>909</v>
      </c>
      <c r="M32" t="s">
        <v>907</v>
      </c>
      <c r="N32" t="s">
        <v>492</v>
      </c>
      <c r="O32" t="s">
        <v>372</v>
      </c>
      <c r="P32" t="s">
        <v>1276</v>
      </c>
      <c r="Q32" t="s">
        <v>1330</v>
      </c>
      <c r="R32" t="s">
        <v>1331</v>
      </c>
      <c r="S32" t="s">
        <v>1331</v>
      </c>
      <c r="T32" t="s">
        <v>1331</v>
      </c>
      <c r="U32" t="s">
        <v>1331</v>
      </c>
      <c r="V32" t="s">
        <v>1303</v>
      </c>
      <c r="W32" t="s">
        <v>493</v>
      </c>
      <c r="X32" t="s">
        <v>1282</v>
      </c>
      <c r="Y32" s="154">
        <v>47094</v>
      </c>
      <c r="Z32" s="154">
        <v>47094</v>
      </c>
      <c r="AA32" t="s">
        <v>1359</v>
      </c>
      <c r="AB32" t="s">
        <v>1360</v>
      </c>
      <c r="AC32">
        <v>3.0496747999999999E-3</v>
      </c>
      <c r="AD32" s="16">
        <v>2.02067082E-2</v>
      </c>
      <c r="AE32" s="16">
        <v>6.1394699999999997E-5</v>
      </c>
      <c r="AF32" s="16">
        <v>0</v>
      </c>
      <c r="AG32" s="16">
        <v>0</v>
      </c>
      <c r="AH32" s="16">
        <v>0</v>
      </c>
      <c r="AI32" s="16">
        <v>3.9217000000000001E-6</v>
      </c>
      <c r="AJ32" s="16">
        <v>3.2826999999999999E-6</v>
      </c>
      <c r="AK32" s="16">
        <v>6.3890000000000004E-7</v>
      </c>
      <c r="AL32" s="16">
        <v>5.6869500000000002E-5</v>
      </c>
      <c r="AM32" s="16">
        <v>3.0653999999999999E-6</v>
      </c>
      <c r="AN32" s="16">
        <v>1.124E-6</v>
      </c>
      <c r="AO32" s="16">
        <v>-5.2050000000000004E-7</v>
      </c>
      <c r="AP32" s="16">
        <v>0</v>
      </c>
      <c r="AQ32" s="16">
        <v>0</v>
      </c>
      <c r="AR32" s="16">
        <v>0</v>
      </c>
      <c r="AS32" s="16">
        <v>0</v>
      </c>
      <c r="AT32" s="16">
        <v>0</v>
      </c>
      <c r="AU32" s="16">
        <v>0</v>
      </c>
      <c r="AV32" s="16">
        <v>0</v>
      </c>
      <c r="AW32" s="16">
        <v>0</v>
      </c>
      <c r="AX32" s="16">
        <v>0</v>
      </c>
      <c r="AY32" s="16">
        <v>0</v>
      </c>
      <c r="AZ32" s="16">
        <v>0</v>
      </c>
      <c r="BA32" s="16">
        <v>0</v>
      </c>
      <c r="BB32" s="16">
        <v>0</v>
      </c>
      <c r="BC32" s="16">
        <v>0</v>
      </c>
      <c r="BD32" s="16">
        <v>0</v>
      </c>
      <c r="BE32" s="16">
        <v>0</v>
      </c>
      <c r="BF32" s="16">
        <v>0</v>
      </c>
      <c r="BG32" s="16">
        <v>0</v>
      </c>
      <c r="BH32" s="16">
        <v>0</v>
      </c>
      <c r="BI32" s="16">
        <v>0</v>
      </c>
      <c r="BJ32" s="16">
        <v>7.7202999999999996E-6</v>
      </c>
      <c r="BK32" s="16"/>
      <c r="BL32" s="16">
        <v>1643734</v>
      </c>
      <c r="BM32" s="61" t="s">
        <v>1285</v>
      </c>
    </row>
    <row r="33" spans="5:65" x14ac:dyDescent="0.25">
      <c r="E33" s="7">
        <f>COUNTIFS(tblBOneExport[ISIN],tblBOneExport[[#This Row],[ISIN]],tblBOneExport[LEVEL1],"Bonds")</f>
        <v>1</v>
      </c>
      <c r="F33">
        <v>4547</v>
      </c>
      <c r="G33" s="155">
        <v>42947</v>
      </c>
      <c r="H33" s="155">
        <v>42978</v>
      </c>
      <c r="I33" t="s">
        <v>1388</v>
      </c>
      <c r="J33">
        <v>1643735</v>
      </c>
      <c r="K33" s="18" t="s">
        <v>1389</v>
      </c>
      <c r="L33" t="s">
        <v>906</v>
      </c>
      <c r="M33" t="s">
        <v>907</v>
      </c>
      <c r="N33" t="s">
        <v>492</v>
      </c>
      <c r="O33" t="s">
        <v>372</v>
      </c>
      <c r="P33" t="s">
        <v>1276</v>
      </c>
      <c r="Q33" t="s">
        <v>1330</v>
      </c>
      <c r="R33" t="s">
        <v>1331</v>
      </c>
      <c r="S33" t="s">
        <v>1331</v>
      </c>
      <c r="T33" t="s">
        <v>1331</v>
      </c>
      <c r="U33" t="s">
        <v>1331</v>
      </c>
      <c r="V33" t="s">
        <v>1303</v>
      </c>
      <c r="W33" t="s">
        <v>493</v>
      </c>
      <c r="X33" t="s">
        <v>1282</v>
      </c>
      <c r="Y33" s="154">
        <v>50746</v>
      </c>
      <c r="Z33" s="154">
        <v>50746</v>
      </c>
      <c r="AA33" t="s">
        <v>1359</v>
      </c>
      <c r="AB33" t="s">
        <v>1360</v>
      </c>
      <c r="AC33">
        <v>5.0176016000000002E-3</v>
      </c>
      <c r="AD33" s="16">
        <v>2.5967599599999999E-2</v>
      </c>
      <c r="AE33" s="16">
        <v>1.2938129999999999E-4</v>
      </c>
      <c r="AF33" s="16">
        <v>0</v>
      </c>
      <c r="AG33" s="16">
        <v>0</v>
      </c>
      <c r="AH33" s="16">
        <v>0</v>
      </c>
      <c r="AI33" s="16">
        <v>8.4548000000000008E-6</v>
      </c>
      <c r="AJ33" s="16">
        <v>7.1196999999999998E-6</v>
      </c>
      <c r="AK33" s="16">
        <v>1.3350999999999999E-6</v>
      </c>
      <c r="AL33" s="16">
        <v>7.4830099999999994E-5</v>
      </c>
      <c r="AM33" s="16">
        <v>1.426E-6</v>
      </c>
      <c r="AN33" s="16">
        <v>4.5893599999999997E-5</v>
      </c>
      <c r="AO33" s="16">
        <v>2.0279999999999999E-7</v>
      </c>
      <c r="AP33" s="16">
        <v>0</v>
      </c>
      <c r="AQ33" s="16">
        <v>0</v>
      </c>
      <c r="AR33" s="16">
        <v>0</v>
      </c>
      <c r="AS33" s="16">
        <v>0</v>
      </c>
      <c r="AT33" s="16">
        <v>0</v>
      </c>
      <c r="AU33" s="16">
        <v>0</v>
      </c>
      <c r="AV33" s="16">
        <v>0</v>
      </c>
      <c r="AW33" s="16">
        <v>0</v>
      </c>
      <c r="AX33" s="16">
        <v>0</v>
      </c>
      <c r="AY33" s="16">
        <v>0</v>
      </c>
      <c r="AZ33" s="16">
        <v>0</v>
      </c>
      <c r="BA33" s="16">
        <v>0</v>
      </c>
      <c r="BB33" s="16">
        <v>0</v>
      </c>
      <c r="BC33" s="16">
        <v>0</v>
      </c>
      <c r="BD33" s="16">
        <v>0</v>
      </c>
      <c r="BE33" s="16">
        <v>0</v>
      </c>
      <c r="BF33" s="16">
        <v>0</v>
      </c>
      <c r="BG33" s="16">
        <v>0</v>
      </c>
      <c r="BH33" s="16">
        <v>0</v>
      </c>
      <c r="BI33" s="16">
        <v>0</v>
      </c>
      <c r="BJ33" s="16">
        <v>1.27124E-5</v>
      </c>
      <c r="BK33" s="16"/>
      <c r="BL33" s="16">
        <v>1643735</v>
      </c>
      <c r="BM33" s="61" t="s">
        <v>1285</v>
      </c>
    </row>
    <row r="34" spans="5:65" x14ac:dyDescent="0.25">
      <c r="E34" s="7">
        <f>COUNTIFS(tblBOneExport[ISIN],tblBOneExport[[#This Row],[ISIN]],tblBOneExport[LEVEL1],"Bonds")</f>
        <v>1</v>
      </c>
      <c r="F34">
        <v>4547</v>
      </c>
      <c r="G34" s="155">
        <v>42947</v>
      </c>
      <c r="H34" s="155">
        <v>42978</v>
      </c>
      <c r="I34" t="s">
        <v>1390</v>
      </c>
      <c r="J34">
        <v>1643617</v>
      </c>
      <c r="K34" s="18" t="s">
        <v>1391</v>
      </c>
      <c r="L34" t="s">
        <v>861</v>
      </c>
      <c r="M34" t="s">
        <v>859</v>
      </c>
      <c r="N34" t="s">
        <v>492</v>
      </c>
      <c r="O34" t="s">
        <v>372</v>
      </c>
      <c r="P34" t="s">
        <v>1276</v>
      </c>
      <c r="Q34" t="s">
        <v>1330</v>
      </c>
      <c r="R34" t="s">
        <v>1352</v>
      </c>
      <c r="S34" t="s">
        <v>1352</v>
      </c>
      <c r="T34" t="s">
        <v>1352</v>
      </c>
      <c r="U34" t="s">
        <v>1352</v>
      </c>
      <c r="V34" t="s">
        <v>1353</v>
      </c>
      <c r="W34" t="s">
        <v>493</v>
      </c>
      <c r="X34" t="s">
        <v>1282</v>
      </c>
      <c r="Y34" s="154">
        <v>47094</v>
      </c>
      <c r="Z34" s="154">
        <v>47094</v>
      </c>
      <c r="AA34" t="s">
        <v>1354</v>
      </c>
      <c r="AB34" t="s">
        <v>1355</v>
      </c>
      <c r="AC34">
        <v>1.6091645999999999E-3</v>
      </c>
      <c r="AD34" s="16">
        <v>2.0047961699999998E-2</v>
      </c>
      <c r="AE34" s="16">
        <v>3.2147899999999998E-5</v>
      </c>
      <c r="AF34" s="16">
        <v>0</v>
      </c>
      <c r="AG34" s="16">
        <v>0</v>
      </c>
      <c r="AH34" s="16">
        <v>0</v>
      </c>
      <c r="AI34" s="16">
        <v>1.9607999999999999E-6</v>
      </c>
      <c r="AJ34" s="16">
        <v>1.7334E-6</v>
      </c>
      <c r="AK34" s="16">
        <v>2.2740000000000001E-7</v>
      </c>
      <c r="AL34" s="16">
        <v>2.9297599999999999E-5</v>
      </c>
      <c r="AM34" s="16">
        <v>1.5792000000000001E-6</v>
      </c>
      <c r="AN34" s="16">
        <v>9.5809999999999998E-7</v>
      </c>
      <c r="AO34" s="16">
        <v>-6.87E-8</v>
      </c>
      <c r="AP34" s="16">
        <v>0</v>
      </c>
      <c r="AQ34" s="16">
        <v>0</v>
      </c>
      <c r="AR34" s="16">
        <v>0</v>
      </c>
      <c r="AS34" s="16">
        <v>0</v>
      </c>
      <c r="AT34" s="16">
        <v>0</v>
      </c>
      <c r="AU34" s="16">
        <v>0</v>
      </c>
      <c r="AV34" s="16">
        <v>0</v>
      </c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0</v>
      </c>
      <c r="BD34" s="16">
        <v>0</v>
      </c>
      <c r="BE34" s="16">
        <v>0</v>
      </c>
      <c r="BF34" s="16">
        <v>0</v>
      </c>
      <c r="BG34" s="16">
        <v>0</v>
      </c>
      <c r="BH34" s="16">
        <v>0</v>
      </c>
      <c r="BI34" s="16">
        <v>0</v>
      </c>
      <c r="BJ34" s="16">
        <v>2.7292999999999999E-6</v>
      </c>
      <c r="BK34" s="16"/>
      <c r="BL34" s="16">
        <v>1643617</v>
      </c>
      <c r="BM34" s="61" t="s">
        <v>1285</v>
      </c>
    </row>
    <row r="35" spans="5:65" x14ac:dyDescent="0.25">
      <c r="E35" s="7">
        <f>COUNTIFS(tblBOneExport[ISIN],tblBOneExport[[#This Row],[ISIN]],tblBOneExport[LEVEL1],"Bonds")</f>
        <v>1</v>
      </c>
      <c r="F35">
        <v>4547</v>
      </c>
      <c r="G35" s="155">
        <v>42947</v>
      </c>
      <c r="H35" s="155">
        <v>42978</v>
      </c>
      <c r="I35" t="s">
        <v>1392</v>
      </c>
      <c r="J35">
        <v>1643829</v>
      </c>
      <c r="K35" s="18" t="s">
        <v>1393</v>
      </c>
      <c r="L35" t="s">
        <v>735</v>
      </c>
      <c r="M35" t="s">
        <v>733</v>
      </c>
      <c r="N35" t="s">
        <v>492</v>
      </c>
      <c r="O35" t="s">
        <v>372</v>
      </c>
      <c r="P35" t="s">
        <v>1276</v>
      </c>
      <c r="Q35" t="s">
        <v>1330</v>
      </c>
      <c r="R35" t="s">
        <v>1352</v>
      </c>
      <c r="S35" t="s">
        <v>1352</v>
      </c>
      <c r="T35" t="s">
        <v>1352</v>
      </c>
      <c r="U35" t="s">
        <v>1352</v>
      </c>
      <c r="V35" t="s">
        <v>1353</v>
      </c>
      <c r="W35" t="s">
        <v>493</v>
      </c>
      <c r="X35" t="s">
        <v>1282</v>
      </c>
      <c r="Y35" s="154">
        <v>50875</v>
      </c>
      <c r="Z35" s="154">
        <v>50875</v>
      </c>
      <c r="AA35" t="s">
        <v>1369</v>
      </c>
      <c r="AB35" t="s">
        <v>1370</v>
      </c>
      <c r="AC35">
        <v>3.4118737E-3</v>
      </c>
      <c r="AD35" s="16">
        <v>2.6302573499999999E-2</v>
      </c>
      <c r="AE35" s="16">
        <v>8.9089299999999994E-5</v>
      </c>
      <c r="AF35" s="16">
        <v>0</v>
      </c>
      <c r="AG35" s="16">
        <v>0</v>
      </c>
      <c r="AH35" s="16">
        <v>0</v>
      </c>
      <c r="AI35" s="16">
        <v>5.6593000000000002E-6</v>
      </c>
      <c r="AJ35" s="16">
        <v>4.8658000000000001E-6</v>
      </c>
      <c r="AK35" s="16">
        <v>7.9360000000000001E-7</v>
      </c>
      <c r="AL35" s="16">
        <v>5.3563400000000003E-5</v>
      </c>
      <c r="AM35" s="16">
        <v>9.6049999999999995E-7</v>
      </c>
      <c r="AN35" s="16">
        <v>2.88548E-5</v>
      </c>
      <c r="AO35" s="16">
        <v>1.0118E-6</v>
      </c>
      <c r="AP35" s="16">
        <v>0</v>
      </c>
      <c r="AQ35" s="16">
        <v>0</v>
      </c>
      <c r="AR35" s="16">
        <v>0</v>
      </c>
      <c r="AS35" s="16">
        <v>0</v>
      </c>
      <c r="AT35" s="16">
        <v>0</v>
      </c>
      <c r="AU35" s="16">
        <v>0</v>
      </c>
      <c r="AV35" s="16">
        <v>0</v>
      </c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0</v>
      </c>
      <c r="BD35" s="16">
        <v>0</v>
      </c>
      <c r="BE35" s="16">
        <v>0</v>
      </c>
      <c r="BF35" s="16">
        <v>0</v>
      </c>
      <c r="BG35" s="16">
        <v>0</v>
      </c>
      <c r="BH35" s="16">
        <v>0</v>
      </c>
      <c r="BI35" s="16">
        <v>0</v>
      </c>
      <c r="BJ35" s="16">
        <v>7.4324000000000002E-6</v>
      </c>
      <c r="BK35" s="16"/>
      <c r="BL35" s="16">
        <v>1643829</v>
      </c>
      <c r="BM35" s="61" t="s">
        <v>1285</v>
      </c>
    </row>
    <row r="36" spans="5:65" x14ac:dyDescent="0.25">
      <c r="E36" s="7">
        <f>COUNTIFS(tblBOneExport[ISIN],tblBOneExport[[#This Row],[ISIN]],tblBOneExport[LEVEL1],"Bonds")</f>
        <v>1</v>
      </c>
      <c r="F36">
        <v>4547</v>
      </c>
      <c r="G36" s="155">
        <v>42947</v>
      </c>
      <c r="H36" s="155">
        <v>42978</v>
      </c>
      <c r="I36" t="s">
        <v>1394</v>
      </c>
      <c r="J36">
        <v>1643832</v>
      </c>
      <c r="K36" s="18" t="s">
        <v>1395</v>
      </c>
      <c r="L36" t="s">
        <v>565</v>
      </c>
      <c r="M36" t="s">
        <v>563</v>
      </c>
      <c r="N36" t="s">
        <v>492</v>
      </c>
      <c r="O36" t="s">
        <v>372</v>
      </c>
      <c r="P36" t="s">
        <v>1276</v>
      </c>
      <c r="Q36" t="s">
        <v>1330</v>
      </c>
      <c r="R36" t="s">
        <v>1331</v>
      </c>
      <c r="S36" t="s">
        <v>1331</v>
      </c>
      <c r="T36" t="s">
        <v>1331</v>
      </c>
      <c r="U36" t="s">
        <v>1331</v>
      </c>
      <c r="V36" t="s">
        <v>1353</v>
      </c>
      <c r="W36" t="s">
        <v>493</v>
      </c>
      <c r="X36" t="s">
        <v>1282</v>
      </c>
      <c r="Y36" s="154">
        <v>47094</v>
      </c>
      <c r="Z36" s="154">
        <v>47094</v>
      </c>
      <c r="AA36" t="s">
        <v>1294</v>
      </c>
      <c r="AB36" t="s">
        <v>1295</v>
      </c>
      <c r="AC36">
        <v>3.3904499000000001E-3</v>
      </c>
      <c r="AD36" s="16">
        <v>2.0422929199999999E-2</v>
      </c>
      <c r="AE36" s="16">
        <v>6.8997200000000004E-5</v>
      </c>
      <c r="AF36" s="16">
        <v>0</v>
      </c>
      <c r="AG36" s="16">
        <v>0</v>
      </c>
      <c r="AH36" s="16">
        <v>0</v>
      </c>
      <c r="AI36" s="16">
        <v>4.8678999999999996E-6</v>
      </c>
      <c r="AJ36" s="16">
        <v>3.6430999999999999E-6</v>
      </c>
      <c r="AK36" s="16">
        <v>1.2247999999999999E-6</v>
      </c>
      <c r="AL36" s="16">
        <v>6.0777499999999999E-5</v>
      </c>
      <c r="AM36" s="16">
        <v>3.2754999999999998E-6</v>
      </c>
      <c r="AN36" s="16">
        <v>4.0473000000000002E-6</v>
      </c>
      <c r="AO36" s="16">
        <v>-6.9549999999999995E-7</v>
      </c>
      <c r="AP36" s="16">
        <v>0</v>
      </c>
      <c r="AQ36" s="16">
        <v>0</v>
      </c>
      <c r="AR36" s="16">
        <v>0</v>
      </c>
      <c r="AS36" s="16">
        <v>0</v>
      </c>
      <c r="AT36" s="16">
        <v>0</v>
      </c>
      <c r="AU36" s="16">
        <v>0</v>
      </c>
      <c r="AV36" s="16">
        <v>0</v>
      </c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0</v>
      </c>
      <c r="BD36" s="16">
        <v>0</v>
      </c>
      <c r="BE36" s="16">
        <v>0</v>
      </c>
      <c r="BF36" s="16">
        <v>0</v>
      </c>
      <c r="BG36" s="16">
        <v>0</v>
      </c>
      <c r="BH36" s="16">
        <v>0</v>
      </c>
      <c r="BI36" s="16">
        <v>0</v>
      </c>
      <c r="BJ36" s="16">
        <v>1.43617E-5</v>
      </c>
      <c r="BK36" s="16"/>
      <c r="BL36" s="16">
        <v>1643832</v>
      </c>
      <c r="BM36" s="61" t="s">
        <v>1285</v>
      </c>
    </row>
    <row r="37" spans="5:65" x14ac:dyDescent="0.25">
      <c r="E37" s="7">
        <f>COUNTIFS(tblBOneExport[ISIN],tblBOneExport[[#This Row],[ISIN]],tblBOneExport[LEVEL1],"Bonds")</f>
        <v>1</v>
      </c>
      <c r="F37">
        <v>4547</v>
      </c>
      <c r="G37" s="155">
        <v>42947</v>
      </c>
      <c r="H37" s="155">
        <v>42978</v>
      </c>
      <c r="I37" t="s">
        <v>1396</v>
      </c>
      <c r="J37">
        <v>1652548</v>
      </c>
      <c r="K37" s="18" t="s">
        <v>1397</v>
      </c>
      <c r="L37" t="s">
        <v>1071</v>
      </c>
      <c r="M37" t="s">
        <v>1069</v>
      </c>
      <c r="N37" t="s">
        <v>492</v>
      </c>
      <c r="O37" t="s">
        <v>372</v>
      </c>
      <c r="P37" t="s">
        <v>1276</v>
      </c>
      <c r="Q37" t="s">
        <v>1277</v>
      </c>
      <c r="R37" t="s">
        <v>1300</v>
      </c>
      <c r="S37" t="s">
        <v>1301</v>
      </c>
      <c r="T37" t="s">
        <v>1302</v>
      </c>
      <c r="U37" t="s">
        <v>1302</v>
      </c>
      <c r="V37" t="s">
        <v>1332</v>
      </c>
      <c r="W37" t="s">
        <v>493</v>
      </c>
      <c r="X37" t="s">
        <v>1282</v>
      </c>
      <c r="Y37" s="154">
        <v>47249</v>
      </c>
      <c r="Z37" s="154">
        <v>47249</v>
      </c>
      <c r="AA37" t="s">
        <v>1359</v>
      </c>
      <c r="AB37" t="s">
        <v>1360</v>
      </c>
      <c r="AC37">
        <v>9.9938495000000006E-3</v>
      </c>
      <c r="AD37" s="16">
        <v>1.8964023300000001E-2</v>
      </c>
      <c r="AE37" s="16">
        <v>1.8905619999999999E-4</v>
      </c>
      <c r="AF37" s="16">
        <v>0</v>
      </c>
      <c r="AG37" s="16">
        <v>0</v>
      </c>
      <c r="AH37" s="16">
        <v>0</v>
      </c>
      <c r="AI37" s="16">
        <v>2.0012599999999999E-5</v>
      </c>
      <c r="AJ37" s="16">
        <v>1.1126E-5</v>
      </c>
      <c r="AK37" s="16">
        <v>8.8867000000000008E-6</v>
      </c>
      <c r="AL37" s="16">
        <v>1.8008910000000001E-4</v>
      </c>
      <c r="AM37" s="16">
        <v>9.7715999999999998E-6</v>
      </c>
      <c r="AN37" s="16">
        <v>-9.2410000000000001E-6</v>
      </c>
      <c r="AO37" s="16">
        <v>-1.8046000000000001E-6</v>
      </c>
      <c r="AP37" s="16">
        <v>0</v>
      </c>
      <c r="AQ37" s="16">
        <v>0</v>
      </c>
      <c r="AR37" s="16">
        <v>0</v>
      </c>
      <c r="AS37" s="16">
        <v>0</v>
      </c>
      <c r="AT37" s="16">
        <v>0</v>
      </c>
      <c r="AU37" s="16">
        <v>0</v>
      </c>
      <c r="AV37" s="16">
        <v>0</v>
      </c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0</v>
      </c>
      <c r="BD37" s="16">
        <v>0</v>
      </c>
      <c r="BE37" s="16">
        <v>0</v>
      </c>
      <c r="BF37" s="16">
        <v>0</v>
      </c>
      <c r="BG37" s="16">
        <v>0</v>
      </c>
      <c r="BH37" s="16">
        <v>0</v>
      </c>
      <c r="BI37" s="16">
        <v>0</v>
      </c>
      <c r="BJ37" s="16">
        <v>1.054544E-4</v>
      </c>
      <c r="BK37" s="16"/>
      <c r="BL37" s="16">
        <v>1652548</v>
      </c>
      <c r="BM37" s="61" t="s">
        <v>1285</v>
      </c>
    </row>
    <row r="38" spans="5:65" x14ac:dyDescent="0.25">
      <c r="E38" s="7">
        <f>COUNTIFS(tblBOneExport[ISIN],tblBOneExport[[#This Row],[ISIN]],tblBOneExport[LEVEL1],"Bonds")</f>
        <v>1</v>
      </c>
      <c r="F38">
        <v>4547</v>
      </c>
      <c r="G38" s="155">
        <v>42947</v>
      </c>
      <c r="H38" s="155">
        <v>42978</v>
      </c>
      <c r="I38" t="s">
        <v>1398</v>
      </c>
      <c r="J38">
        <v>1646221</v>
      </c>
      <c r="K38" s="18" t="s">
        <v>1399</v>
      </c>
      <c r="L38" t="s">
        <v>616</v>
      </c>
      <c r="M38" t="s">
        <v>617</v>
      </c>
      <c r="N38" t="s">
        <v>492</v>
      </c>
      <c r="O38" t="s">
        <v>372</v>
      </c>
      <c r="P38" t="s">
        <v>1276</v>
      </c>
      <c r="Q38" t="s">
        <v>1277</v>
      </c>
      <c r="R38" t="s">
        <v>1278</v>
      </c>
      <c r="S38" t="s">
        <v>1312</v>
      </c>
      <c r="T38" t="s">
        <v>1313</v>
      </c>
      <c r="U38" t="s">
        <v>1314</v>
      </c>
      <c r="V38" t="s">
        <v>1288</v>
      </c>
      <c r="W38" t="s">
        <v>493</v>
      </c>
      <c r="X38" t="s">
        <v>1282</v>
      </c>
      <c r="Y38" s="154">
        <v>47094</v>
      </c>
      <c r="Z38" s="154">
        <v>47094</v>
      </c>
      <c r="AA38" t="s">
        <v>1359</v>
      </c>
      <c r="AB38" t="s">
        <v>1360</v>
      </c>
      <c r="AC38">
        <v>3.1607886000000001E-3</v>
      </c>
      <c r="AD38" s="16">
        <v>1.7025791799999999E-2</v>
      </c>
      <c r="AE38" s="16">
        <v>5.3746699999999998E-5</v>
      </c>
      <c r="AF38" s="16">
        <v>0</v>
      </c>
      <c r="AG38" s="16">
        <v>0</v>
      </c>
      <c r="AH38" s="16">
        <v>0</v>
      </c>
      <c r="AI38" s="16">
        <v>6.5021E-6</v>
      </c>
      <c r="AJ38" s="16">
        <v>3.3716999999999998E-6</v>
      </c>
      <c r="AK38" s="16">
        <v>3.1302999999999999E-6</v>
      </c>
      <c r="AL38" s="16">
        <v>5.4824599999999997E-5</v>
      </c>
      <c r="AM38" s="16">
        <v>2.9517999999999998E-6</v>
      </c>
      <c r="AN38" s="16">
        <v>-7.7087999999999998E-6</v>
      </c>
      <c r="AO38" s="16">
        <v>1.2879999999999999E-7</v>
      </c>
      <c r="AP38" s="16">
        <v>0</v>
      </c>
      <c r="AQ38" s="16">
        <v>0</v>
      </c>
      <c r="AR38" s="16">
        <v>0</v>
      </c>
      <c r="AS38" s="16">
        <v>0</v>
      </c>
      <c r="AT38" s="16">
        <v>0</v>
      </c>
      <c r="AU38" s="16">
        <v>0</v>
      </c>
      <c r="AV38" s="16">
        <v>0</v>
      </c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0</v>
      </c>
      <c r="BD38" s="16">
        <v>0</v>
      </c>
      <c r="BE38" s="16">
        <v>0</v>
      </c>
      <c r="BF38" s="16">
        <v>0</v>
      </c>
      <c r="BG38" s="16">
        <v>0</v>
      </c>
      <c r="BH38" s="16">
        <v>0</v>
      </c>
      <c r="BI38" s="16">
        <v>0</v>
      </c>
      <c r="BJ38" s="16">
        <v>3.7536400000000002E-5</v>
      </c>
      <c r="BK38" s="16"/>
      <c r="BL38" s="16">
        <v>1646221</v>
      </c>
      <c r="BM38" s="61" t="s">
        <v>1285</v>
      </c>
    </row>
    <row r="39" spans="5:65" x14ac:dyDescent="0.25">
      <c r="E39" s="7">
        <f>COUNTIFS(tblBOneExport[ISIN],tblBOneExport[[#This Row],[ISIN]],tblBOneExport[LEVEL1],"Bonds")</f>
        <v>1</v>
      </c>
      <c r="F39">
        <v>4547</v>
      </c>
      <c r="G39" s="155">
        <v>42947</v>
      </c>
      <c r="H39" s="155">
        <v>42978</v>
      </c>
      <c r="I39" t="s">
        <v>1400</v>
      </c>
      <c r="J39">
        <v>1646428</v>
      </c>
      <c r="K39" s="18" t="s">
        <v>1401</v>
      </c>
      <c r="L39" t="s">
        <v>1110</v>
      </c>
      <c r="M39" t="s">
        <v>1111</v>
      </c>
      <c r="N39" t="s">
        <v>492</v>
      </c>
      <c r="O39" t="s">
        <v>372</v>
      </c>
      <c r="P39" t="s">
        <v>1276</v>
      </c>
      <c r="Q39" t="s">
        <v>1277</v>
      </c>
      <c r="R39" t="s">
        <v>1322</v>
      </c>
      <c r="S39" t="s">
        <v>1323</v>
      </c>
      <c r="T39" t="s">
        <v>1323</v>
      </c>
      <c r="U39" t="s">
        <v>1323</v>
      </c>
      <c r="V39" t="s">
        <v>1288</v>
      </c>
      <c r="W39" t="s">
        <v>493</v>
      </c>
      <c r="X39" t="s">
        <v>1282</v>
      </c>
      <c r="Y39" s="154">
        <v>47276</v>
      </c>
      <c r="Z39" s="154">
        <v>47276</v>
      </c>
      <c r="AA39" t="s">
        <v>1359</v>
      </c>
      <c r="AB39" t="s">
        <v>1360</v>
      </c>
      <c r="AC39">
        <v>4.1409955000000003E-3</v>
      </c>
      <c r="AD39" s="16">
        <v>2.0203927900000002E-2</v>
      </c>
      <c r="AE39" s="16">
        <v>8.3367800000000005E-5</v>
      </c>
      <c r="AF39" s="16">
        <v>0</v>
      </c>
      <c r="AG39" s="16">
        <v>0</v>
      </c>
      <c r="AH39" s="16">
        <v>0</v>
      </c>
      <c r="AI39" s="16">
        <v>7.4308000000000001E-6</v>
      </c>
      <c r="AJ39" s="16">
        <v>4.6546999999999997E-6</v>
      </c>
      <c r="AK39" s="16">
        <v>2.7761E-6</v>
      </c>
      <c r="AL39" s="16">
        <v>7.4798500000000006E-5</v>
      </c>
      <c r="AM39" s="16">
        <v>4.0664999999999999E-6</v>
      </c>
      <c r="AN39" s="16">
        <v>4.4999999999999998E-9</v>
      </c>
      <c r="AO39" s="16">
        <v>1.1340000000000001E-6</v>
      </c>
      <c r="AP39" s="16">
        <v>0</v>
      </c>
      <c r="AQ39" s="16">
        <v>0</v>
      </c>
      <c r="AR39" s="16">
        <v>0</v>
      </c>
      <c r="AS39" s="16">
        <v>0</v>
      </c>
      <c r="AT39" s="16">
        <v>0</v>
      </c>
      <c r="AU39" s="16">
        <v>0</v>
      </c>
      <c r="AV39" s="16">
        <v>0</v>
      </c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0</v>
      </c>
      <c r="BD39" s="16">
        <v>0</v>
      </c>
      <c r="BE39" s="16">
        <v>0</v>
      </c>
      <c r="BF39" s="16">
        <v>0</v>
      </c>
      <c r="BG39" s="16">
        <v>0</v>
      </c>
      <c r="BH39" s="16">
        <v>0</v>
      </c>
      <c r="BI39" s="16">
        <v>0</v>
      </c>
      <c r="BJ39" s="16">
        <v>3.29865E-5</v>
      </c>
      <c r="BK39" s="16"/>
      <c r="BL39" s="16">
        <v>1646428</v>
      </c>
      <c r="BM39" s="61" t="s">
        <v>1285</v>
      </c>
    </row>
    <row r="40" spans="5:65" x14ac:dyDescent="0.25">
      <c r="E40" s="7">
        <f>COUNTIFS(tblBOneExport[ISIN],tblBOneExport[[#This Row],[ISIN]],tblBOneExport[LEVEL1],"Bonds")</f>
        <v>1</v>
      </c>
      <c r="F40">
        <v>4547</v>
      </c>
      <c r="G40" s="155">
        <v>42947</v>
      </c>
      <c r="H40" s="155">
        <v>42978</v>
      </c>
      <c r="I40" t="s">
        <v>1402</v>
      </c>
      <c r="J40">
        <v>1651980</v>
      </c>
      <c r="K40" s="18" t="s">
        <v>1403</v>
      </c>
      <c r="L40" t="s">
        <v>998</v>
      </c>
      <c r="M40" t="s">
        <v>999</v>
      </c>
      <c r="N40" t="s">
        <v>492</v>
      </c>
      <c r="O40" t="s">
        <v>372</v>
      </c>
      <c r="P40" t="s">
        <v>1276</v>
      </c>
      <c r="Q40" t="s">
        <v>1330</v>
      </c>
      <c r="R40" t="s">
        <v>1352</v>
      </c>
      <c r="S40" t="s">
        <v>1352</v>
      </c>
      <c r="T40" t="s">
        <v>1352</v>
      </c>
      <c r="U40" t="s">
        <v>1352</v>
      </c>
      <c r="V40" t="s">
        <v>1353</v>
      </c>
      <c r="W40" t="s">
        <v>493</v>
      </c>
      <c r="X40" t="s">
        <v>1282</v>
      </c>
      <c r="Y40" s="154">
        <v>43795</v>
      </c>
      <c r="Z40" s="154">
        <v>43795</v>
      </c>
      <c r="AA40" t="s">
        <v>1354</v>
      </c>
      <c r="AB40" t="s">
        <v>1355</v>
      </c>
      <c r="AC40">
        <v>1.5093984E-3</v>
      </c>
      <c r="AD40" s="16">
        <v>2.2478046000000002E-3</v>
      </c>
      <c r="AE40" s="16">
        <v>3.4180999999999999E-6</v>
      </c>
      <c r="AF40" s="16">
        <v>0</v>
      </c>
      <c r="AG40" s="16">
        <v>0</v>
      </c>
      <c r="AH40" s="16">
        <v>0</v>
      </c>
      <c r="AI40" s="16">
        <v>6.5479999999999996E-7</v>
      </c>
      <c r="AJ40" s="16">
        <v>2.8579999999999998E-7</v>
      </c>
      <c r="AK40" s="16">
        <v>3.6899999999999998E-7</v>
      </c>
      <c r="AL40" s="16">
        <v>3.3415000000000001E-6</v>
      </c>
      <c r="AM40" s="16">
        <v>9.2200000000000005E-8</v>
      </c>
      <c r="AN40" s="16">
        <v>-5.2939999999999996E-7</v>
      </c>
      <c r="AO40" s="16">
        <v>-4.88E-8</v>
      </c>
      <c r="AP40" s="16">
        <v>0</v>
      </c>
      <c r="AQ40" s="16">
        <v>0</v>
      </c>
      <c r="AR40" s="16">
        <v>0</v>
      </c>
      <c r="AS40" s="16">
        <v>0</v>
      </c>
      <c r="AT40" s="16">
        <v>0</v>
      </c>
      <c r="AU40" s="16">
        <v>0</v>
      </c>
      <c r="AV40" s="16">
        <v>0</v>
      </c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0</v>
      </c>
      <c r="BD40" s="16">
        <v>0</v>
      </c>
      <c r="BE40" s="16">
        <v>0</v>
      </c>
      <c r="BF40" s="16">
        <v>0</v>
      </c>
      <c r="BG40" s="16">
        <v>0</v>
      </c>
      <c r="BH40" s="16">
        <v>0</v>
      </c>
      <c r="BI40" s="16">
        <v>0</v>
      </c>
      <c r="BJ40" s="16">
        <v>4.3586000000000001E-6</v>
      </c>
      <c r="BK40" s="16"/>
      <c r="BL40" s="16">
        <v>1651980</v>
      </c>
      <c r="BM40" s="61" t="s">
        <v>1285</v>
      </c>
    </row>
    <row r="41" spans="5:65" x14ac:dyDescent="0.25">
      <c r="E41" s="7">
        <f>COUNTIFS(tblBOneExport[ISIN],tblBOneExport[[#This Row],[ISIN]],tblBOneExport[LEVEL1],"Bonds")</f>
        <v>1</v>
      </c>
      <c r="F41">
        <v>4547</v>
      </c>
      <c r="G41" s="155">
        <v>42947</v>
      </c>
      <c r="H41" s="155">
        <v>42978</v>
      </c>
      <c r="I41" t="s">
        <v>1404</v>
      </c>
      <c r="J41">
        <v>1652957</v>
      </c>
      <c r="K41" s="18" t="s">
        <v>1405</v>
      </c>
      <c r="L41" t="s">
        <v>567</v>
      </c>
      <c r="M41" t="s">
        <v>563</v>
      </c>
      <c r="N41" t="s">
        <v>492</v>
      </c>
      <c r="O41" t="s">
        <v>372</v>
      </c>
      <c r="P41" t="s">
        <v>1276</v>
      </c>
      <c r="Q41" t="s">
        <v>1330</v>
      </c>
      <c r="R41" t="s">
        <v>1331</v>
      </c>
      <c r="S41" t="s">
        <v>1331</v>
      </c>
      <c r="T41" t="s">
        <v>1331</v>
      </c>
      <c r="U41" t="s">
        <v>1331</v>
      </c>
      <c r="V41" t="s">
        <v>1353</v>
      </c>
      <c r="W41" t="s">
        <v>493</v>
      </c>
      <c r="X41" t="s">
        <v>1282</v>
      </c>
      <c r="Y41" s="154">
        <v>43483</v>
      </c>
      <c r="Z41" s="154">
        <v>43483</v>
      </c>
      <c r="AA41" t="s">
        <v>1294</v>
      </c>
      <c r="AB41" t="s">
        <v>1295</v>
      </c>
      <c r="AC41">
        <v>2.1747721000000002E-3</v>
      </c>
      <c r="AD41" s="16">
        <v>2.0011630999999998E-3</v>
      </c>
      <c r="AE41" s="16">
        <v>4.3891E-6</v>
      </c>
      <c r="AF41" s="16">
        <v>0</v>
      </c>
      <c r="AG41" s="16">
        <v>0</v>
      </c>
      <c r="AH41" s="16">
        <v>0</v>
      </c>
      <c r="AI41" s="16">
        <v>1.0283E-6</v>
      </c>
      <c r="AJ41" s="16">
        <v>3.96E-7</v>
      </c>
      <c r="AK41" s="16">
        <v>6.3229999999999996E-7</v>
      </c>
      <c r="AL41" s="16">
        <v>3.7795E-6</v>
      </c>
      <c r="AM41" s="16">
        <v>-8.0999999999999997E-9</v>
      </c>
      <c r="AN41" s="16">
        <v>-4.5839999999999998E-7</v>
      </c>
      <c r="AO41" s="16">
        <v>3.9699999999999998E-8</v>
      </c>
      <c r="AP41" s="16">
        <v>0</v>
      </c>
      <c r="AQ41" s="16">
        <v>0</v>
      </c>
      <c r="AR41" s="16">
        <v>0</v>
      </c>
      <c r="AS41" s="16">
        <v>0</v>
      </c>
      <c r="AT41" s="16">
        <v>0</v>
      </c>
      <c r="AU41" s="16">
        <v>0</v>
      </c>
      <c r="AV41" s="16">
        <v>0</v>
      </c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0</v>
      </c>
      <c r="BD41" s="16">
        <v>0</v>
      </c>
      <c r="BE41" s="16">
        <v>0</v>
      </c>
      <c r="BF41" s="16">
        <v>0</v>
      </c>
      <c r="BG41" s="16">
        <v>0</v>
      </c>
      <c r="BH41" s="16">
        <v>0</v>
      </c>
      <c r="BI41" s="16">
        <v>0</v>
      </c>
      <c r="BJ41" s="16">
        <v>7.5347E-6</v>
      </c>
      <c r="BK41" s="16"/>
      <c r="BL41" s="16">
        <v>1652957</v>
      </c>
      <c r="BM41" s="61" t="s">
        <v>1285</v>
      </c>
    </row>
    <row r="42" spans="5:65" x14ac:dyDescent="0.25">
      <c r="E42" s="7">
        <f>COUNTIFS(tblBOneExport[ISIN],tblBOneExport[[#This Row],[ISIN]],tblBOneExport[LEVEL1],"Bonds")</f>
        <v>1</v>
      </c>
      <c r="F42">
        <v>4547</v>
      </c>
      <c r="G42" s="155">
        <v>42947</v>
      </c>
      <c r="H42" s="155">
        <v>42978</v>
      </c>
      <c r="I42" t="s">
        <v>1406</v>
      </c>
      <c r="J42">
        <v>1652959</v>
      </c>
      <c r="K42" s="18" t="s">
        <v>1407</v>
      </c>
      <c r="L42" t="s">
        <v>1060</v>
      </c>
      <c r="M42" t="s">
        <v>1061</v>
      </c>
      <c r="N42" t="s">
        <v>492</v>
      </c>
      <c r="O42" t="s">
        <v>372</v>
      </c>
      <c r="P42" t="s">
        <v>1276</v>
      </c>
      <c r="Q42" t="s">
        <v>1277</v>
      </c>
      <c r="R42" t="s">
        <v>1278</v>
      </c>
      <c r="S42" t="s">
        <v>1279</v>
      </c>
      <c r="T42" t="s">
        <v>1343</v>
      </c>
      <c r="U42" t="s">
        <v>1343</v>
      </c>
      <c r="V42" t="s">
        <v>1408</v>
      </c>
      <c r="W42" t="s">
        <v>493</v>
      </c>
      <c r="X42" t="s">
        <v>1282</v>
      </c>
      <c r="Y42" s="154">
        <v>47514</v>
      </c>
      <c r="Z42" s="154">
        <v>47514</v>
      </c>
      <c r="AA42" t="s">
        <v>1308</v>
      </c>
      <c r="AB42" t="s">
        <v>1309</v>
      </c>
      <c r="AC42">
        <v>4.8985794999999999E-3</v>
      </c>
      <c r="AD42" s="16">
        <v>1.8281408700000001E-2</v>
      </c>
      <c r="AE42" s="16">
        <v>8.9322100000000003E-5</v>
      </c>
      <c r="AF42" s="16">
        <v>0</v>
      </c>
      <c r="AG42" s="16">
        <v>0</v>
      </c>
      <c r="AH42" s="16">
        <v>0</v>
      </c>
      <c r="AI42" s="16">
        <v>8.0574000000000001E-6</v>
      </c>
      <c r="AJ42" s="16">
        <v>5.6867000000000001E-6</v>
      </c>
      <c r="AK42" s="16">
        <v>2.3707E-6</v>
      </c>
      <c r="AL42" s="16">
        <v>8.6760899999999998E-5</v>
      </c>
      <c r="AM42" s="16">
        <v>1.4855E-6</v>
      </c>
      <c r="AN42" s="16">
        <v>-8.9577999999999992E-6</v>
      </c>
      <c r="AO42" s="16">
        <v>3.4616999999999998E-6</v>
      </c>
      <c r="AP42" s="16">
        <v>0</v>
      </c>
      <c r="AQ42" s="16">
        <v>0</v>
      </c>
      <c r="AR42" s="16">
        <v>0</v>
      </c>
      <c r="AS42" s="16">
        <v>0</v>
      </c>
      <c r="AT42" s="16">
        <v>0</v>
      </c>
      <c r="AU42" s="16">
        <v>0</v>
      </c>
      <c r="AV42" s="16">
        <v>0</v>
      </c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0</v>
      </c>
      <c r="BD42" s="16">
        <v>0</v>
      </c>
      <c r="BE42" s="16">
        <v>0</v>
      </c>
      <c r="BF42" s="16">
        <v>0</v>
      </c>
      <c r="BG42" s="16">
        <v>0</v>
      </c>
      <c r="BH42" s="16">
        <v>0</v>
      </c>
      <c r="BI42" s="16">
        <v>0</v>
      </c>
      <c r="BJ42" s="16">
        <v>2.8344399999999999E-5</v>
      </c>
      <c r="BK42" s="16"/>
      <c r="BL42" s="16">
        <v>1652959</v>
      </c>
      <c r="BM42" s="61" t="s">
        <v>1285</v>
      </c>
    </row>
    <row r="43" spans="5:65" x14ac:dyDescent="0.25">
      <c r="E43" s="7">
        <f>COUNTIFS(tblBOneExport[ISIN],tblBOneExport[[#This Row],[ISIN]],tblBOneExport[LEVEL1],"Bonds")</f>
        <v>1</v>
      </c>
      <c r="F43">
        <v>4547</v>
      </c>
      <c r="G43" s="155">
        <v>42947</v>
      </c>
      <c r="H43" s="155">
        <v>42978</v>
      </c>
      <c r="I43" t="s">
        <v>1409</v>
      </c>
      <c r="J43">
        <v>1646229</v>
      </c>
      <c r="K43" s="18" t="s">
        <v>1410</v>
      </c>
      <c r="L43" t="s">
        <v>1164</v>
      </c>
      <c r="M43" t="s">
        <v>1165</v>
      </c>
      <c r="N43" t="s">
        <v>492</v>
      </c>
      <c r="O43" t="s">
        <v>372</v>
      </c>
      <c r="P43" t="s">
        <v>1276</v>
      </c>
      <c r="Q43" t="s">
        <v>1277</v>
      </c>
      <c r="R43" t="s">
        <v>1322</v>
      </c>
      <c r="S43" t="s">
        <v>1323</v>
      </c>
      <c r="T43" t="s">
        <v>1323</v>
      </c>
      <c r="U43" t="s">
        <v>1323</v>
      </c>
      <c r="V43" t="s">
        <v>1288</v>
      </c>
      <c r="W43" t="s">
        <v>493</v>
      </c>
      <c r="X43" t="s">
        <v>1282</v>
      </c>
      <c r="Y43" s="154">
        <v>48253</v>
      </c>
      <c r="Z43" s="154">
        <v>48253</v>
      </c>
      <c r="AA43" t="s">
        <v>1359</v>
      </c>
      <c r="AB43" t="s">
        <v>1360</v>
      </c>
      <c r="AC43">
        <v>5.5665984999999996E-3</v>
      </c>
      <c r="AD43" s="16">
        <v>1.15610473E-2</v>
      </c>
      <c r="AE43" s="16">
        <v>6.4487199999999995E-5</v>
      </c>
      <c r="AF43" s="16">
        <v>0</v>
      </c>
      <c r="AG43" s="16">
        <v>0</v>
      </c>
      <c r="AH43" s="16">
        <v>0</v>
      </c>
      <c r="AI43" s="16">
        <v>1.21962E-5</v>
      </c>
      <c r="AJ43" s="16">
        <v>6.7842000000000002E-6</v>
      </c>
      <c r="AK43" s="16">
        <v>5.412E-6</v>
      </c>
      <c r="AL43" s="16">
        <v>1.033354E-4</v>
      </c>
      <c r="AM43" s="16">
        <v>1.8507999999999999E-6</v>
      </c>
      <c r="AN43" s="16">
        <v>-5.74496E-5</v>
      </c>
      <c r="AO43" s="16">
        <v>6.4053000000000003E-6</v>
      </c>
      <c r="AP43" s="16">
        <v>0</v>
      </c>
      <c r="AQ43" s="16">
        <v>0</v>
      </c>
      <c r="AR43" s="16">
        <v>0</v>
      </c>
      <c r="AS43" s="16">
        <v>0</v>
      </c>
      <c r="AT43" s="16">
        <v>0</v>
      </c>
      <c r="AU43" s="16">
        <v>0</v>
      </c>
      <c r="AV43" s="16">
        <v>0</v>
      </c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0</v>
      </c>
      <c r="BD43" s="16">
        <v>0</v>
      </c>
      <c r="BE43" s="16">
        <v>0</v>
      </c>
      <c r="BF43" s="16">
        <v>0</v>
      </c>
      <c r="BG43" s="16">
        <v>0</v>
      </c>
      <c r="BH43" s="16">
        <v>0</v>
      </c>
      <c r="BI43" s="16">
        <v>0</v>
      </c>
      <c r="BJ43" s="16">
        <v>6.6080400000000005E-5</v>
      </c>
      <c r="BK43" s="16"/>
      <c r="BL43" s="16">
        <v>1646229</v>
      </c>
      <c r="BM43" s="61" t="s">
        <v>1285</v>
      </c>
    </row>
    <row r="44" spans="5:65" x14ac:dyDescent="0.25">
      <c r="E44" s="7">
        <f>COUNTIFS(tblBOneExport[ISIN],tblBOneExport[[#This Row],[ISIN]],tblBOneExport[LEVEL1],"Bonds")</f>
        <v>1</v>
      </c>
      <c r="F44">
        <v>4547</v>
      </c>
      <c r="G44" s="155">
        <v>42947</v>
      </c>
      <c r="H44" s="155">
        <v>42978</v>
      </c>
      <c r="I44" t="s">
        <v>1411</v>
      </c>
      <c r="J44">
        <v>1646242</v>
      </c>
      <c r="K44" s="18" t="s">
        <v>1412</v>
      </c>
      <c r="L44" t="s">
        <v>1160</v>
      </c>
      <c r="M44" t="s">
        <v>1161</v>
      </c>
      <c r="N44" t="s">
        <v>492</v>
      </c>
      <c r="O44" t="s">
        <v>372</v>
      </c>
      <c r="P44" t="s">
        <v>1276</v>
      </c>
      <c r="Q44" t="s">
        <v>1277</v>
      </c>
      <c r="R44" t="s">
        <v>1278</v>
      </c>
      <c r="S44" t="s">
        <v>1291</v>
      </c>
      <c r="T44" t="s">
        <v>1413</v>
      </c>
      <c r="U44" t="s">
        <v>1413</v>
      </c>
      <c r="V44" t="s">
        <v>1288</v>
      </c>
      <c r="W44" t="s">
        <v>493</v>
      </c>
      <c r="X44" t="s">
        <v>1282</v>
      </c>
      <c r="Y44" s="154">
        <v>43928</v>
      </c>
      <c r="Z44" s="154">
        <v>43928</v>
      </c>
      <c r="AA44" t="s">
        <v>1308</v>
      </c>
      <c r="AB44" t="s">
        <v>1309</v>
      </c>
      <c r="AC44">
        <v>2.6285570000000001E-3</v>
      </c>
      <c r="AD44" s="16">
        <v>3.3126996999999999E-3</v>
      </c>
      <c r="AE44" s="16">
        <v>8.6925000000000002E-6</v>
      </c>
      <c r="AF44" s="16">
        <v>0</v>
      </c>
      <c r="AG44" s="16">
        <v>0</v>
      </c>
      <c r="AH44" s="16">
        <v>0</v>
      </c>
      <c r="AI44" s="16">
        <v>4.9447000000000003E-6</v>
      </c>
      <c r="AJ44" s="16">
        <v>5.1620000000000003E-7</v>
      </c>
      <c r="AK44" s="16">
        <v>4.4285E-6</v>
      </c>
      <c r="AL44" s="16">
        <v>7.1053999999999998E-6</v>
      </c>
      <c r="AM44" s="16">
        <v>1.821E-7</v>
      </c>
      <c r="AN44" s="16">
        <v>-2.5392000000000002E-6</v>
      </c>
      <c r="AO44" s="16">
        <v>-8.1849999999999998E-7</v>
      </c>
      <c r="AP44" s="16">
        <v>0</v>
      </c>
      <c r="AQ44" s="16">
        <v>0</v>
      </c>
      <c r="AR44" s="16">
        <v>0</v>
      </c>
      <c r="AS44" s="16">
        <v>0</v>
      </c>
      <c r="AT44" s="16">
        <v>0</v>
      </c>
      <c r="AU44" s="16">
        <v>0</v>
      </c>
      <c r="AV44" s="16">
        <v>0</v>
      </c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0</v>
      </c>
      <c r="BD44" s="16">
        <v>0</v>
      </c>
      <c r="BE44" s="16">
        <v>0</v>
      </c>
      <c r="BF44" s="16">
        <v>0</v>
      </c>
      <c r="BG44" s="16">
        <v>0</v>
      </c>
      <c r="BH44" s="16">
        <v>0</v>
      </c>
      <c r="BI44" s="16">
        <v>0</v>
      </c>
      <c r="BJ44" s="16">
        <v>4.9515499999999997E-5</v>
      </c>
      <c r="BK44" s="16"/>
      <c r="BL44" s="16">
        <v>1646242</v>
      </c>
      <c r="BM44" s="61" t="s">
        <v>1285</v>
      </c>
    </row>
    <row r="45" spans="5:65" x14ac:dyDescent="0.25">
      <c r="E45" s="7">
        <f>COUNTIFS(tblBOneExport[ISIN],tblBOneExport[[#This Row],[ISIN]],tblBOneExport[LEVEL1],"Bonds")</f>
        <v>1</v>
      </c>
      <c r="F45">
        <v>4547</v>
      </c>
      <c r="G45" s="155">
        <v>42947</v>
      </c>
      <c r="H45" s="155">
        <v>42978</v>
      </c>
      <c r="I45" t="s">
        <v>1414</v>
      </c>
      <c r="J45">
        <v>1640797</v>
      </c>
      <c r="K45" s="18" t="s">
        <v>1415</v>
      </c>
      <c r="L45" t="s">
        <v>737</v>
      </c>
      <c r="M45" t="s">
        <v>733</v>
      </c>
      <c r="N45" t="s">
        <v>492</v>
      </c>
      <c r="O45" t="s">
        <v>372</v>
      </c>
      <c r="P45" t="s">
        <v>1276</v>
      </c>
      <c r="Q45" t="s">
        <v>1330</v>
      </c>
      <c r="R45" t="s">
        <v>1352</v>
      </c>
      <c r="S45" t="s">
        <v>1352</v>
      </c>
      <c r="T45" t="s">
        <v>1352</v>
      </c>
      <c r="U45" t="s">
        <v>1352</v>
      </c>
      <c r="V45" t="s">
        <v>1353</v>
      </c>
      <c r="W45" t="s">
        <v>493</v>
      </c>
      <c r="X45" t="s">
        <v>1282</v>
      </c>
      <c r="Y45" s="154">
        <v>48372</v>
      </c>
      <c r="Z45" s="154">
        <v>48372</v>
      </c>
      <c r="AA45" t="s">
        <v>1369</v>
      </c>
      <c r="AB45" t="s">
        <v>1370</v>
      </c>
      <c r="AC45">
        <v>4.3846422000000003E-3</v>
      </c>
      <c r="AD45" s="16">
        <v>2.09199191E-2</v>
      </c>
      <c r="AE45" s="16">
        <v>9.13477E-5</v>
      </c>
      <c r="AF45" s="16">
        <v>0</v>
      </c>
      <c r="AG45" s="16">
        <v>0</v>
      </c>
      <c r="AH45" s="16">
        <v>0</v>
      </c>
      <c r="AI45" s="16">
        <v>6.4311000000000001E-6</v>
      </c>
      <c r="AJ45" s="16">
        <v>5.4361000000000004E-6</v>
      </c>
      <c r="AK45" s="16">
        <v>9.95E-7</v>
      </c>
      <c r="AL45" s="16">
        <v>8.7364499999999993E-5</v>
      </c>
      <c r="AM45" s="16">
        <v>1.5821000000000001E-6</v>
      </c>
      <c r="AN45" s="16">
        <v>-2.419E-6</v>
      </c>
      <c r="AO45" s="16">
        <v>-2.8900000000000001E-8</v>
      </c>
      <c r="AP45" s="16">
        <v>0</v>
      </c>
      <c r="AQ45" s="16">
        <v>0</v>
      </c>
      <c r="AR45" s="16">
        <v>0</v>
      </c>
      <c r="AS45" s="16">
        <v>0</v>
      </c>
      <c r="AT45" s="16">
        <v>0</v>
      </c>
      <c r="AU45" s="16">
        <v>0</v>
      </c>
      <c r="AV45" s="16">
        <v>0</v>
      </c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0</v>
      </c>
      <c r="BD45" s="16">
        <v>0</v>
      </c>
      <c r="BE45" s="16">
        <v>0</v>
      </c>
      <c r="BF45" s="16">
        <v>0</v>
      </c>
      <c r="BG45" s="16">
        <v>0</v>
      </c>
      <c r="BH45" s="16">
        <v>0</v>
      </c>
      <c r="BI45" s="16">
        <v>0</v>
      </c>
      <c r="BJ45" s="16">
        <v>1.1880499999999999E-5</v>
      </c>
      <c r="BK45" s="16"/>
      <c r="BL45" s="16">
        <v>1640797</v>
      </c>
      <c r="BM45" s="61" t="s">
        <v>1285</v>
      </c>
    </row>
    <row r="46" spans="5:65" x14ac:dyDescent="0.25">
      <c r="E46" s="7">
        <f>COUNTIFS(tblBOneExport[ISIN],tblBOneExport[[#This Row],[ISIN]],tblBOneExport[LEVEL1],"Bonds")</f>
        <v>1</v>
      </c>
      <c r="F46">
        <v>4547</v>
      </c>
      <c r="G46" s="155">
        <v>42947</v>
      </c>
      <c r="H46" s="155">
        <v>42978</v>
      </c>
      <c r="I46" t="s">
        <v>1416</v>
      </c>
      <c r="J46">
        <v>1652212</v>
      </c>
      <c r="K46" s="18" t="s">
        <v>1417</v>
      </c>
      <c r="L46" t="s">
        <v>528</v>
      </c>
      <c r="M46" t="s">
        <v>526</v>
      </c>
      <c r="N46" t="s">
        <v>492</v>
      </c>
      <c r="O46" t="s">
        <v>372</v>
      </c>
      <c r="P46" t="s">
        <v>1276</v>
      </c>
      <c r="Q46" t="s">
        <v>1277</v>
      </c>
      <c r="R46" t="s">
        <v>1300</v>
      </c>
      <c r="S46" t="s">
        <v>1301</v>
      </c>
      <c r="T46" t="s">
        <v>1302</v>
      </c>
      <c r="U46" t="s">
        <v>1302</v>
      </c>
      <c r="V46" t="s">
        <v>1332</v>
      </c>
      <c r="W46" t="s">
        <v>493</v>
      </c>
      <c r="X46" t="s">
        <v>1282</v>
      </c>
      <c r="Y46" s="154">
        <v>44109</v>
      </c>
      <c r="Z46" s="154">
        <v>44109</v>
      </c>
      <c r="AA46" t="s">
        <v>1418</v>
      </c>
      <c r="AB46" t="s">
        <v>1419</v>
      </c>
      <c r="AC46">
        <v>3.5264210000000001E-3</v>
      </c>
      <c r="AD46" s="16">
        <v>3.4949294000000001E-3</v>
      </c>
      <c r="AE46" s="16">
        <v>1.24404E-5</v>
      </c>
      <c r="AF46" s="16">
        <v>0</v>
      </c>
      <c r="AG46" s="16">
        <v>0</v>
      </c>
      <c r="AH46" s="16">
        <v>0</v>
      </c>
      <c r="AI46" s="16">
        <v>3.1499999999999999E-6</v>
      </c>
      <c r="AJ46" s="16">
        <v>7.6270000000000002E-7</v>
      </c>
      <c r="AK46" s="16">
        <v>2.3873E-6</v>
      </c>
      <c r="AL46" s="16">
        <v>1.20408E-5</v>
      </c>
      <c r="AM46" s="16">
        <v>5.1890000000000002E-7</v>
      </c>
      <c r="AN46" s="16">
        <v>-1.1035999999999999E-6</v>
      </c>
      <c r="AO46" s="16">
        <v>-1.6469000000000001E-6</v>
      </c>
      <c r="AP46" s="16">
        <v>0</v>
      </c>
      <c r="AQ46" s="16">
        <v>0</v>
      </c>
      <c r="AR46" s="16">
        <v>0</v>
      </c>
      <c r="AS46" s="16">
        <v>0</v>
      </c>
      <c r="AT46" s="16">
        <v>0</v>
      </c>
      <c r="AU46" s="16">
        <v>0</v>
      </c>
      <c r="AV46" s="16">
        <v>0</v>
      </c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0</v>
      </c>
      <c r="BD46" s="16">
        <v>0</v>
      </c>
      <c r="BE46" s="16">
        <v>0</v>
      </c>
      <c r="BF46" s="16">
        <v>0</v>
      </c>
      <c r="BG46" s="16">
        <v>0</v>
      </c>
      <c r="BH46" s="16">
        <v>0</v>
      </c>
      <c r="BI46" s="16">
        <v>0</v>
      </c>
      <c r="BJ46" s="16">
        <v>2.84484E-5</v>
      </c>
      <c r="BK46" s="16"/>
      <c r="BL46" s="16">
        <v>1652212</v>
      </c>
      <c r="BM46" s="61" t="s">
        <v>1285</v>
      </c>
    </row>
    <row r="47" spans="5:65" x14ac:dyDescent="0.25">
      <c r="E47" s="7">
        <f>COUNTIFS(tblBOneExport[ISIN],tblBOneExport[[#This Row],[ISIN]],tblBOneExport[LEVEL1],"Bonds")</f>
        <v>1</v>
      </c>
      <c r="F47">
        <v>4547</v>
      </c>
      <c r="G47" s="155">
        <v>42947</v>
      </c>
      <c r="H47" s="155">
        <v>42978</v>
      </c>
      <c r="I47" t="s">
        <v>1420</v>
      </c>
      <c r="J47">
        <v>1640627</v>
      </c>
      <c r="K47" s="18" t="s">
        <v>1421</v>
      </c>
      <c r="L47" t="s">
        <v>1257</v>
      </c>
      <c r="M47" t="s">
        <v>1255</v>
      </c>
      <c r="N47" t="s">
        <v>492</v>
      </c>
      <c r="O47" t="s">
        <v>372</v>
      </c>
      <c r="P47" t="s">
        <v>1276</v>
      </c>
      <c r="Q47" t="s">
        <v>1277</v>
      </c>
      <c r="R47" t="s">
        <v>1278</v>
      </c>
      <c r="S47" t="s">
        <v>1306</v>
      </c>
      <c r="T47" t="s">
        <v>1422</v>
      </c>
      <c r="U47" t="s">
        <v>1422</v>
      </c>
      <c r="V47" t="s">
        <v>1303</v>
      </c>
      <c r="W47" t="s">
        <v>493</v>
      </c>
      <c r="X47" t="s">
        <v>1282</v>
      </c>
      <c r="Y47" s="154">
        <v>47836</v>
      </c>
      <c r="Z47" s="154">
        <v>47836</v>
      </c>
      <c r="AA47" t="s">
        <v>1308</v>
      </c>
      <c r="AB47" t="s">
        <v>1309</v>
      </c>
      <c r="AC47">
        <v>3.3222916E-3</v>
      </c>
      <c r="AD47" s="16">
        <v>1.8062811799999998E-2</v>
      </c>
      <c r="AE47" s="16">
        <v>5.9897900000000001E-5</v>
      </c>
      <c r="AF47" s="16">
        <v>0</v>
      </c>
      <c r="AG47" s="16">
        <v>0</v>
      </c>
      <c r="AH47" s="16">
        <v>0</v>
      </c>
      <c r="AI47" s="16">
        <v>5.8738999999999998E-6</v>
      </c>
      <c r="AJ47" s="16">
        <v>3.9461000000000002E-6</v>
      </c>
      <c r="AK47" s="16">
        <v>1.9278E-6</v>
      </c>
      <c r="AL47" s="16">
        <v>6.2345E-5</v>
      </c>
      <c r="AM47" s="16">
        <v>1.0881E-6</v>
      </c>
      <c r="AN47" s="16">
        <v>-1.0221700000000001E-5</v>
      </c>
      <c r="AO47" s="16">
        <v>1.9007000000000001E-6</v>
      </c>
      <c r="AP47" s="16">
        <v>0</v>
      </c>
      <c r="AQ47" s="16">
        <v>0</v>
      </c>
      <c r="AR47" s="16">
        <v>0</v>
      </c>
      <c r="AS47" s="16">
        <v>0</v>
      </c>
      <c r="AT47" s="16">
        <v>0</v>
      </c>
      <c r="AU47" s="16">
        <v>0</v>
      </c>
      <c r="AV47" s="16">
        <v>0</v>
      </c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0</v>
      </c>
      <c r="BD47" s="16">
        <v>0</v>
      </c>
      <c r="BE47" s="16">
        <v>0</v>
      </c>
      <c r="BF47" s="16">
        <v>0</v>
      </c>
      <c r="BG47" s="16">
        <v>0</v>
      </c>
      <c r="BH47" s="16">
        <v>0</v>
      </c>
      <c r="BI47" s="16">
        <v>0</v>
      </c>
      <c r="BJ47" s="16">
        <v>2.3172499999999999E-5</v>
      </c>
      <c r="BK47" s="16"/>
      <c r="BL47" s="16">
        <v>1640627</v>
      </c>
      <c r="BM47" s="61" t="s">
        <v>1285</v>
      </c>
    </row>
    <row r="48" spans="5:65" x14ac:dyDescent="0.25">
      <c r="E48" s="7">
        <f>COUNTIFS(tblBOneExport[ISIN],tblBOneExport[[#This Row],[ISIN]],tblBOneExport[LEVEL1],"Bonds")</f>
        <v>1</v>
      </c>
      <c r="F48">
        <v>4547</v>
      </c>
      <c r="G48" s="155">
        <v>42947</v>
      </c>
      <c r="H48" s="155">
        <v>42978</v>
      </c>
      <c r="I48" t="s">
        <v>1423</v>
      </c>
      <c r="J48">
        <v>1640552</v>
      </c>
      <c r="K48" s="18" t="s">
        <v>1424</v>
      </c>
      <c r="L48" t="s">
        <v>1095</v>
      </c>
      <c r="M48" t="s">
        <v>1093</v>
      </c>
      <c r="N48" t="s">
        <v>492</v>
      </c>
      <c r="O48" t="s">
        <v>372</v>
      </c>
      <c r="P48" t="s">
        <v>1276</v>
      </c>
      <c r="Q48" t="s">
        <v>1277</v>
      </c>
      <c r="R48" t="s">
        <v>1322</v>
      </c>
      <c r="S48" t="s">
        <v>1358</v>
      </c>
      <c r="T48" t="s">
        <v>1358</v>
      </c>
      <c r="U48" t="s">
        <v>1358</v>
      </c>
      <c r="V48" t="s">
        <v>1288</v>
      </c>
      <c r="W48" t="s">
        <v>493</v>
      </c>
      <c r="X48" t="s">
        <v>1282</v>
      </c>
      <c r="Y48" s="154">
        <v>44306</v>
      </c>
      <c r="Z48" s="154">
        <v>44306</v>
      </c>
      <c r="AA48" t="s">
        <v>1294</v>
      </c>
      <c r="AB48" t="s">
        <v>1295</v>
      </c>
      <c r="AC48">
        <v>1.3970297E-3</v>
      </c>
      <c r="AD48" s="16">
        <v>5.7470061000000003E-3</v>
      </c>
      <c r="AE48" s="16">
        <v>8.0668000000000004E-6</v>
      </c>
      <c r="AF48" s="16">
        <v>0</v>
      </c>
      <c r="AG48" s="16">
        <v>0</v>
      </c>
      <c r="AH48" s="16">
        <v>0</v>
      </c>
      <c r="AI48" s="16">
        <v>1.5108E-6</v>
      </c>
      <c r="AJ48" s="16">
        <v>3.4069999999999997E-7</v>
      </c>
      <c r="AK48" s="16">
        <v>1.1702E-6</v>
      </c>
      <c r="AL48" s="16">
        <v>5.9239000000000002E-6</v>
      </c>
      <c r="AM48" s="16">
        <v>2.438E-7</v>
      </c>
      <c r="AN48" s="16">
        <v>2.7850000000000001E-7</v>
      </c>
      <c r="AO48" s="16">
        <v>3.5359999999999999E-7</v>
      </c>
      <c r="AP48" s="16">
        <v>0</v>
      </c>
      <c r="AQ48" s="16">
        <v>0</v>
      </c>
      <c r="AR48" s="16">
        <v>0</v>
      </c>
      <c r="AS48" s="16">
        <v>0</v>
      </c>
      <c r="AT48" s="16">
        <v>0</v>
      </c>
      <c r="AU48" s="16">
        <v>0</v>
      </c>
      <c r="AV48" s="16">
        <v>0</v>
      </c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0</v>
      </c>
      <c r="BD48" s="16">
        <v>0</v>
      </c>
      <c r="BE48" s="16">
        <v>0</v>
      </c>
      <c r="BF48" s="16">
        <v>0</v>
      </c>
      <c r="BG48" s="16">
        <v>0</v>
      </c>
      <c r="BH48" s="16">
        <v>0</v>
      </c>
      <c r="BI48" s="16">
        <v>0</v>
      </c>
      <c r="BJ48" s="16">
        <v>1.3426400000000001E-5</v>
      </c>
      <c r="BK48" s="16"/>
      <c r="BL48" s="16">
        <v>1640552</v>
      </c>
      <c r="BM48" s="61" t="s">
        <v>1285</v>
      </c>
    </row>
    <row r="49" spans="5:65" x14ac:dyDescent="0.25">
      <c r="E49" s="7">
        <f>COUNTIFS(tblBOneExport[ISIN],tblBOneExport[[#This Row],[ISIN]],tblBOneExport[LEVEL1],"Bonds")</f>
        <v>1</v>
      </c>
      <c r="F49">
        <v>4547</v>
      </c>
      <c r="G49" s="155">
        <v>42947</v>
      </c>
      <c r="H49" s="155">
        <v>42978</v>
      </c>
      <c r="I49" t="s">
        <v>1425</v>
      </c>
      <c r="J49">
        <v>1643245</v>
      </c>
      <c r="K49" s="18" t="s">
        <v>1426</v>
      </c>
      <c r="L49" t="s">
        <v>677</v>
      </c>
      <c r="M49" t="s">
        <v>675</v>
      </c>
      <c r="N49" t="s">
        <v>492</v>
      </c>
      <c r="O49" t="s">
        <v>372</v>
      </c>
      <c r="P49" t="s">
        <v>1276</v>
      </c>
      <c r="Q49" t="s">
        <v>1277</v>
      </c>
      <c r="R49" t="s">
        <v>1322</v>
      </c>
      <c r="S49" t="s">
        <v>1323</v>
      </c>
      <c r="T49" t="s">
        <v>1323</v>
      </c>
      <c r="U49" t="s">
        <v>1323</v>
      </c>
      <c r="V49" t="s">
        <v>1332</v>
      </c>
      <c r="W49" t="s">
        <v>493</v>
      </c>
      <c r="X49" t="s">
        <v>1427</v>
      </c>
      <c r="Y49" s="154">
        <v>46843</v>
      </c>
      <c r="Z49" s="154">
        <v>46843</v>
      </c>
      <c r="AA49" t="s">
        <v>1418</v>
      </c>
      <c r="AB49" t="s">
        <v>1419</v>
      </c>
      <c r="AC49">
        <v>7.2153251000000003E-3</v>
      </c>
      <c r="AD49" s="16">
        <v>2.0431068100000001E-2</v>
      </c>
      <c r="AE49" s="16">
        <v>1.469052E-4</v>
      </c>
      <c r="AF49" s="16">
        <v>0</v>
      </c>
      <c r="AG49" s="16">
        <v>0</v>
      </c>
      <c r="AH49" s="16">
        <v>0</v>
      </c>
      <c r="AI49" s="16">
        <v>1.1749800000000001E-5</v>
      </c>
      <c r="AJ49" s="16">
        <v>7.1973999999999999E-6</v>
      </c>
      <c r="AK49" s="16">
        <v>4.5525E-6</v>
      </c>
      <c r="AL49" s="16">
        <v>1.2251889999999999E-4</v>
      </c>
      <c r="AM49" s="16">
        <v>6.5243999999999997E-6</v>
      </c>
      <c r="AN49" s="16">
        <v>2.2584800000000001E-5</v>
      </c>
      <c r="AO49" s="16">
        <v>-9.9483999999999995E-6</v>
      </c>
      <c r="AP49" s="16">
        <v>0</v>
      </c>
      <c r="AQ49" s="16">
        <v>0</v>
      </c>
      <c r="AR49" s="16">
        <v>0</v>
      </c>
      <c r="AS49" s="16">
        <v>0</v>
      </c>
      <c r="AT49" s="16">
        <v>0</v>
      </c>
      <c r="AU49" s="16">
        <v>0</v>
      </c>
      <c r="AV49" s="16">
        <v>0</v>
      </c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0</v>
      </c>
      <c r="BD49" s="16">
        <v>0</v>
      </c>
      <c r="BE49" s="16">
        <v>0</v>
      </c>
      <c r="BF49" s="16">
        <v>0</v>
      </c>
      <c r="BG49" s="16">
        <v>0</v>
      </c>
      <c r="BH49" s="16">
        <v>0</v>
      </c>
      <c r="BI49" s="16">
        <v>0</v>
      </c>
      <c r="BJ49" s="16">
        <v>5.2915699999999999E-5</v>
      </c>
      <c r="BK49" s="16"/>
      <c r="BL49" s="16">
        <v>1643245</v>
      </c>
      <c r="BM49" s="61" t="s">
        <v>1285</v>
      </c>
    </row>
    <row r="50" spans="5:65" x14ac:dyDescent="0.25">
      <c r="E50" s="7">
        <f>COUNTIFS(tblBOneExport[ISIN],tblBOneExport[[#This Row],[ISIN]],tblBOneExport[LEVEL1],"Bonds")</f>
        <v>1</v>
      </c>
      <c r="F50">
        <v>4547</v>
      </c>
      <c r="G50" s="155">
        <v>42947</v>
      </c>
      <c r="H50" s="155">
        <v>42978</v>
      </c>
      <c r="I50" t="s">
        <v>1428</v>
      </c>
      <c r="J50">
        <v>1643240</v>
      </c>
      <c r="K50" s="18" t="s">
        <v>1429</v>
      </c>
      <c r="L50" t="s">
        <v>679</v>
      </c>
      <c r="M50" t="s">
        <v>675</v>
      </c>
      <c r="N50" t="s">
        <v>492</v>
      </c>
      <c r="O50" t="s">
        <v>372</v>
      </c>
      <c r="P50" t="s">
        <v>1276</v>
      </c>
      <c r="Q50" t="s">
        <v>1277</v>
      </c>
      <c r="R50" t="s">
        <v>1322</v>
      </c>
      <c r="S50" t="s">
        <v>1323</v>
      </c>
      <c r="T50" t="s">
        <v>1323</v>
      </c>
      <c r="U50" t="s">
        <v>1323</v>
      </c>
      <c r="V50" t="s">
        <v>1332</v>
      </c>
      <c r="W50" t="s">
        <v>493</v>
      </c>
      <c r="X50" t="s">
        <v>1427</v>
      </c>
      <c r="Y50" s="154">
        <v>44286</v>
      </c>
      <c r="Z50" s="154">
        <v>44286</v>
      </c>
      <c r="AA50" t="s">
        <v>1418</v>
      </c>
      <c r="AB50" t="s">
        <v>1419</v>
      </c>
      <c r="AC50">
        <v>1.5787831000000001E-3</v>
      </c>
      <c r="AD50" s="16">
        <v>3.2309921999999999E-3</v>
      </c>
      <c r="AE50" s="16">
        <v>5.1340000000000003E-6</v>
      </c>
      <c r="AF50" s="16">
        <v>0</v>
      </c>
      <c r="AG50" s="16">
        <v>0</v>
      </c>
      <c r="AH50" s="16">
        <v>0</v>
      </c>
      <c r="AI50" s="16">
        <v>1.2161000000000001E-6</v>
      </c>
      <c r="AJ50" s="16">
        <v>3.819E-7</v>
      </c>
      <c r="AK50" s="16">
        <v>8.3419999999999999E-7</v>
      </c>
      <c r="AL50" s="16">
        <v>6.5498000000000004E-6</v>
      </c>
      <c r="AM50" s="16">
        <v>2.7099999999999998E-7</v>
      </c>
      <c r="AN50" s="16">
        <v>-1.1684999999999999E-6</v>
      </c>
      <c r="AO50" s="16">
        <v>-1.4634E-6</v>
      </c>
      <c r="AP50" s="16">
        <v>0</v>
      </c>
      <c r="AQ50" s="16">
        <v>0</v>
      </c>
      <c r="AR50" s="16">
        <v>0</v>
      </c>
      <c r="AS50" s="16">
        <v>0</v>
      </c>
      <c r="AT50" s="16">
        <v>0</v>
      </c>
      <c r="AU50" s="16">
        <v>0</v>
      </c>
      <c r="AV50" s="16">
        <v>0</v>
      </c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0</v>
      </c>
      <c r="BD50" s="16">
        <v>0</v>
      </c>
      <c r="BE50" s="16">
        <v>0</v>
      </c>
      <c r="BF50" s="16">
        <v>0</v>
      </c>
      <c r="BG50" s="16">
        <v>0</v>
      </c>
      <c r="BH50" s="16">
        <v>0</v>
      </c>
      <c r="BI50" s="16">
        <v>0</v>
      </c>
      <c r="BJ50" s="16">
        <v>9.8834999999999995E-6</v>
      </c>
      <c r="BK50" s="16"/>
      <c r="BL50" s="16">
        <v>1643240</v>
      </c>
      <c r="BM50" s="61" t="s">
        <v>1285</v>
      </c>
    </row>
    <row r="51" spans="5:65" x14ac:dyDescent="0.25">
      <c r="E51" s="7">
        <f>COUNTIFS(tblBOneExport[ISIN],tblBOneExport[[#This Row],[ISIN]],tblBOneExport[LEVEL1],"Bonds")</f>
        <v>1</v>
      </c>
      <c r="F51">
        <v>4547</v>
      </c>
      <c r="G51" s="155">
        <v>42947</v>
      </c>
      <c r="H51" s="155">
        <v>42978</v>
      </c>
      <c r="I51" t="s">
        <v>1430</v>
      </c>
      <c r="J51">
        <v>1650281</v>
      </c>
      <c r="K51" s="18" t="s">
        <v>1431</v>
      </c>
      <c r="L51" t="s">
        <v>893</v>
      </c>
      <c r="M51" t="s">
        <v>889</v>
      </c>
      <c r="N51" t="s">
        <v>492</v>
      </c>
      <c r="O51" t="s">
        <v>372</v>
      </c>
      <c r="P51" t="s">
        <v>1276</v>
      </c>
      <c r="Q51" t="s">
        <v>1330</v>
      </c>
      <c r="R51" t="s">
        <v>1331</v>
      </c>
      <c r="S51" t="s">
        <v>1331</v>
      </c>
      <c r="T51" t="s">
        <v>1331</v>
      </c>
      <c r="U51" t="s">
        <v>1331</v>
      </c>
      <c r="V51" t="s">
        <v>1353</v>
      </c>
      <c r="W51" t="s">
        <v>493</v>
      </c>
      <c r="X51" t="s">
        <v>1282</v>
      </c>
      <c r="Y51" s="154">
        <v>42972</v>
      </c>
      <c r="Z51" s="154">
        <v>42972</v>
      </c>
      <c r="AA51" t="s">
        <v>1432</v>
      </c>
      <c r="AB51" t="s">
        <v>1433</v>
      </c>
      <c r="AC51">
        <v>9.748084E-4</v>
      </c>
      <c r="AD51" s="16">
        <v>4.9847569999999998E-4</v>
      </c>
      <c r="AE51" s="16">
        <v>5.8930000000000002E-7</v>
      </c>
      <c r="AF51" s="16">
        <v>0</v>
      </c>
      <c r="AG51" s="16">
        <v>0</v>
      </c>
      <c r="AH51" s="16">
        <v>0</v>
      </c>
      <c r="AI51" s="16">
        <v>1.4047000000000001E-6</v>
      </c>
      <c r="AJ51" s="16">
        <v>1.9289999999999999E-7</v>
      </c>
      <c r="AK51" s="16">
        <v>1.2118E-6</v>
      </c>
      <c r="AL51" s="16">
        <v>8.9999999999999999E-10</v>
      </c>
      <c r="AM51" s="16">
        <v>0</v>
      </c>
      <c r="AN51" s="16">
        <v>-7.7059999999999998E-7</v>
      </c>
      <c r="AO51" s="16">
        <v>-2.2079999999999999E-7</v>
      </c>
      <c r="AP51" s="16">
        <v>0</v>
      </c>
      <c r="AQ51" s="16">
        <v>0</v>
      </c>
      <c r="AR51" s="16">
        <v>0</v>
      </c>
      <c r="AS51" s="16">
        <v>0</v>
      </c>
      <c r="AT51" s="16">
        <v>0</v>
      </c>
      <c r="AU51" s="16">
        <v>0</v>
      </c>
      <c r="AV51" s="16">
        <v>1.751E-7</v>
      </c>
      <c r="AW51" s="16">
        <v>1.751E-7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0</v>
      </c>
      <c r="BD51" s="16">
        <v>0</v>
      </c>
      <c r="BE51" s="16">
        <v>0</v>
      </c>
      <c r="BF51" s="16">
        <v>0</v>
      </c>
      <c r="BG51" s="16">
        <v>0</v>
      </c>
      <c r="BH51" s="16">
        <v>0</v>
      </c>
      <c r="BI51" s="16">
        <v>0</v>
      </c>
      <c r="BJ51" s="16"/>
      <c r="BK51" s="16"/>
      <c r="BL51" s="16">
        <v>1650281</v>
      </c>
      <c r="BM51" s="61" t="s">
        <v>1285</v>
      </c>
    </row>
    <row r="52" spans="5:65" x14ac:dyDescent="0.25">
      <c r="E52" s="7">
        <f>COUNTIFS(tblBOneExport[ISIN],tblBOneExport[[#This Row],[ISIN]],tblBOneExport[LEVEL1],"Bonds")</f>
        <v>1</v>
      </c>
      <c r="F52">
        <v>4547</v>
      </c>
      <c r="G52" s="155">
        <v>42947</v>
      </c>
      <c r="H52" s="155">
        <v>42978</v>
      </c>
      <c r="I52" t="s">
        <v>1434</v>
      </c>
      <c r="J52">
        <v>1650286</v>
      </c>
      <c r="K52" s="18" t="s">
        <v>1435</v>
      </c>
      <c r="L52" t="s">
        <v>891</v>
      </c>
      <c r="M52" t="s">
        <v>889</v>
      </c>
      <c r="N52" t="s">
        <v>492</v>
      </c>
      <c r="O52" t="s">
        <v>372</v>
      </c>
      <c r="P52" t="s">
        <v>1276</v>
      </c>
      <c r="Q52" t="s">
        <v>1330</v>
      </c>
      <c r="R52" t="s">
        <v>1331</v>
      </c>
      <c r="S52" t="s">
        <v>1331</v>
      </c>
      <c r="T52" t="s">
        <v>1331</v>
      </c>
      <c r="U52" t="s">
        <v>1331</v>
      </c>
      <c r="V52" t="s">
        <v>1353</v>
      </c>
      <c r="W52" t="s">
        <v>493</v>
      </c>
      <c r="X52" t="s">
        <v>1282</v>
      </c>
      <c r="Y52" s="154">
        <v>47094</v>
      </c>
      <c r="Z52" s="154">
        <v>47094</v>
      </c>
      <c r="AA52" t="s">
        <v>1432</v>
      </c>
      <c r="AB52" t="s">
        <v>1433</v>
      </c>
      <c r="AC52">
        <v>5.2538526E-3</v>
      </c>
      <c r="AD52" s="16">
        <v>1.9697803600000001E-2</v>
      </c>
      <c r="AE52" s="16">
        <v>1.031578E-4</v>
      </c>
      <c r="AF52" s="16">
        <v>0</v>
      </c>
      <c r="AG52" s="16">
        <v>0</v>
      </c>
      <c r="AH52" s="16">
        <v>0</v>
      </c>
      <c r="AI52" s="16">
        <v>6.4401999999999998E-6</v>
      </c>
      <c r="AJ52" s="16">
        <v>5.6590000000000004E-6</v>
      </c>
      <c r="AK52" s="16">
        <v>7.8110000000000003E-7</v>
      </c>
      <c r="AL52" s="16">
        <v>9.2644000000000003E-5</v>
      </c>
      <c r="AM52" s="16">
        <v>4.9934999999999997E-6</v>
      </c>
      <c r="AN52" s="16">
        <v>-4.1099999999999997E-8</v>
      </c>
      <c r="AO52" s="16">
        <v>4.1148E-6</v>
      </c>
      <c r="AP52" s="16">
        <v>0</v>
      </c>
      <c r="AQ52" s="16">
        <v>0</v>
      </c>
      <c r="AR52" s="16">
        <v>0</v>
      </c>
      <c r="AS52" s="16">
        <v>0</v>
      </c>
      <c r="AT52" s="16">
        <v>0</v>
      </c>
      <c r="AU52" s="16">
        <v>0</v>
      </c>
      <c r="AV52" s="16">
        <v>0</v>
      </c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0</v>
      </c>
      <c r="BD52" s="16">
        <v>0</v>
      </c>
      <c r="BE52" s="16">
        <v>0</v>
      </c>
      <c r="BF52" s="16">
        <v>0</v>
      </c>
      <c r="BG52" s="16">
        <v>0</v>
      </c>
      <c r="BH52" s="16">
        <v>0</v>
      </c>
      <c r="BI52" s="16">
        <v>0</v>
      </c>
      <c r="BJ52" s="16">
        <v>9.4841999999999998E-6</v>
      </c>
      <c r="BK52" s="16"/>
      <c r="BL52" s="16">
        <v>1650286</v>
      </c>
      <c r="BM52" s="61" t="s">
        <v>1285</v>
      </c>
    </row>
    <row r="53" spans="5:65" x14ac:dyDescent="0.25">
      <c r="E53" s="7">
        <f>COUNTIFS(tblBOneExport[ISIN],tblBOneExport[[#This Row],[ISIN]],tblBOneExport[LEVEL1],"Bonds")</f>
        <v>1</v>
      </c>
      <c r="F53">
        <v>4547</v>
      </c>
      <c r="G53" s="155">
        <v>42947</v>
      </c>
      <c r="H53" s="155">
        <v>42978</v>
      </c>
      <c r="I53" t="s">
        <v>1436</v>
      </c>
      <c r="J53">
        <v>1650285</v>
      </c>
      <c r="K53" s="18" t="s">
        <v>1437</v>
      </c>
      <c r="L53" t="s">
        <v>895</v>
      </c>
      <c r="M53" t="s">
        <v>889</v>
      </c>
      <c r="N53" t="s">
        <v>492</v>
      </c>
      <c r="O53" t="s">
        <v>372</v>
      </c>
      <c r="P53" t="s">
        <v>1276</v>
      </c>
      <c r="Q53" t="s">
        <v>1330</v>
      </c>
      <c r="R53" t="s">
        <v>1331</v>
      </c>
      <c r="S53" t="s">
        <v>1331</v>
      </c>
      <c r="T53" t="s">
        <v>1331</v>
      </c>
      <c r="U53" t="s">
        <v>1331</v>
      </c>
      <c r="V53" t="s">
        <v>1353</v>
      </c>
      <c r="W53" t="s">
        <v>493</v>
      </c>
      <c r="X53" t="s">
        <v>1282</v>
      </c>
      <c r="Y53" s="154">
        <v>49835</v>
      </c>
      <c r="Z53" s="154">
        <v>49835</v>
      </c>
      <c r="AA53" t="s">
        <v>1432</v>
      </c>
      <c r="AB53" t="s">
        <v>1433</v>
      </c>
      <c r="AC53">
        <v>5.3241922999999998E-3</v>
      </c>
      <c r="AD53" s="16">
        <v>2.3349436599999999E-2</v>
      </c>
      <c r="AE53" s="16">
        <v>1.2362009999999999E-4</v>
      </c>
      <c r="AF53" s="16">
        <v>0</v>
      </c>
      <c r="AG53" s="16">
        <v>0</v>
      </c>
      <c r="AH53" s="16">
        <v>0</v>
      </c>
      <c r="AI53" s="16">
        <v>7.7780999999999993E-6</v>
      </c>
      <c r="AJ53" s="16">
        <v>7.2516000000000002E-6</v>
      </c>
      <c r="AK53" s="16">
        <v>5.2649999999999996E-7</v>
      </c>
      <c r="AL53" s="16">
        <v>7.3690399999999995E-5</v>
      </c>
      <c r="AM53" s="16">
        <v>2.1986999999999998E-6</v>
      </c>
      <c r="AN53" s="16">
        <v>3.7824100000000003E-5</v>
      </c>
      <c r="AO53" s="16">
        <v>4.3274999999999996E-6</v>
      </c>
      <c r="AP53" s="16">
        <v>0</v>
      </c>
      <c r="AQ53" s="16">
        <v>0</v>
      </c>
      <c r="AR53" s="16">
        <v>0</v>
      </c>
      <c r="AS53" s="16">
        <v>0</v>
      </c>
      <c r="AT53" s="16">
        <v>0</v>
      </c>
      <c r="AU53" s="16">
        <v>0</v>
      </c>
      <c r="AV53" s="16">
        <v>0</v>
      </c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0</v>
      </c>
      <c r="BD53" s="16">
        <v>0</v>
      </c>
      <c r="BE53" s="16">
        <v>0</v>
      </c>
      <c r="BF53" s="16">
        <v>0</v>
      </c>
      <c r="BG53" s="16">
        <v>0</v>
      </c>
      <c r="BH53" s="16">
        <v>0</v>
      </c>
      <c r="BI53" s="16">
        <v>0</v>
      </c>
      <c r="BJ53" s="16">
        <v>3.1250999999999999E-6</v>
      </c>
      <c r="BK53" s="16"/>
      <c r="BL53" s="16">
        <v>1650285</v>
      </c>
      <c r="BM53" s="61" t="s">
        <v>1285</v>
      </c>
    </row>
    <row r="54" spans="5:65" x14ac:dyDescent="0.25">
      <c r="E54" s="7">
        <f>COUNTIFS(tblBOneExport[ISIN],tblBOneExport[[#This Row],[ISIN]],tblBOneExport[LEVEL1],"Bonds")</f>
        <v>1</v>
      </c>
      <c r="F54">
        <v>4547</v>
      </c>
      <c r="G54" s="155">
        <v>42947</v>
      </c>
      <c r="H54" s="155">
        <v>42978</v>
      </c>
      <c r="I54" t="s">
        <v>1438</v>
      </c>
      <c r="J54">
        <v>1645963</v>
      </c>
      <c r="K54" s="18" t="s">
        <v>1439</v>
      </c>
      <c r="L54" t="s">
        <v>1102</v>
      </c>
      <c r="M54" t="s">
        <v>1103</v>
      </c>
      <c r="N54" t="s">
        <v>492</v>
      </c>
      <c r="O54" t="s">
        <v>372</v>
      </c>
      <c r="P54" t="s">
        <v>1276</v>
      </c>
      <c r="Q54" t="s">
        <v>1277</v>
      </c>
      <c r="R54" t="s">
        <v>1322</v>
      </c>
      <c r="S54" t="s">
        <v>1358</v>
      </c>
      <c r="T54" t="s">
        <v>1358</v>
      </c>
      <c r="U54" t="s">
        <v>1358</v>
      </c>
      <c r="V54" t="s">
        <v>1332</v>
      </c>
      <c r="W54" t="s">
        <v>493</v>
      </c>
      <c r="X54" t="s">
        <v>1282</v>
      </c>
      <c r="Y54" s="154">
        <v>48372</v>
      </c>
      <c r="Z54" s="154">
        <v>48372</v>
      </c>
      <c r="AA54" t="s">
        <v>1359</v>
      </c>
      <c r="AB54" t="s">
        <v>1360</v>
      </c>
      <c r="AC54">
        <v>2.4053479999999999E-3</v>
      </c>
      <c r="AD54" s="16">
        <v>2.07170879E-2</v>
      </c>
      <c r="AE54" s="16">
        <v>4.9629899999999997E-5</v>
      </c>
      <c r="AF54" s="16">
        <v>0</v>
      </c>
      <c r="AG54" s="16">
        <v>0</v>
      </c>
      <c r="AH54" s="16">
        <v>0</v>
      </c>
      <c r="AI54" s="16">
        <v>5.0414999999999999E-6</v>
      </c>
      <c r="AJ54" s="16">
        <v>2.9604000000000001E-6</v>
      </c>
      <c r="AK54" s="16">
        <v>2.0810999999999999E-6</v>
      </c>
      <c r="AL54" s="16">
        <v>4.70878E-5</v>
      </c>
      <c r="AM54" s="16">
        <v>8.5190000000000005E-7</v>
      </c>
      <c r="AN54" s="16">
        <v>-2.6587999999999999E-6</v>
      </c>
      <c r="AO54" s="16">
        <v>1.5940000000000001E-7</v>
      </c>
      <c r="AP54" s="16">
        <v>0</v>
      </c>
      <c r="AQ54" s="16">
        <v>0</v>
      </c>
      <c r="AR54" s="16">
        <v>0</v>
      </c>
      <c r="AS54" s="16">
        <v>0</v>
      </c>
      <c r="AT54" s="16">
        <v>0</v>
      </c>
      <c r="AU54" s="16">
        <v>0</v>
      </c>
      <c r="AV54" s="16">
        <v>0</v>
      </c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0</v>
      </c>
      <c r="BD54" s="16">
        <v>0</v>
      </c>
      <c r="BE54" s="16">
        <v>0</v>
      </c>
      <c r="BF54" s="16">
        <v>0</v>
      </c>
      <c r="BG54" s="16">
        <v>0</v>
      </c>
      <c r="BH54" s="16">
        <v>0</v>
      </c>
      <c r="BI54" s="16">
        <v>0</v>
      </c>
      <c r="BJ54" s="16">
        <v>2.46253E-5</v>
      </c>
      <c r="BK54" s="16"/>
      <c r="BL54" s="16">
        <v>1645963</v>
      </c>
      <c r="BM54" s="61" t="s">
        <v>1285</v>
      </c>
    </row>
    <row r="55" spans="5:65" x14ac:dyDescent="0.25">
      <c r="E55" s="7">
        <f>COUNTIFS(tblBOneExport[ISIN],tblBOneExport[[#This Row],[ISIN]],tblBOneExport[LEVEL1],"Bonds")</f>
        <v>1</v>
      </c>
      <c r="F55">
        <v>4547</v>
      </c>
      <c r="G55" s="155">
        <v>42947</v>
      </c>
      <c r="H55" s="155">
        <v>42978</v>
      </c>
      <c r="I55" t="s">
        <v>1440</v>
      </c>
      <c r="J55">
        <v>1645979</v>
      </c>
      <c r="K55" s="18" t="s">
        <v>1441</v>
      </c>
      <c r="L55" t="s">
        <v>786</v>
      </c>
      <c r="M55" t="s">
        <v>787</v>
      </c>
      <c r="N55" t="s">
        <v>492</v>
      </c>
      <c r="O55" t="s">
        <v>372</v>
      </c>
      <c r="P55" t="s">
        <v>1276</v>
      </c>
      <c r="Q55" t="s">
        <v>1277</v>
      </c>
      <c r="R55" t="s">
        <v>1278</v>
      </c>
      <c r="S55" t="s">
        <v>1279</v>
      </c>
      <c r="T55" t="s">
        <v>1442</v>
      </c>
      <c r="U55" t="s">
        <v>1442</v>
      </c>
      <c r="V55" t="s">
        <v>1332</v>
      </c>
      <c r="W55" t="s">
        <v>493</v>
      </c>
      <c r="X55" t="s">
        <v>1282</v>
      </c>
      <c r="Y55" s="154">
        <v>48932</v>
      </c>
      <c r="Z55" s="154">
        <v>48932</v>
      </c>
      <c r="AA55" t="s">
        <v>1359</v>
      </c>
      <c r="AB55" t="s">
        <v>1360</v>
      </c>
      <c r="AC55">
        <v>3.2549677999999999E-3</v>
      </c>
      <c r="AD55" s="16">
        <v>2.13235074E-2</v>
      </c>
      <c r="AE55" s="16">
        <v>6.9133499999999998E-5</v>
      </c>
      <c r="AF55" s="16">
        <v>0</v>
      </c>
      <c r="AG55" s="16">
        <v>0</v>
      </c>
      <c r="AH55" s="16">
        <v>0</v>
      </c>
      <c r="AI55" s="16">
        <v>6.3848999999999996E-6</v>
      </c>
      <c r="AJ55" s="16">
        <v>4.1643000000000001E-6</v>
      </c>
      <c r="AK55" s="16">
        <v>2.2206E-6</v>
      </c>
      <c r="AL55" s="16">
        <v>5.8834800000000001E-5</v>
      </c>
      <c r="AM55" s="16">
        <v>1.173E-6</v>
      </c>
      <c r="AN55" s="16">
        <v>3.2306E-6</v>
      </c>
      <c r="AO55" s="16">
        <v>6.8319999999999998E-7</v>
      </c>
      <c r="AP55" s="16">
        <v>0</v>
      </c>
      <c r="AQ55" s="16">
        <v>0</v>
      </c>
      <c r="AR55" s="16">
        <v>0</v>
      </c>
      <c r="AS55" s="16">
        <v>0</v>
      </c>
      <c r="AT55" s="16">
        <v>0</v>
      </c>
      <c r="AU55" s="16">
        <v>0</v>
      </c>
      <c r="AV55" s="16">
        <v>0</v>
      </c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0</v>
      </c>
      <c r="BD55" s="16">
        <v>0</v>
      </c>
      <c r="BE55" s="16">
        <v>0</v>
      </c>
      <c r="BF55" s="16">
        <v>0</v>
      </c>
      <c r="BG55" s="16">
        <v>0</v>
      </c>
      <c r="BH55" s="16">
        <v>0</v>
      </c>
      <c r="BI55" s="16">
        <v>0</v>
      </c>
      <c r="BJ55" s="16">
        <v>2.5667700000000002E-5</v>
      </c>
      <c r="BK55" s="16"/>
      <c r="BL55" s="16">
        <v>1645979</v>
      </c>
      <c r="BM55" s="61" t="s">
        <v>1285</v>
      </c>
    </row>
    <row r="56" spans="5:65" x14ac:dyDescent="0.25">
      <c r="E56" s="7">
        <f>COUNTIFS(tblBOneExport[ISIN],tblBOneExport[[#This Row],[ISIN]],tblBOneExport[LEVEL1],"Bonds")</f>
        <v>1</v>
      </c>
      <c r="F56">
        <v>4547</v>
      </c>
      <c r="G56" s="155">
        <v>42947</v>
      </c>
      <c r="H56" s="155">
        <v>42978</v>
      </c>
      <c r="I56" t="s">
        <v>1443</v>
      </c>
      <c r="J56">
        <v>1649690</v>
      </c>
      <c r="K56" s="18" t="s">
        <v>1444</v>
      </c>
      <c r="L56" t="s">
        <v>1092</v>
      </c>
      <c r="M56" t="s">
        <v>1093</v>
      </c>
      <c r="N56" t="s">
        <v>492</v>
      </c>
      <c r="O56" t="s">
        <v>372</v>
      </c>
      <c r="P56" t="s">
        <v>1276</v>
      </c>
      <c r="Q56" t="s">
        <v>1277</v>
      </c>
      <c r="R56" t="s">
        <v>1322</v>
      </c>
      <c r="S56" t="s">
        <v>1358</v>
      </c>
      <c r="T56" t="s">
        <v>1358</v>
      </c>
      <c r="U56" t="s">
        <v>1358</v>
      </c>
      <c r="V56" t="s">
        <v>1288</v>
      </c>
      <c r="W56" t="s">
        <v>493</v>
      </c>
      <c r="X56" t="s">
        <v>1282</v>
      </c>
      <c r="Y56" s="154">
        <v>47637</v>
      </c>
      <c r="Z56" s="154">
        <v>47637</v>
      </c>
      <c r="AA56" t="s">
        <v>1294</v>
      </c>
      <c r="AB56" t="s">
        <v>1295</v>
      </c>
      <c r="AC56">
        <v>3.2499636E-3</v>
      </c>
      <c r="AD56" s="16">
        <v>1.7947833100000001E-2</v>
      </c>
      <c r="AE56" s="16">
        <v>5.8225900000000001E-5</v>
      </c>
      <c r="AF56" s="16">
        <v>0</v>
      </c>
      <c r="AG56" s="16">
        <v>0</v>
      </c>
      <c r="AH56" s="16">
        <v>0</v>
      </c>
      <c r="AI56" s="16">
        <v>7.2079000000000001E-6</v>
      </c>
      <c r="AJ56" s="16">
        <v>3.7828E-6</v>
      </c>
      <c r="AK56" s="16">
        <v>3.4251E-6</v>
      </c>
      <c r="AL56" s="16">
        <v>5.81821E-5</v>
      </c>
      <c r="AM56" s="16">
        <v>1.0026999999999999E-6</v>
      </c>
      <c r="AN56" s="16">
        <v>-5.8862999999999999E-6</v>
      </c>
      <c r="AO56" s="16">
        <v>-1.2778000000000001E-6</v>
      </c>
      <c r="AP56" s="16">
        <v>0</v>
      </c>
      <c r="AQ56" s="16">
        <v>0</v>
      </c>
      <c r="AR56" s="16">
        <v>0</v>
      </c>
      <c r="AS56" s="16">
        <v>0</v>
      </c>
      <c r="AT56" s="16">
        <v>0</v>
      </c>
      <c r="AU56" s="16">
        <v>0</v>
      </c>
      <c r="AV56" s="16">
        <v>0</v>
      </c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0</v>
      </c>
      <c r="BD56" s="16">
        <v>0</v>
      </c>
      <c r="BE56" s="16">
        <v>0</v>
      </c>
      <c r="BF56" s="16">
        <v>0</v>
      </c>
      <c r="BG56" s="16">
        <v>0</v>
      </c>
      <c r="BH56" s="16">
        <v>0</v>
      </c>
      <c r="BI56" s="16">
        <v>0</v>
      </c>
      <c r="BJ56" s="16">
        <v>4.05733E-5</v>
      </c>
      <c r="BK56" s="16"/>
      <c r="BL56" s="16">
        <v>1649690</v>
      </c>
      <c r="BM56" s="61" t="s">
        <v>1285</v>
      </c>
    </row>
    <row r="57" spans="5:65" x14ac:dyDescent="0.25">
      <c r="E57" s="7">
        <f>COUNTIFS(tblBOneExport[ISIN],tblBOneExport[[#This Row],[ISIN]],tblBOneExport[LEVEL1],"Bonds")</f>
        <v>1</v>
      </c>
      <c r="F57">
        <v>4547</v>
      </c>
      <c r="G57" s="155">
        <v>42947</v>
      </c>
      <c r="H57" s="155">
        <v>42978</v>
      </c>
      <c r="I57" t="s">
        <v>1445</v>
      </c>
      <c r="J57">
        <v>1650309</v>
      </c>
      <c r="K57" s="18" t="s">
        <v>1446</v>
      </c>
      <c r="L57" t="s">
        <v>682</v>
      </c>
      <c r="M57" t="s">
        <v>683</v>
      </c>
      <c r="N57" t="s">
        <v>492</v>
      </c>
      <c r="O57" t="s">
        <v>372</v>
      </c>
      <c r="P57" t="s">
        <v>1276</v>
      </c>
      <c r="Q57" t="s">
        <v>1277</v>
      </c>
      <c r="R57" t="s">
        <v>1322</v>
      </c>
      <c r="S57" t="s">
        <v>1358</v>
      </c>
      <c r="T57" t="s">
        <v>1358</v>
      </c>
      <c r="U57" t="s">
        <v>1358</v>
      </c>
      <c r="V57" t="s">
        <v>1288</v>
      </c>
      <c r="W57" t="s">
        <v>493</v>
      </c>
      <c r="X57" t="s">
        <v>1282</v>
      </c>
      <c r="Y57" s="154">
        <v>48372</v>
      </c>
      <c r="Z57" s="154">
        <v>48372</v>
      </c>
      <c r="AA57" t="s">
        <v>1294</v>
      </c>
      <c r="AB57" t="s">
        <v>1295</v>
      </c>
      <c r="AC57">
        <v>3.3446512000000002E-3</v>
      </c>
      <c r="AD57" s="16">
        <v>1.9341126100000001E-2</v>
      </c>
      <c r="AE57" s="16">
        <v>6.4496499999999995E-5</v>
      </c>
      <c r="AF57" s="16">
        <v>0</v>
      </c>
      <c r="AG57" s="16">
        <v>0</v>
      </c>
      <c r="AH57" s="16">
        <v>0</v>
      </c>
      <c r="AI57" s="16">
        <v>7.8398000000000007E-6</v>
      </c>
      <c r="AJ57" s="16">
        <v>4.1042999999999998E-6</v>
      </c>
      <c r="AK57" s="16">
        <v>3.7355000000000001E-6</v>
      </c>
      <c r="AL57" s="16">
        <v>6.3301799999999998E-5</v>
      </c>
      <c r="AM57" s="16">
        <v>1.1445E-6</v>
      </c>
      <c r="AN57" s="16">
        <v>-5.0270999999999997E-6</v>
      </c>
      <c r="AO57" s="16">
        <v>-1.618E-6</v>
      </c>
      <c r="AP57" s="16">
        <v>0</v>
      </c>
      <c r="AQ57" s="16">
        <v>0</v>
      </c>
      <c r="AR57" s="16">
        <v>0</v>
      </c>
      <c r="AS57" s="16">
        <v>0</v>
      </c>
      <c r="AT57" s="16">
        <v>0</v>
      </c>
      <c r="AU57" s="16">
        <v>0</v>
      </c>
      <c r="AV57" s="16">
        <v>0</v>
      </c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0</v>
      </c>
      <c r="BD57" s="16">
        <v>0</v>
      </c>
      <c r="BE57" s="16">
        <v>0</v>
      </c>
      <c r="BF57" s="16">
        <v>0</v>
      </c>
      <c r="BG57" s="16">
        <v>0</v>
      </c>
      <c r="BH57" s="16">
        <v>0</v>
      </c>
      <c r="BI57" s="16">
        <v>0</v>
      </c>
      <c r="BJ57" s="16">
        <v>4.4669100000000002E-5</v>
      </c>
      <c r="BK57" s="16"/>
      <c r="BL57" s="16">
        <v>1650309</v>
      </c>
      <c r="BM57" s="61" t="s">
        <v>1285</v>
      </c>
    </row>
    <row r="58" spans="5:65" x14ac:dyDescent="0.25">
      <c r="E58" s="7">
        <f>COUNTIFS(tblBOneExport[ISIN],tblBOneExport[[#This Row],[ISIN]],tblBOneExport[LEVEL1],"Bonds")</f>
        <v>1</v>
      </c>
      <c r="F58">
        <v>4547</v>
      </c>
      <c r="G58" s="155">
        <v>42947</v>
      </c>
      <c r="H58" s="155">
        <v>42978</v>
      </c>
      <c r="I58" t="s">
        <v>1447</v>
      </c>
      <c r="J58">
        <v>1649506</v>
      </c>
      <c r="K58" s="18" t="s">
        <v>1448</v>
      </c>
      <c r="L58" t="s">
        <v>911</v>
      </c>
      <c r="M58" t="s">
        <v>907</v>
      </c>
      <c r="N58" t="s">
        <v>492</v>
      </c>
      <c r="O58" t="s">
        <v>372</v>
      </c>
      <c r="P58" t="s">
        <v>1276</v>
      </c>
      <c r="Q58" t="s">
        <v>1330</v>
      </c>
      <c r="R58" t="s">
        <v>1331</v>
      </c>
      <c r="S58" t="s">
        <v>1331</v>
      </c>
      <c r="T58" t="s">
        <v>1331</v>
      </c>
      <c r="U58" t="s">
        <v>1331</v>
      </c>
      <c r="V58" t="s">
        <v>1303</v>
      </c>
      <c r="W58" t="s">
        <v>493</v>
      </c>
      <c r="X58" t="s">
        <v>1282</v>
      </c>
      <c r="Y58" s="154">
        <v>55219</v>
      </c>
      <c r="Z58" s="154">
        <v>55219</v>
      </c>
      <c r="AA58" t="s">
        <v>1359</v>
      </c>
      <c r="AB58" t="s">
        <v>1360</v>
      </c>
      <c r="AC58">
        <v>6.1830408999999998E-3</v>
      </c>
      <c r="AD58" s="16">
        <v>3.4211547600000003E-2</v>
      </c>
      <c r="AE58" s="16">
        <v>2.0912679999999999E-4</v>
      </c>
      <c r="AF58" s="16">
        <v>0</v>
      </c>
      <c r="AG58" s="16">
        <v>0</v>
      </c>
      <c r="AH58" s="16">
        <v>0</v>
      </c>
      <c r="AI58" s="16">
        <v>1.0500600000000001E-5</v>
      </c>
      <c r="AJ58" s="16">
        <v>8.9151000000000004E-6</v>
      </c>
      <c r="AK58" s="16">
        <v>1.5854999999999999E-6</v>
      </c>
      <c r="AL58" s="16">
        <v>1.9108769999999999E-4</v>
      </c>
      <c r="AM58" s="16">
        <v>-1.4091E-6</v>
      </c>
      <c r="AN58" s="16">
        <v>1.6171299999999999E-5</v>
      </c>
      <c r="AO58" s="16">
        <v>-8.6327999999999997E-6</v>
      </c>
      <c r="AP58" s="16">
        <v>0</v>
      </c>
      <c r="AQ58" s="16">
        <v>0</v>
      </c>
      <c r="AR58" s="16">
        <v>0</v>
      </c>
      <c r="AS58" s="16">
        <v>0</v>
      </c>
      <c r="AT58" s="16">
        <v>0</v>
      </c>
      <c r="AU58" s="16">
        <v>0</v>
      </c>
      <c r="AV58" s="16">
        <v>0</v>
      </c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0</v>
      </c>
      <c r="BD58" s="16">
        <v>0</v>
      </c>
      <c r="BE58" s="16">
        <v>0</v>
      </c>
      <c r="BF58" s="16">
        <v>0</v>
      </c>
      <c r="BG58" s="16">
        <v>0</v>
      </c>
      <c r="BH58" s="16">
        <v>0</v>
      </c>
      <c r="BI58" s="16">
        <v>0</v>
      </c>
      <c r="BJ58" s="16">
        <v>1.8127100000000001E-5</v>
      </c>
      <c r="BK58" s="16"/>
      <c r="BL58" s="16">
        <v>1649506</v>
      </c>
      <c r="BM58" s="61" t="s">
        <v>1285</v>
      </c>
    </row>
    <row r="59" spans="5:65" x14ac:dyDescent="0.25">
      <c r="E59" s="7">
        <f>COUNTIFS(tblBOneExport[ISIN],tblBOneExport[[#This Row],[ISIN]],tblBOneExport[LEVEL1],"Bonds")</f>
        <v>1</v>
      </c>
      <c r="F59">
        <v>4547</v>
      </c>
      <c r="G59" s="155">
        <v>42947</v>
      </c>
      <c r="H59" s="155">
        <v>42978</v>
      </c>
      <c r="I59" t="s">
        <v>1449</v>
      </c>
      <c r="J59">
        <v>1649897</v>
      </c>
      <c r="K59" s="18" t="s">
        <v>1450</v>
      </c>
      <c r="L59" t="s">
        <v>534</v>
      </c>
      <c r="M59" t="s">
        <v>532</v>
      </c>
      <c r="N59" t="s">
        <v>492</v>
      </c>
      <c r="O59" t="s">
        <v>372</v>
      </c>
      <c r="P59" t="s">
        <v>1276</v>
      </c>
      <c r="Q59" t="s">
        <v>1277</v>
      </c>
      <c r="R59" t="s">
        <v>1322</v>
      </c>
      <c r="S59" t="s">
        <v>1323</v>
      </c>
      <c r="T59" t="s">
        <v>1323</v>
      </c>
      <c r="U59" t="s">
        <v>1323</v>
      </c>
      <c r="V59" t="s">
        <v>1332</v>
      </c>
      <c r="W59" t="s">
        <v>493</v>
      </c>
      <c r="X59" t="s">
        <v>1282</v>
      </c>
      <c r="Y59" s="154">
        <v>47694</v>
      </c>
      <c r="Z59" s="154">
        <v>47694</v>
      </c>
      <c r="AA59" t="s">
        <v>1359</v>
      </c>
      <c r="AB59" t="s">
        <v>1360</v>
      </c>
      <c r="AC59">
        <v>8.2827360000000006E-3</v>
      </c>
      <c r="AD59" s="16">
        <v>1.9138306300000001E-2</v>
      </c>
      <c r="AE59" s="16">
        <v>1.580277E-4</v>
      </c>
      <c r="AF59" s="16">
        <v>0</v>
      </c>
      <c r="AG59" s="16">
        <v>0</v>
      </c>
      <c r="AH59" s="16">
        <v>0</v>
      </c>
      <c r="AI59" s="16">
        <v>1.5589800000000001E-5</v>
      </c>
      <c r="AJ59" s="16">
        <v>9.7209000000000004E-6</v>
      </c>
      <c r="AK59" s="16">
        <v>5.8688999999999998E-6</v>
      </c>
      <c r="AL59" s="16">
        <v>1.5134720000000001E-4</v>
      </c>
      <c r="AM59" s="16">
        <v>2.6216E-6</v>
      </c>
      <c r="AN59" s="16">
        <v>-2.7226E-6</v>
      </c>
      <c r="AO59" s="16">
        <v>-6.1867000000000004E-6</v>
      </c>
      <c r="AP59" s="16">
        <v>0</v>
      </c>
      <c r="AQ59" s="16">
        <v>0</v>
      </c>
      <c r="AR59" s="16">
        <v>0</v>
      </c>
      <c r="AS59" s="16">
        <v>0</v>
      </c>
      <c r="AT59" s="16">
        <v>0</v>
      </c>
      <c r="AU59" s="16">
        <v>0</v>
      </c>
      <c r="AV59" s="16">
        <v>0</v>
      </c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0</v>
      </c>
      <c r="BD59" s="16">
        <v>0</v>
      </c>
      <c r="BE59" s="16">
        <v>0</v>
      </c>
      <c r="BF59" s="16">
        <v>0</v>
      </c>
      <c r="BG59" s="16">
        <v>0</v>
      </c>
      <c r="BH59" s="16">
        <v>0</v>
      </c>
      <c r="BI59" s="16">
        <v>0</v>
      </c>
      <c r="BJ59" s="16">
        <v>6.9305699999999996E-5</v>
      </c>
      <c r="BK59" s="16"/>
      <c r="BL59" s="16">
        <v>1649897</v>
      </c>
      <c r="BM59" s="61" t="s">
        <v>1285</v>
      </c>
    </row>
    <row r="60" spans="5:65" x14ac:dyDescent="0.25">
      <c r="E60" s="7">
        <f>COUNTIFS(tblBOneExport[ISIN],tblBOneExport[[#This Row],[ISIN]],tblBOneExport[LEVEL1],"Bonds")</f>
        <v>1</v>
      </c>
      <c r="F60">
        <v>4547</v>
      </c>
      <c r="G60" s="155">
        <v>42947</v>
      </c>
      <c r="H60" s="155">
        <v>42978</v>
      </c>
      <c r="I60" t="s">
        <v>1451</v>
      </c>
      <c r="J60">
        <v>1640594</v>
      </c>
      <c r="K60" s="18" t="s">
        <v>1452</v>
      </c>
      <c r="L60" t="s">
        <v>780</v>
      </c>
      <c r="M60" t="s">
        <v>781</v>
      </c>
      <c r="N60" t="s">
        <v>492</v>
      </c>
      <c r="O60" t="s">
        <v>372</v>
      </c>
      <c r="P60" t="s">
        <v>1276</v>
      </c>
      <c r="Q60" t="s">
        <v>1277</v>
      </c>
      <c r="R60" t="s">
        <v>1300</v>
      </c>
      <c r="S60" t="s">
        <v>1381</v>
      </c>
      <c r="T60" t="s">
        <v>1381</v>
      </c>
      <c r="U60" t="s">
        <v>1381</v>
      </c>
      <c r="V60" t="s">
        <v>1293</v>
      </c>
      <c r="W60" t="s">
        <v>493</v>
      </c>
      <c r="X60" t="s">
        <v>1282</v>
      </c>
      <c r="Y60" s="154">
        <v>48107</v>
      </c>
      <c r="Z60" s="154">
        <v>48107</v>
      </c>
      <c r="AA60" t="s">
        <v>1308</v>
      </c>
      <c r="AB60" t="s">
        <v>1309</v>
      </c>
      <c r="AC60">
        <v>8.1742932999999997E-3</v>
      </c>
      <c r="AD60" s="16">
        <v>1.8682129299999999E-2</v>
      </c>
      <c r="AE60" s="16">
        <v>1.5232050000000001E-4</v>
      </c>
      <c r="AF60" s="16">
        <v>0</v>
      </c>
      <c r="AG60" s="16">
        <v>0</v>
      </c>
      <c r="AH60" s="16">
        <v>0</v>
      </c>
      <c r="AI60" s="16">
        <v>1.5027100000000001E-5</v>
      </c>
      <c r="AJ60" s="16">
        <v>9.8980999999999993E-6</v>
      </c>
      <c r="AK60" s="16">
        <v>5.1290000000000004E-6</v>
      </c>
      <c r="AL60" s="16">
        <v>1.5306830000000001E-4</v>
      </c>
      <c r="AM60" s="16">
        <v>2.7217999999999999E-6</v>
      </c>
      <c r="AN60" s="16">
        <v>-6.4795999999999998E-6</v>
      </c>
      <c r="AO60" s="16">
        <v>-9.2952000000000004E-6</v>
      </c>
      <c r="AP60" s="16">
        <v>0</v>
      </c>
      <c r="AQ60" s="16">
        <v>0</v>
      </c>
      <c r="AR60" s="16">
        <v>0</v>
      </c>
      <c r="AS60" s="16">
        <v>0</v>
      </c>
      <c r="AT60" s="16">
        <v>0</v>
      </c>
      <c r="AU60" s="16">
        <v>0</v>
      </c>
      <c r="AV60" s="16">
        <v>0</v>
      </c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0</v>
      </c>
      <c r="BD60" s="16">
        <v>0</v>
      </c>
      <c r="BE60" s="16">
        <v>0</v>
      </c>
      <c r="BF60" s="16">
        <v>0</v>
      </c>
      <c r="BG60" s="16">
        <v>0</v>
      </c>
      <c r="BH60" s="16">
        <v>0</v>
      </c>
      <c r="BI60" s="16">
        <v>0</v>
      </c>
      <c r="BJ60" s="16">
        <v>6.0658600000000002E-5</v>
      </c>
      <c r="BK60" s="16"/>
      <c r="BL60" s="16">
        <v>1640594</v>
      </c>
      <c r="BM60" s="61" t="s">
        <v>1285</v>
      </c>
    </row>
    <row r="61" spans="5:65" x14ac:dyDescent="0.25">
      <c r="E61" s="7">
        <f>COUNTIFS(tblBOneExport[ISIN],tblBOneExport[[#This Row],[ISIN]],tblBOneExport[LEVEL1],"Bonds")</f>
        <v>1</v>
      </c>
      <c r="F61">
        <v>4547</v>
      </c>
      <c r="G61" s="155">
        <v>42947</v>
      </c>
      <c r="H61" s="155">
        <v>42978</v>
      </c>
      <c r="I61" t="s">
        <v>1453</v>
      </c>
      <c r="J61">
        <v>1640775</v>
      </c>
      <c r="K61" s="18" t="s">
        <v>1454</v>
      </c>
      <c r="L61" t="s">
        <v>1063</v>
      </c>
      <c r="M61" t="s">
        <v>1061</v>
      </c>
      <c r="N61" t="s">
        <v>492</v>
      </c>
      <c r="O61" t="s">
        <v>372</v>
      </c>
      <c r="P61" t="s">
        <v>1276</v>
      </c>
      <c r="Q61" t="s">
        <v>1277</v>
      </c>
      <c r="R61" t="s">
        <v>1278</v>
      </c>
      <c r="S61" t="s">
        <v>1279</v>
      </c>
      <c r="T61" t="s">
        <v>1343</v>
      </c>
      <c r="U61" t="s">
        <v>1343</v>
      </c>
      <c r="V61" t="s">
        <v>1303</v>
      </c>
      <c r="W61" t="s">
        <v>493</v>
      </c>
      <c r="X61" t="s">
        <v>1282</v>
      </c>
      <c r="Y61" s="154">
        <v>48598</v>
      </c>
      <c r="Z61" s="154">
        <v>48598</v>
      </c>
      <c r="AA61" t="s">
        <v>1308</v>
      </c>
      <c r="AB61" t="s">
        <v>1309</v>
      </c>
      <c r="AC61">
        <v>4.9029034999999999E-3</v>
      </c>
      <c r="AD61" s="16">
        <v>1.74997691E-2</v>
      </c>
      <c r="AE61" s="16">
        <v>8.5681300000000002E-5</v>
      </c>
      <c r="AF61" s="16">
        <v>0</v>
      </c>
      <c r="AG61" s="16">
        <v>0</v>
      </c>
      <c r="AH61" s="16">
        <v>0</v>
      </c>
      <c r="AI61" s="16">
        <v>8.5878999999999995E-6</v>
      </c>
      <c r="AJ61" s="16">
        <v>6.1523999999999997E-6</v>
      </c>
      <c r="AK61" s="16">
        <v>2.4354999999999998E-6</v>
      </c>
      <c r="AL61" s="16">
        <v>9.4652299999999995E-5</v>
      </c>
      <c r="AM61" s="16">
        <v>1.6797E-6</v>
      </c>
      <c r="AN61" s="16">
        <v>-1.26946E-5</v>
      </c>
      <c r="AO61" s="16">
        <v>-4.8643000000000002E-6</v>
      </c>
      <c r="AP61" s="16">
        <v>0</v>
      </c>
      <c r="AQ61" s="16">
        <v>0</v>
      </c>
      <c r="AR61" s="16">
        <v>0</v>
      </c>
      <c r="AS61" s="16">
        <v>0</v>
      </c>
      <c r="AT61" s="16">
        <v>0</v>
      </c>
      <c r="AU61" s="16">
        <v>0</v>
      </c>
      <c r="AV61" s="16">
        <v>0</v>
      </c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0</v>
      </c>
      <c r="BD61" s="16">
        <v>0</v>
      </c>
      <c r="BE61" s="16">
        <v>0</v>
      </c>
      <c r="BF61" s="16">
        <v>0</v>
      </c>
      <c r="BG61" s="16">
        <v>0</v>
      </c>
      <c r="BH61" s="16">
        <v>0</v>
      </c>
      <c r="BI61" s="16">
        <v>0</v>
      </c>
      <c r="BJ61" s="16">
        <v>2.8937399999999998E-5</v>
      </c>
      <c r="BK61" s="16"/>
      <c r="BL61" s="16">
        <v>1640775</v>
      </c>
      <c r="BM61" s="61" t="s">
        <v>1285</v>
      </c>
    </row>
    <row r="62" spans="5:65" x14ac:dyDescent="0.25">
      <c r="E62" s="7">
        <f>COUNTIFS(tblBOneExport[ISIN],tblBOneExport[[#This Row],[ISIN]],tblBOneExport[LEVEL1],"Bonds")</f>
        <v>1</v>
      </c>
      <c r="F62">
        <v>4547</v>
      </c>
      <c r="G62" s="155">
        <v>42947</v>
      </c>
      <c r="H62" s="155">
        <v>42978</v>
      </c>
      <c r="I62" t="s">
        <v>1455</v>
      </c>
      <c r="J62">
        <v>1648883</v>
      </c>
      <c r="K62" s="18" t="s">
        <v>1456</v>
      </c>
      <c r="L62" t="s">
        <v>1204</v>
      </c>
      <c r="M62" t="s">
        <v>1205</v>
      </c>
      <c r="N62" t="s">
        <v>492</v>
      </c>
      <c r="O62" t="s">
        <v>372</v>
      </c>
      <c r="P62" t="s">
        <v>1276</v>
      </c>
      <c r="Q62" t="s">
        <v>1277</v>
      </c>
      <c r="R62" t="s">
        <v>1322</v>
      </c>
      <c r="S62" t="s">
        <v>1323</v>
      </c>
      <c r="T62" t="s">
        <v>1323</v>
      </c>
      <c r="U62" t="s">
        <v>1323</v>
      </c>
      <c r="V62" t="s">
        <v>1332</v>
      </c>
      <c r="W62" t="s">
        <v>493</v>
      </c>
      <c r="X62" t="s">
        <v>1282</v>
      </c>
      <c r="Y62" s="154">
        <v>46741</v>
      </c>
      <c r="Z62" s="154">
        <v>46741</v>
      </c>
      <c r="AA62" t="s">
        <v>1359</v>
      </c>
      <c r="AB62" t="s">
        <v>1360</v>
      </c>
      <c r="AC62">
        <v>8.9553819E-3</v>
      </c>
      <c r="AD62" s="16">
        <v>1.69497851E-2</v>
      </c>
      <c r="AE62" s="16">
        <v>1.5164289999999999E-4</v>
      </c>
      <c r="AF62" s="16">
        <v>0</v>
      </c>
      <c r="AG62" s="16">
        <v>0</v>
      </c>
      <c r="AH62" s="16">
        <v>0</v>
      </c>
      <c r="AI62" s="16">
        <v>1.4812599999999999E-5</v>
      </c>
      <c r="AJ62" s="16">
        <v>8.6587999999999992E-6</v>
      </c>
      <c r="AK62" s="16">
        <v>6.1538000000000003E-6</v>
      </c>
      <c r="AL62" s="16">
        <v>1.4935069999999999E-4</v>
      </c>
      <c r="AM62" s="16">
        <v>7.9069000000000005E-6</v>
      </c>
      <c r="AN62" s="16">
        <v>-3.5543E-6</v>
      </c>
      <c r="AO62" s="16">
        <v>-8.9661000000000004E-6</v>
      </c>
      <c r="AP62" s="16">
        <v>0</v>
      </c>
      <c r="AQ62" s="16">
        <v>0</v>
      </c>
      <c r="AR62" s="16">
        <v>0</v>
      </c>
      <c r="AS62" s="16">
        <v>0</v>
      </c>
      <c r="AT62" s="16">
        <v>0</v>
      </c>
      <c r="AU62" s="16">
        <v>0</v>
      </c>
      <c r="AV62" s="16">
        <v>0</v>
      </c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0</v>
      </c>
      <c r="BD62" s="16">
        <v>0</v>
      </c>
      <c r="BE62" s="16">
        <v>0</v>
      </c>
      <c r="BF62" s="16">
        <v>0</v>
      </c>
      <c r="BG62" s="16">
        <v>0</v>
      </c>
      <c r="BH62" s="16">
        <v>0</v>
      </c>
      <c r="BI62" s="16">
        <v>0</v>
      </c>
      <c r="BJ62" s="16">
        <v>7.2266699999999997E-5</v>
      </c>
      <c r="BK62" s="16"/>
      <c r="BL62" s="16">
        <v>1648883</v>
      </c>
      <c r="BM62" s="61" t="s">
        <v>1285</v>
      </c>
    </row>
    <row r="63" spans="5:65" x14ac:dyDescent="0.25">
      <c r="E63" s="7">
        <f>COUNTIFS(tblBOneExport[ISIN],tblBOneExport[[#This Row],[ISIN]],tblBOneExport[LEVEL1],"Bonds")</f>
        <v>1</v>
      </c>
      <c r="F63">
        <v>4547</v>
      </c>
      <c r="G63" s="155">
        <v>42947</v>
      </c>
      <c r="H63" s="155">
        <v>42978</v>
      </c>
      <c r="I63" t="s">
        <v>1457</v>
      </c>
      <c r="J63">
        <v>1648884</v>
      </c>
      <c r="K63" s="18" t="s">
        <v>1458</v>
      </c>
      <c r="L63" t="s">
        <v>1010</v>
      </c>
      <c r="M63" t="s">
        <v>1011</v>
      </c>
      <c r="N63" t="s">
        <v>492</v>
      </c>
      <c r="O63" t="s">
        <v>372</v>
      </c>
      <c r="P63" t="s">
        <v>1276</v>
      </c>
      <c r="Q63" t="s">
        <v>1277</v>
      </c>
      <c r="R63" t="s">
        <v>1322</v>
      </c>
      <c r="S63" t="s">
        <v>1323</v>
      </c>
      <c r="T63" t="s">
        <v>1323</v>
      </c>
      <c r="U63" t="s">
        <v>1323</v>
      </c>
      <c r="V63" t="s">
        <v>1288</v>
      </c>
      <c r="W63" t="s">
        <v>493</v>
      </c>
      <c r="X63" t="s">
        <v>1282</v>
      </c>
      <c r="Y63" s="154">
        <v>48698</v>
      </c>
      <c r="Z63" s="154">
        <v>48698</v>
      </c>
      <c r="AA63" t="s">
        <v>1359</v>
      </c>
      <c r="AB63" t="s">
        <v>1360</v>
      </c>
      <c r="AC63">
        <v>1.6604516000000001E-3</v>
      </c>
      <c r="AD63" s="16">
        <v>2.03165828E-2</v>
      </c>
      <c r="AE63" s="16">
        <v>3.3609899999999998E-5</v>
      </c>
      <c r="AF63" s="16">
        <v>0</v>
      </c>
      <c r="AG63" s="16">
        <v>0</v>
      </c>
      <c r="AH63" s="16">
        <v>0</v>
      </c>
      <c r="AI63" s="16">
        <v>3.4062000000000001E-6</v>
      </c>
      <c r="AJ63" s="16">
        <v>2.0899000000000001E-6</v>
      </c>
      <c r="AK63" s="16">
        <v>1.3162E-6</v>
      </c>
      <c r="AL63" s="16">
        <v>3.0963800000000003E-5</v>
      </c>
      <c r="AM63" s="16">
        <v>5.6899999999999997E-7</v>
      </c>
      <c r="AN63" s="16">
        <v>-1.8559000000000001E-6</v>
      </c>
      <c r="AO63" s="16">
        <v>1.0958E-6</v>
      </c>
      <c r="AP63" s="16">
        <v>0</v>
      </c>
      <c r="AQ63" s="16">
        <v>0</v>
      </c>
      <c r="AR63" s="16">
        <v>0</v>
      </c>
      <c r="AS63" s="16">
        <v>0</v>
      </c>
      <c r="AT63" s="16">
        <v>0</v>
      </c>
      <c r="AU63" s="16">
        <v>0</v>
      </c>
      <c r="AV63" s="16">
        <v>0</v>
      </c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0</v>
      </c>
      <c r="BD63" s="16">
        <v>0</v>
      </c>
      <c r="BE63" s="16">
        <v>0</v>
      </c>
      <c r="BF63" s="16">
        <v>0</v>
      </c>
      <c r="BG63" s="16">
        <v>0</v>
      </c>
      <c r="BH63" s="16">
        <v>0</v>
      </c>
      <c r="BI63" s="16">
        <v>0</v>
      </c>
      <c r="BJ63" s="16">
        <v>1.55041E-5</v>
      </c>
      <c r="BK63" s="16"/>
      <c r="BL63" s="16">
        <v>1648884</v>
      </c>
      <c r="BM63" s="61" t="s">
        <v>1285</v>
      </c>
    </row>
    <row r="64" spans="5:65" x14ac:dyDescent="0.25">
      <c r="E64" s="7">
        <f>COUNTIFS(tblBOneExport[ISIN],tblBOneExport[[#This Row],[ISIN]],tblBOneExport[LEVEL1],"Bonds")</f>
        <v>1</v>
      </c>
      <c r="F64">
        <v>4547</v>
      </c>
      <c r="G64" s="155">
        <v>42947</v>
      </c>
      <c r="H64" s="155">
        <v>42978</v>
      </c>
      <c r="I64" t="s">
        <v>1459</v>
      </c>
      <c r="J64">
        <v>1649297</v>
      </c>
      <c r="K64" s="18" t="s">
        <v>1460</v>
      </c>
      <c r="L64" t="s">
        <v>1207</v>
      </c>
      <c r="M64" t="s">
        <v>1205</v>
      </c>
      <c r="N64" t="s">
        <v>492</v>
      </c>
      <c r="O64" t="s">
        <v>372</v>
      </c>
      <c r="P64" t="s">
        <v>1276</v>
      </c>
      <c r="Q64" t="s">
        <v>1277</v>
      </c>
      <c r="R64" t="s">
        <v>1322</v>
      </c>
      <c r="S64" t="s">
        <v>1323</v>
      </c>
      <c r="T64" t="s">
        <v>1323</v>
      </c>
      <c r="U64" t="s">
        <v>1323</v>
      </c>
      <c r="V64" t="s">
        <v>1281</v>
      </c>
      <c r="W64" t="s">
        <v>493</v>
      </c>
      <c r="X64" t="s">
        <v>1282</v>
      </c>
      <c r="Y64" s="154">
        <v>43234</v>
      </c>
      <c r="Z64" s="154">
        <v>43234</v>
      </c>
      <c r="AA64" t="s">
        <v>1359</v>
      </c>
      <c r="AB64" t="s">
        <v>1360</v>
      </c>
      <c r="AC64">
        <v>2.7841159000000001E-3</v>
      </c>
      <c r="AD64" s="16">
        <v>1.2470490000000001E-3</v>
      </c>
      <c r="AE64" s="16">
        <v>3.5029E-6</v>
      </c>
      <c r="AF64" s="16">
        <v>0</v>
      </c>
      <c r="AG64" s="16">
        <v>0</v>
      </c>
      <c r="AH64" s="16">
        <v>0</v>
      </c>
      <c r="AI64" s="16">
        <v>2.1614000000000002E-6</v>
      </c>
      <c r="AJ64" s="16">
        <v>4.8210000000000001E-7</v>
      </c>
      <c r="AK64" s="16">
        <v>1.6793E-6</v>
      </c>
      <c r="AL64" s="16">
        <v>1.7506E-6</v>
      </c>
      <c r="AM64" s="16">
        <v>9.6499999999999997E-8</v>
      </c>
      <c r="AN64" s="16">
        <v>-1.9149999999999999E-7</v>
      </c>
      <c r="AO64" s="16">
        <v>-2.1759999999999999E-7</v>
      </c>
      <c r="AP64" s="16">
        <v>0</v>
      </c>
      <c r="AQ64" s="16">
        <v>0</v>
      </c>
      <c r="AR64" s="16">
        <v>0</v>
      </c>
      <c r="AS64" s="16">
        <v>0</v>
      </c>
      <c r="AT64" s="16">
        <v>0</v>
      </c>
      <c r="AU64" s="16">
        <v>0</v>
      </c>
      <c r="AV64" s="16">
        <v>0</v>
      </c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0</v>
      </c>
      <c r="BD64" s="16">
        <v>0</v>
      </c>
      <c r="BE64" s="16">
        <v>0</v>
      </c>
      <c r="BF64" s="16">
        <v>0</v>
      </c>
      <c r="BG64" s="16">
        <v>0</v>
      </c>
      <c r="BH64" s="16">
        <v>0</v>
      </c>
      <c r="BI64" s="16">
        <v>0</v>
      </c>
      <c r="BJ64" s="16">
        <v>2.01041E-5</v>
      </c>
      <c r="BK64" s="16"/>
      <c r="BL64" s="16">
        <v>1649297</v>
      </c>
      <c r="BM64" s="61" t="s">
        <v>1285</v>
      </c>
    </row>
    <row r="65" spans="5:65" x14ac:dyDescent="0.25">
      <c r="E65" s="7">
        <f>COUNTIFS(tblBOneExport[ISIN],tblBOneExport[[#This Row],[ISIN]],tblBOneExport[LEVEL1],"Bonds")</f>
        <v>1</v>
      </c>
      <c r="F65">
        <v>4547</v>
      </c>
      <c r="G65" s="155">
        <v>42947</v>
      </c>
      <c r="H65" s="155">
        <v>42978</v>
      </c>
      <c r="I65" t="s">
        <v>1461</v>
      </c>
      <c r="J65">
        <v>1711056</v>
      </c>
      <c r="K65" s="18" t="s">
        <v>1462</v>
      </c>
      <c r="L65" t="s">
        <v>1128</v>
      </c>
      <c r="M65" t="s">
        <v>691</v>
      </c>
      <c r="N65" t="s">
        <v>492</v>
      </c>
      <c r="O65" t="s">
        <v>372</v>
      </c>
      <c r="P65" t="s">
        <v>1276</v>
      </c>
      <c r="Q65" t="s">
        <v>1277</v>
      </c>
      <c r="R65" t="s">
        <v>1322</v>
      </c>
      <c r="S65" t="s">
        <v>1358</v>
      </c>
      <c r="T65" t="s">
        <v>1358</v>
      </c>
      <c r="U65" t="s">
        <v>1358</v>
      </c>
      <c r="V65" t="s">
        <v>1315</v>
      </c>
      <c r="W65" t="s">
        <v>493</v>
      </c>
      <c r="X65" t="s">
        <v>1282</v>
      </c>
      <c r="Y65" s="154">
        <v>46178</v>
      </c>
      <c r="Z65" s="154">
        <v>46178</v>
      </c>
      <c r="AA65" t="s">
        <v>1359</v>
      </c>
      <c r="AB65" t="s">
        <v>1360</v>
      </c>
      <c r="AC65">
        <v>2.0633813000000001E-3</v>
      </c>
      <c r="AD65" s="16">
        <v>1.3741971E-2</v>
      </c>
      <c r="AE65" s="16">
        <v>2.8379999999999999E-5</v>
      </c>
      <c r="AF65" s="16">
        <v>0</v>
      </c>
      <c r="AG65" s="16">
        <v>0</v>
      </c>
      <c r="AH65" s="16">
        <v>0</v>
      </c>
      <c r="AI65" s="16">
        <v>3.5101999999999999E-6</v>
      </c>
      <c r="AJ65" s="16">
        <v>1.6894000000000001E-6</v>
      </c>
      <c r="AK65" s="16">
        <v>1.8208E-6</v>
      </c>
      <c r="AL65" s="16">
        <v>2.9643200000000001E-5</v>
      </c>
      <c r="AM65" s="16">
        <v>1.714E-6</v>
      </c>
      <c r="AN65" s="16">
        <v>-4.6369999999999998E-6</v>
      </c>
      <c r="AO65" s="16">
        <v>-1.364E-7</v>
      </c>
      <c r="AP65" s="16">
        <v>0</v>
      </c>
      <c r="AQ65" s="16">
        <v>0</v>
      </c>
      <c r="AR65" s="16">
        <v>0</v>
      </c>
      <c r="AS65" s="16">
        <v>0</v>
      </c>
      <c r="AT65" s="16">
        <v>0</v>
      </c>
      <c r="AU65" s="16">
        <v>0</v>
      </c>
      <c r="AV65" s="16">
        <v>0</v>
      </c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0</v>
      </c>
      <c r="BD65" s="16">
        <v>0</v>
      </c>
      <c r="BE65" s="16">
        <v>0</v>
      </c>
      <c r="BF65" s="16">
        <v>0</v>
      </c>
      <c r="BG65" s="16">
        <v>0</v>
      </c>
      <c r="BH65" s="16">
        <v>0</v>
      </c>
      <c r="BI65" s="16">
        <v>0</v>
      </c>
      <c r="BJ65" s="16">
        <v>2.1702300000000001E-5</v>
      </c>
      <c r="BK65" s="16"/>
      <c r="BL65" s="16">
        <v>1711056</v>
      </c>
      <c r="BM65" s="61" t="s">
        <v>1285</v>
      </c>
    </row>
    <row r="66" spans="5:65" x14ac:dyDescent="0.25">
      <c r="E66" s="7">
        <f>COUNTIFS(tblBOneExport[ISIN],tblBOneExport[[#This Row],[ISIN]],tblBOneExport[LEVEL1],"Bonds")</f>
        <v>1</v>
      </c>
      <c r="F66">
        <v>4547</v>
      </c>
      <c r="G66" s="155">
        <v>42947</v>
      </c>
      <c r="H66" s="155">
        <v>42978</v>
      </c>
      <c r="I66" t="s">
        <v>1463</v>
      </c>
      <c r="J66">
        <v>1640975</v>
      </c>
      <c r="K66" s="18" t="s">
        <v>1464</v>
      </c>
      <c r="L66" t="s">
        <v>1097</v>
      </c>
      <c r="M66" t="s">
        <v>1093</v>
      </c>
      <c r="N66" t="s">
        <v>492</v>
      </c>
      <c r="O66" t="s">
        <v>372</v>
      </c>
      <c r="P66" t="s">
        <v>1276</v>
      </c>
      <c r="Q66" t="s">
        <v>1277</v>
      </c>
      <c r="R66" t="s">
        <v>1322</v>
      </c>
      <c r="S66" t="s">
        <v>1358</v>
      </c>
      <c r="T66" t="s">
        <v>1358</v>
      </c>
      <c r="U66" t="s">
        <v>1358</v>
      </c>
      <c r="V66" t="s">
        <v>1288</v>
      </c>
      <c r="W66" t="s">
        <v>493</v>
      </c>
      <c r="X66" t="s">
        <v>1282</v>
      </c>
      <c r="Y66" s="154">
        <v>45266</v>
      </c>
      <c r="Z66" s="154">
        <v>45266</v>
      </c>
      <c r="AA66" t="s">
        <v>1294</v>
      </c>
      <c r="AB66" t="s">
        <v>1295</v>
      </c>
      <c r="AC66">
        <v>1.4668589E-3</v>
      </c>
      <c r="AD66" s="16">
        <v>9.0690783000000001E-3</v>
      </c>
      <c r="AE66" s="16">
        <v>1.33527E-5</v>
      </c>
      <c r="AF66" s="16">
        <v>0</v>
      </c>
      <c r="AG66" s="16">
        <v>0</v>
      </c>
      <c r="AH66" s="16">
        <v>0</v>
      </c>
      <c r="AI66" s="16">
        <v>2.2038E-6</v>
      </c>
      <c r="AJ66" s="16">
        <v>8.1800000000000005E-7</v>
      </c>
      <c r="AK66" s="16">
        <v>1.3857999999999999E-6</v>
      </c>
      <c r="AL66" s="16">
        <v>1.15364E-5</v>
      </c>
      <c r="AM66" s="16">
        <v>7.9820000000000004E-7</v>
      </c>
      <c r="AN66" s="16">
        <v>-1.172E-7</v>
      </c>
      <c r="AO66" s="16">
        <v>-2.7029999999999998E-7</v>
      </c>
      <c r="AP66" s="16">
        <v>0</v>
      </c>
      <c r="AQ66" s="16">
        <v>0</v>
      </c>
      <c r="AR66" s="16">
        <v>0</v>
      </c>
      <c r="AS66" s="16">
        <v>0</v>
      </c>
      <c r="AT66" s="16">
        <v>0</v>
      </c>
      <c r="AU66" s="16">
        <v>0</v>
      </c>
      <c r="AV66" s="16">
        <v>0</v>
      </c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0</v>
      </c>
      <c r="BD66" s="16">
        <v>0</v>
      </c>
      <c r="BE66" s="16">
        <v>0</v>
      </c>
      <c r="BF66" s="16">
        <v>0</v>
      </c>
      <c r="BG66" s="16">
        <v>0</v>
      </c>
      <c r="BH66" s="16">
        <v>0</v>
      </c>
      <c r="BI66" s="16">
        <v>0</v>
      </c>
      <c r="BJ66" s="16">
        <v>1.60932E-5</v>
      </c>
      <c r="BK66" s="16"/>
      <c r="BL66" s="16">
        <v>1640975</v>
      </c>
      <c r="BM66" s="61" t="s">
        <v>1285</v>
      </c>
    </row>
    <row r="67" spans="5:65" x14ac:dyDescent="0.25">
      <c r="E67" s="7">
        <f>COUNTIFS(tblBOneExport[ISIN],tblBOneExport[[#This Row],[ISIN]],tblBOneExport[LEVEL1],"Bonds")</f>
        <v>1</v>
      </c>
      <c r="F67">
        <v>4547</v>
      </c>
      <c r="G67" s="155">
        <v>42947</v>
      </c>
      <c r="H67" s="155">
        <v>42978</v>
      </c>
      <c r="I67" t="s">
        <v>1465</v>
      </c>
      <c r="J67">
        <v>1649056</v>
      </c>
      <c r="K67" s="18" t="s">
        <v>1466</v>
      </c>
      <c r="L67" t="s">
        <v>822</v>
      </c>
      <c r="M67" t="s">
        <v>818</v>
      </c>
      <c r="N67" t="s">
        <v>492</v>
      </c>
      <c r="O67" t="s">
        <v>372</v>
      </c>
      <c r="P67" t="s">
        <v>1276</v>
      </c>
      <c r="Q67" t="s">
        <v>1277</v>
      </c>
      <c r="R67" t="s">
        <v>1322</v>
      </c>
      <c r="S67" t="s">
        <v>1323</v>
      </c>
      <c r="T67" t="s">
        <v>1323</v>
      </c>
      <c r="U67" t="s">
        <v>1323</v>
      </c>
      <c r="V67" t="s">
        <v>1332</v>
      </c>
      <c r="W67" t="s">
        <v>493</v>
      </c>
      <c r="X67" t="s">
        <v>1282</v>
      </c>
      <c r="Y67" s="154">
        <v>47208</v>
      </c>
      <c r="Z67" s="154">
        <v>47208</v>
      </c>
      <c r="AA67" t="s">
        <v>1418</v>
      </c>
      <c r="AB67" t="s">
        <v>1419</v>
      </c>
      <c r="AC67">
        <v>7.2177298999999999E-3</v>
      </c>
      <c r="AD67" s="16">
        <v>1.9741879E-2</v>
      </c>
      <c r="AE67" s="16">
        <v>1.4203499999999999E-4</v>
      </c>
      <c r="AF67" s="16">
        <v>0</v>
      </c>
      <c r="AG67" s="16">
        <v>0</v>
      </c>
      <c r="AH67" s="16">
        <v>0</v>
      </c>
      <c r="AI67" s="16">
        <v>1.2602199999999999E-5</v>
      </c>
      <c r="AJ67" s="16">
        <v>7.9718000000000005E-6</v>
      </c>
      <c r="AK67" s="16">
        <v>4.6303999999999997E-6</v>
      </c>
      <c r="AL67" s="16">
        <v>1.2852109999999999E-4</v>
      </c>
      <c r="AM67" s="16">
        <v>6.9639000000000004E-6</v>
      </c>
      <c r="AN67" s="16">
        <v>3.3492999999999998E-6</v>
      </c>
      <c r="AO67" s="16">
        <v>-2.4376000000000002E-6</v>
      </c>
      <c r="AP67" s="16">
        <v>0</v>
      </c>
      <c r="AQ67" s="16">
        <v>0</v>
      </c>
      <c r="AR67" s="16">
        <v>0</v>
      </c>
      <c r="AS67" s="16">
        <v>0</v>
      </c>
      <c r="AT67" s="16">
        <v>0</v>
      </c>
      <c r="AU67" s="16">
        <v>0</v>
      </c>
      <c r="AV67" s="16">
        <v>0</v>
      </c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0</v>
      </c>
      <c r="BD67" s="16">
        <v>0</v>
      </c>
      <c r="BE67" s="16">
        <v>0</v>
      </c>
      <c r="BF67" s="16">
        <v>0</v>
      </c>
      <c r="BG67" s="16">
        <v>0</v>
      </c>
      <c r="BH67" s="16">
        <v>0</v>
      </c>
      <c r="BI67" s="16">
        <v>0</v>
      </c>
      <c r="BJ67" s="16">
        <v>5.4829900000000002E-5</v>
      </c>
      <c r="BK67" s="16"/>
      <c r="BL67" s="16">
        <v>1649056</v>
      </c>
      <c r="BM67" s="61" t="s">
        <v>1285</v>
      </c>
    </row>
    <row r="68" spans="5:65" x14ac:dyDescent="0.25">
      <c r="E68" s="7">
        <f>COUNTIFS(tblBOneExport[ISIN],tblBOneExport[[#This Row],[ISIN]],tblBOneExport[LEVEL1],"Bonds")</f>
        <v>1</v>
      </c>
      <c r="F68">
        <v>4547</v>
      </c>
      <c r="G68" s="155">
        <v>42947</v>
      </c>
      <c r="H68" s="155">
        <v>42978</v>
      </c>
      <c r="I68" t="s">
        <v>1467</v>
      </c>
      <c r="J68">
        <v>1649057</v>
      </c>
      <c r="K68" s="18" t="s">
        <v>1468</v>
      </c>
      <c r="L68" t="s">
        <v>824</v>
      </c>
      <c r="M68" t="s">
        <v>818</v>
      </c>
      <c r="N68" t="s">
        <v>492</v>
      </c>
      <c r="O68" t="s">
        <v>372</v>
      </c>
      <c r="P68" t="s">
        <v>1276</v>
      </c>
      <c r="Q68" t="s">
        <v>1277</v>
      </c>
      <c r="R68" t="s">
        <v>1322</v>
      </c>
      <c r="S68" t="s">
        <v>1323</v>
      </c>
      <c r="T68" t="s">
        <v>1323</v>
      </c>
      <c r="U68" t="s">
        <v>1323</v>
      </c>
      <c r="V68" t="s">
        <v>1332</v>
      </c>
      <c r="W68" t="s">
        <v>493</v>
      </c>
      <c r="X68" t="s">
        <v>1282</v>
      </c>
      <c r="Y68" s="154">
        <v>46112</v>
      </c>
      <c r="Z68" s="154">
        <v>46112</v>
      </c>
      <c r="AA68" t="s">
        <v>1418</v>
      </c>
      <c r="AB68" t="s">
        <v>1419</v>
      </c>
      <c r="AC68">
        <v>4.3775120999999997E-3</v>
      </c>
      <c r="AD68" s="16">
        <v>1.3152976300000001E-2</v>
      </c>
      <c r="AE68" s="16">
        <v>5.7651900000000003E-5</v>
      </c>
      <c r="AF68" s="16">
        <v>0</v>
      </c>
      <c r="AG68" s="16">
        <v>0</v>
      </c>
      <c r="AH68" s="16">
        <v>0</v>
      </c>
      <c r="AI68" s="16">
        <v>7.0331999999999998E-6</v>
      </c>
      <c r="AJ68" s="16">
        <v>3.4979E-6</v>
      </c>
      <c r="AK68" s="16">
        <v>3.5352999999999998E-6</v>
      </c>
      <c r="AL68" s="16">
        <v>6.0048099999999999E-5</v>
      </c>
      <c r="AM68" s="16">
        <v>3.4649000000000001E-6</v>
      </c>
      <c r="AN68" s="16">
        <v>-7.542E-6</v>
      </c>
      <c r="AO68" s="16">
        <v>-1.8873999999999999E-6</v>
      </c>
      <c r="AP68" s="16">
        <v>0</v>
      </c>
      <c r="AQ68" s="16">
        <v>0</v>
      </c>
      <c r="AR68" s="16">
        <v>0</v>
      </c>
      <c r="AS68" s="16">
        <v>0</v>
      </c>
      <c r="AT68" s="16">
        <v>0</v>
      </c>
      <c r="AU68" s="16">
        <v>0</v>
      </c>
      <c r="AV68" s="16">
        <v>0</v>
      </c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0</v>
      </c>
      <c r="BD68" s="16">
        <v>0</v>
      </c>
      <c r="BE68" s="16">
        <v>0</v>
      </c>
      <c r="BF68" s="16">
        <v>0</v>
      </c>
      <c r="BG68" s="16">
        <v>0</v>
      </c>
      <c r="BH68" s="16">
        <v>0</v>
      </c>
      <c r="BI68" s="16">
        <v>0</v>
      </c>
      <c r="BJ68" s="16">
        <v>4.2103900000000002E-5</v>
      </c>
      <c r="BK68" s="16"/>
      <c r="BL68" s="16">
        <v>1649057</v>
      </c>
      <c r="BM68" s="61" t="s">
        <v>1285</v>
      </c>
    </row>
    <row r="69" spans="5:65" x14ac:dyDescent="0.25">
      <c r="E69" s="7">
        <f>COUNTIFS(tblBOneExport[ISIN],tblBOneExport[[#This Row],[ISIN]],tblBOneExport[LEVEL1],"Bonds")</f>
        <v>1</v>
      </c>
      <c r="F69">
        <v>4547</v>
      </c>
      <c r="G69" s="155">
        <v>42947</v>
      </c>
      <c r="H69" s="155">
        <v>42978</v>
      </c>
      <c r="I69" t="s">
        <v>1469</v>
      </c>
      <c r="J69">
        <v>1640851</v>
      </c>
      <c r="K69" s="18" t="s">
        <v>1470</v>
      </c>
      <c r="L69" t="s">
        <v>1263</v>
      </c>
      <c r="M69" t="s">
        <v>1261</v>
      </c>
      <c r="N69" t="s">
        <v>492</v>
      </c>
      <c r="O69" t="s">
        <v>372</v>
      </c>
      <c r="P69" t="s">
        <v>1276</v>
      </c>
      <c r="Q69" t="s">
        <v>1277</v>
      </c>
      <c r="R69" t="s">
        <v>1322</v>
      </c>
      <c r="S69" t="s">
        <v>1323</v>
      </c>
      <c r="T69" t="s">
        <v>1323</v>
      </c>
      <c r="U69" t="s">
        <v>1323</v>
      </c>
      <c r="V69" t="s">
        <v>1315</v>
      </c>
      <c r="W69" t="s">
        <v>493</v>
      </c>
      <c r="X69" t="s">
        <v>1282</v>
      </c>
      <c r="Y69" s="154">
        <v>48866</v>
      </c>
      <c r="Z69" s="154">
        <v>48866</v>
      </c>
      <c r="AA69" t="s">
        <v>1359</v>
      </c>
      <c r="AB69" t="s">
        <v>1360</v>
      </c>
      <c r="AC69">
        <v>4.3669627000000001E-3</v>
      </c>
      <c r="AD69" s="16">
        <v>2.0970002799999998E-2</v>
      </c>
      <c r="AE69" s="16">
        <v>9.1214199999999998E-5</v>
      </c>
      <c r="AF69" s="16">
        <v>0</v>
      </c>
      <c r="AG69" s="16">
        <v>0</v>
      </c>
      <c r="AH69" s="16">
        <v>0</v>
      </c>
      <c r="AI69" s="16">
        <v>8.6272999999999995E-6</v>
      </c>
      <c r="AJ69" s="16">
        <v>5.5619000000000001E-6</v>
      </c>
      <c r="AK69" s="16">
        <v>3.0653999999999999E-6</v>
      </c>
      <c r="AL69" s="16">
        <v>7.6771699999999995E-5</v>
      </c>
      <c r="AM69" s="16">
        <v>1.4966E-6</v>
      </c>
      <c r="AN69" s="16">
        <v>4.0859000000000001E-6</v>
      </c>
      <c r="AO69" s="16">
        <v>1.7292000000000001E-6</v>
      </c>
      <c r="AP69" s="16">
        <v>0</v>
      </c>
      <c r="AQ69" s="16">
        <v>0</v>
      </c>
      <c r="AR69" s="16">
        <v>0</v>
      </c>
      <c r="AS69" s="16">
        <v>0</v>
      </c>
      <c r="AT69" s="16">
        <v>0</v>
      </c>
      <c r="AU69" s="16">
        <v>0</v>
      </c>
      <c r="AV69" s="16">
        <v>0</v>
      </c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0</v>
      </c>
      <c r="BD69" s="16">
        <v>0</v>
      </c>
      <c r="BE69" s="16">
        <v>0</v>
      </c>
      <c r="BF69" s="16">
        <v>0</v>
      </c>
      <c r="BG69" s="16">
        <v>0</v>
      </c>
      <c r="BH69" s="16">
        <v>0</v>
      </c>
      <c r="BI69" s="16">
        <v>0</v>
      </c>
      <c r="BJ69" s="16">
        <v>3.5621699999999998E-5</v>
      </c>
      <c r="BK69" s="16"/>
      <c r="BL69" s="16">
        <v>1640851</v>
      </c>
      <c r="BM69" s="61" t="s">
        <v>1285</v>
      </c>
    </row>
    <row r="70" spans="5:65" x14ac:dyDescent="0.25">
      <c r="E70" s="7">
        <f>COUNTIFS(tblBOneExport[ISIN],tblBOneExport[[#This Row],[ISIN]],tblBOneExport[LEVEL1],"Bonds")</f>
        <v>1</v>
      </c>
      <c r="F70">
        <v>4547</v>
      </c>
      <c r="G70" s="155">
        <v>42947</v>
      </c>
      <c r="H70" s="155">
        <v>42978</v>
      </c>
      <c r="I70" t="s">
        <v>1471</v>
      </c>
      <c r="J70">
        <v>1643463</v>
      </c>
      <c r="K70" s="18" t="s">
        <v>1472</v>
      </c>
      <c r="L70" t="s">
        <v>759</v>
      </c>
      <c r="M70" t="s">
        <v>757</v>
      </c>
      <c r="N70" t="s">
        <v>492</v>
      </c>
      <c r="O70" t="s">
        <v>372</v>
      </c>
      <c r="P70" t="s">
        <v>1276</v>
      </c>
      <c r="Q70" t="s">
        <v>1277</v>
      </c>
      <c r="R70" t="s">
        <v>1278</v>
      </c>
      <c r="S70" t="s">
        <v>1348</v>
      </c>
      <c r="T70" t="s">
        <v>1349</v>
      </c>
      <c r="U70" t="s">
        <v>1349</v>
      </c>
      <c r="V70" t="s">
        <v>1288</v>
      </c>
      <c r="W70" t="s">
        <v>493</v>
      </c>
      <c r="X70" t="s">
        <v>1282</v>
      </c>
      <c r="Y70" s="154">
        <v>43483</v>
      </c>
      <c r="Z70" s="154">
        <v>43483</v>
      </c>
      <c r="AA70" t="s">
        <v>1359</v>
      </c>
      <c r="AB70" t="s">
        <v>1360</v>
      </c>
      <c r="AC70">
        <v>1.4049516E-3</v>
      </c>
      <c r="AD70" s="16">
        <v>2.0112896000000001E-3</v>
      </c>
      <c r="AE70" s="16">
        <v>2.8455999999999999E-6</v>
      </c>
      <c r="AF70" s="16">
        <v>0</v>
      </c>
      <c r="AG70" s="16">
        <v>0</v>
      </c>
      <c r="AH70" s="16">
        <v>0</v>
      </c>
      <c r="AI70" s="16">
        <v>1.4417999999999999E-6</v>
      </c>
      <c r="AJ70" s="16">
        <v>2.5409999999999998E-7</v>
      </c>
      <c r="AK70" s="16">
        <v>1.1876000000000001E-6</v>
      </c>
      <c r="AL70" s="16">
        <v>2.4246999999999998E-6</v>
      </c>
      <c r="AM70" s="16">
        <v>-5.2000000000000002E-9</v>
      </c>
      <c r="AN70" s="16">
        <v>-6.906E-7</v>
      </c>
      <c r="AO70" s="16">
        <v>-3.3029999999999999E-7</v>
      </c>
      <c r="AP70" s="16">
        <v>0</v>
      </c>
      <c r="AQ70" s="16">
        <v>0</v>
      </c>
      <c r="AR70" s="16">
        <v>0</v>
      </c>
      <c r="AS70" s="16">
        <v>0</v>
      </c>
      <c r="AT70" s="16">
        <v>0</v>
      </c>
      <c r="AU70" s="16">
        <v>0</v>
      </c>
      <c r="AV70" s="16">
        <v>0</v>
      </c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0</v>
      </c>
      <c r="BD70" s="16">
        <v>0</v>
      </c>
      <c r="BE70" s="16">
        <v>0</v>
      </c>
      <c r="BF70" s="16">
        <v>0</v>
      </c>
      <c r="BG70" s="16">
        <v>0</v>
      </c>
      <c r="BH70" s="16">
        <v>0</v>
      </c>
      <c r="BI70" s="16">
        <v>0</v>
      </c>
      <c r="BJ70" s="16">
        <v>1.42203E-5</v>
      </c>
      <c r="BK70" s="16"/>
      <c r="BL70" s="16">
        <v>1643463</v>
      </c>
      <c r="BM70" s="61" t="s">
        <v>1285</v>
      </c>
    </row>
    <row r="71" spans="5:65" x14ac:dyDescent="0.25">
      <c r="E71" s="7">
        <f>COUNTIFS(tblBOneExport[ISIN],tblBOneExport[[#This Row],[ISIN]],tblBOneExport[LEVEL1],"Bonds")</f>
        <v>1</v>
      </c>
      <c r="F71">
        <v>4547</v>
      </c>
      <c r="G71" s="155">
        <v>42947</v>
      </c>
      <c r="H71" s="155">
        <v>42978</v>
      </c>
      <c r="I71" t="s">
        <v>1473</v>
      </c>
      <c r="J71">
        <v>1643655</v>
      </c>
      <c r="K71" s="18" t="s">
        <v>1474</v>
      </c>
      <c r="L71" t="s">
        <v>610</v>
      </c>
      <c r="M71" t="s">
        <v>611</v>
      </c>
      <c r="N71" t="s">
        <v>492</v>
      </c>
      <c r="O71" t="s">
        <v>372</v>
      </c>
      <c r="P71" t="s">
        <v>1276</v>
      </c>
      <c r="Q71" t="s">
        <v>1277</v>
      </c>
      <c r="R71" t="s">
        <v>1278</v>
      </c>
      <c r="S71" t="s">
        <v>1279</v>
      </c>
      <c r="T71" t="s">
        <v>1475</v>
      </c>
      <c r="U71" t="s">
        <v>1475</v>
      </c>
      <c r="V71" t="s">
        <v>1288</v>
      </c>
      <c r="W71" t="s">
        <v>493</v>
      </c>
      <c r="X71" t="s">
        <v>1282</v>
      </c>
      <c r="Y71" s="154">
        <v>43811</v>
      </c>
      <c r="Z71" s="154">
        <v>43811</v>
      </c>
      <c r="AA71" t="s">
        <v>1359</v>
      </c>
      <c r="AB71" t="s">
        <v>1360</v>
      </c>
      <c r="AC71">
        <v>1.3459415E-3</v>
      </c>
      <c r="AD71" s="16">
        <v>2.9798981E-3</v>
      </c>
      <c r="AE71" s="16">
        <v>4.0333E-6</v>
      </c>
      <c r="AF71" s="16">
        <v>0</v>
      </c>
      <c r="AG71" s="16">
        <v>0</v>
      </c>
      <c r="AH71" s="16">
        <v>0</v>
      </c>
      <c r="AI71" s="16">
        <v>1.2551000000000001E-6</v>
      </c>
      <c r="AJ71" s="16">
        <v>2.5499999999999999E-7</v>
      </c>
      <c r="AK71" s="16">
        <v>9.9999999999999995E-7</v>
      </c>
      <c r="AL71" s="16">
        <v>3.0158E-6</v>
      </c>
      <c r="AM71" s="16">
        <v>8.2500000000000004E-8</v>
      </c>
      <c r="AN71" s="16">
        <v>1.143E-7</v>
      </c>
      <c r="AO71" s="16">
        <v>-3.5180000000000001E-7</v>
      </c>
      <c r="AP71" s="16">
        <v>0</v>
      </c>
      <c r="AQ71" s="16">
        <v>0</v>
      </c>
      <c r="AR71" s="16">
        <v>0</v>
      </c>
      <c r="AS71" s="16">
        <v>0</v>
      </c>
      <c r="AT71" s="16">
        <v>0</v>
      </c>
      <c r="AU71" s="16">
        <v>0</v>
      </c>
      <c r="AV71" s="16">
        <v>0</v>
      </c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0</v>
      </c>
      <c r="BD71" s="16">
        <v>0</v>
      </c>
      <c r="BE71" s="16">
        <v>0</v>
      </c>
      <c r="BF71" s="16">
        <v>0</v>
      </c>
      <c r="BG71" s="16">
        <v>0</v>
      </c>
      <c r="BH71" s="16">
        <v>0</v>
      </c>
      <c r="BI71" s="16">
        <v>0</v>
      </c>
      <c r="BJ71" s="16">
        <v>1.1290100000000001E-5</v>
      </c>
      <c r="BK71" s="16"/>
      <c r="BL71" s="16">
        <v>1643655</v>
      </c>
      <c r="BM71" s="61" t="s">
        <v>1285</v>
      </c>
    </row>
    <row r="72" spans="5:65" x14ac:dyDescent="0.25">
      <c r="E72" s="7">
        <f>COUNTIFS(tblBOneExport[ISIN],tblBOneExport[[#This Row],[ISIN]],tblBOneExport[LEVEL1],"Bonds")</f>
        <v>1</v>
      </c>
      <c r="F72">
        <v>4547</v>
      </c>
      <c r="G72" s="155">
        <v>42947</v>
      </c>
      <c r="H72" s="155">
        <v>42978</v>
      </c>
      <c r="I72" t="s">
        <v>1476</v>
      </c>
      <c r="J72">
        <v>1643873</v>
      </c>
      <c r="K72" s="18" t="s">
        <v>1477</v>
      </c>
      <c r="L72" t="s">
        <v>693</v>
      </c>
      <c r="M72" t="s">
        <v>691</v>
      </c>
      <c r="N72" t="s">
        <v>492</v>
      </c>
      <c r="O72" t="s">
        <v>372</v>
      </c>
      <c r="P72" t="s">
        <v>1276</v>
      </c>
      <c r="Q72" t="s">
        <v>1277</v>
      </c>
      <c r="R72" t="s">
        <v>1322</v>
      </c>
      <c r="S72" t="s">
        <v>1358</v>
      </c>
      <c r="T72" t="s">
        <v>1358</v>
      </c>
      <c r="U72" t="s">
        <v>1358</v>
      </c>
      <c r="V72" t="s">
        <v>1288</v>
      </c>
      <c r="W72" t="s">
        <v>493</v>
      </c>
      <c r="X72" t="s">
        <v>1282</v>
      </c>
      <c r="Y72" s="154">
        <v>45359</v>
      </c>
      <c r="Z72" s="154">
        <v>45359</v>
      </c>
      <c r="AA72" t="s">
        <v>1359</v>
      </c>
      <c r="AB72" t="s">
        <v>1360</v>
      </c>
      <c r="AC72">
        <v>8.8210359999999995E-4</v>
      </c>
      <c r="AD72" s="16">
        <v>1.02325119E-2</v>
      </c>
      <c r="AE72" s="16">
        <v>9.0525000000000001E-6</v>
      </c>
      <c r="AF72" s="16">
        <v>0</v>
      </c>
      <c r="AG72" s="16">
        <v>0</v>
      </c>
      <c r="AH72" s="16">
        <v>0</v>
      </c>
      <c r="AI72" s="16">
        <v>1.3298E-6</v>
      </c>
      <c r="AJ72" s="16">
        <v>5.1460000000000002E-7</v>
      </c>
      <c r="AK72" s="16">
        <v>8.1510000000000004E-7</v>
      </c>
      <c r="AL72" s="16">
        <v>7.7982999999999995E-6</v>
      </c>
      <c r="AM72" s="16">
        <v>5.0109999999999995E-7</v>
      </c>
      <c r="AN72" s="16">
        <v>-2.8389999999999999E-7</v>
      </c>
      <c r="AO72" s="16">
        <v>2.0840000000000001E-7</v>
      </c>
      <c r="AP72" s="16">
        <v>0</v>
      </c>
      <c r="AQ72" s="16">
        <v>0</v>
      </c>
      <c r="AR72" s="16">
        <v>0</v>
      </c>
      <c r="AS72" s="16">
        <v>0</v>
      </c>
      <c r="AT72" s="16">
        <v>0</v>
      </c>
      <c r="AU72" s="16">
        <v>0</v>
      </c>
      <c r="AV72" s="16">
        <v>0</v>
      </c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0</v>
      </c>
      <c r="BD72" s="16">
        <v>0</v>
      </c>
      <c r="BE72" s="16">
        <v>0</v>
      </c>
      <c r="BF72" s="16">
        <v>0</v>
      </c>
      <c r="BG72" s="16">
        <v>0</v>
      </c>
      <c r="BH72" s="16">
        <v>0</v>
      </c>
      <c r="BI72" s="16">
        <v>0</v>
      </c>
      <c r="BJ72" s="16">
        <v>9.5471000000000005E-6</v>
      </c>
      <c r="BK72" s="16"/>
      <c r="BL72" s="16">
        <v>1643873</v>
      </c>
      <c r="BM72" s="61" t="s">
        <v>1285</v>
      </c>
    </row>
    <row r="73" spans="5:65" x14ac:dyDescent="0.25">
      <c r="E73" s="7">
        <f>COUNTIFS(tblBOneExport[ISIN],tblBOneExport[[#This Row],[ISIN]],tblBOneExport[LEVEL1],"Bonds")</f>
        <v>1</v>
      </c>
      <c r="F73">
        <v>4547</v>
      </c>
      <c r="G73" s="155">
        <v>42947</v>
      </c>
      <c r="H73" s="155">
        <v>42978</v>
      </c>
      <c r="I73" t="s">
        <v>1478</v>
      </c>
      <c r="J73">
        <v>1643334</v>
      </c>
      <c r="K73" s="18" t="s">
        <v>1479</v>
      </c>
      <c r="L73" t="s">
        <v>554</v>
      </c>
      <c r="M73" t="s">
        <v>555</v>
      </c>
      <c r="N73" t="s">
        <v>492</v>
      </c>
      <c r="O73" t="s">
        <v>372</v>
      </c>
      <c r="P73" t="s">
        <v>1276</v>
      </c>
      <c r="Q73" t="s">
        <v>1277</v>
      </c>
      <c r="R73" t="s">
        <v>1278</v>
      </c>
      <c r="S73" t="s">
        <v>1348</v>
      </c>
      <c r="T73" t="s">
        <v>1349</v>
      </c>
      <c r="U73" t="s">
        <v>1349</v>
      </c>
      <c r="V73" t="s">
        <v>1288</v>
      </c>
      <c r="W73" t="s">
        <v>493</v>
      </c>
      <c r="X73" t="s">
        <v>1282</v>
      </c>
      <c r="Y73" s="154">
        <v>44721</v>
      </c>
      <c r="Z73" s="154">
        <v>44721</v>
      </c>
      <c r="AA73" t="s">
        <v>1480</v>
      </c>
      <c r="AB73" t="s">
        <v>1481</v>
      </c>
      <c r="AC73">
        <v>1.1365523E-3</v>
      </c>
      <c r="AD73" s="16">
        <v>8.1405858000000008E-3</v>
      </c>
      <c r="AE73" s="16">
        <v>9.2938000000000007E-6</v>
      </c>
      <c r="AF73" s="16">
        <v>0</v>
      </c>
      <c r="AG73" s="16">
        <v>0</v>
      </c>
      <c r="AH73" s="16">
        <v>0</v>
      </c>
      <c r="AI73" s="16">
        <v>1.5098999999999999E-6</v>
      </c>
      <c r="AJ73" s="16">
        <v>4.4480000000000001E-7</v>
      </c>
      <c r="AK73" s="16">
        <v>1.0651E-6</v>
      </c>
      <c r="AL73" s="16">
        <v>7.858E-6</v>
      </c>
      <c r="AM73" s="16">
        <v>7.8619999999999999E-7</v>
      </c>
      <c r="AN73" s="16">
        <v>-2.8620000000000001E-7</v>
      </c>
      <c r="AO73" s="16">
        <v>2.121E-7</v>
      </c>
      <c r="AP73" s="16">
        <v>0</v>
      </c>
      <c r="AQ73" s="16">
        <v>0</v>
      </c>
      <c r="AR73" s="16">
        <v>0</v>
      </c>
      <c r="AS73" s="16">
        <v>0</v>
      </c>
      <c r="AT73" s="16">
        <v>0</v>
      </c>
      <c r="AU73" s="16">
        <v>0</v>
      </c>
      <c r="AV73" s="16">
        <v>0</v>
      </c>
      <c r="AW73" s="16">
        <v>0</v>
      </c>
      <c r="AX73" s="16">
        <v>0</v>
      </c>
      <c r="AY73" s="16">
        <v>0</v>
      </c>
      <c r="AZ73" s="16">
        <v>0</v>
      </c>
      <c r="BA73" s="16">
        <v>0</v>
      </c>
      <c r="BB73" s="16">
        <v>0</v>
      </c>
      <c r="BC73" s="16">
        <v>0</v>
      </c>
      <c r="BD73" s="16">
        <v>0</v>
      </c>
      <c r="BE73" s="16">
        <v>0</v>
      </c>
      <c r="BF73" s="16">
        <v>0</v>
      </c>
      <c r="BG73" s="16">
        <v>0</v>
      </c>
      <c r="BH73" s="16">
        <v>0</v>
      </c>
      <c r="BI73" s="16">
        <v>0</v>
      </c>
      <c r="BJ73" s="16">
        <v>1.2642900000000001E-5</v>
      </c>
      <c r="BK73" s="16"/>
      <c r="BL73" s="16">
        <v>1643334</v>
      </c>
      <c r="BM73" s="61" t="s">
        <v>1285</v>
      </c>
    </row>
    <row r="74" spans="5:65" x14ac:dyDescent="0.25">
      <c r="E74" s="7">
        <f>COUNTIFS(tblBOneExport[ISIN],tblBOneExport[[#This Row],[ISIN]],tblBOneExport[LEVEL1],"Bonds")</f>
        <v>1</v>
      </c>
      <c r="F74">
        <v>4547</v>
      </c>
      <c r="G74" s="155">
        <v>42947</v>
      </c>
      <c r="H74" s="155">
        <v>42978</v>
      </c>
      <c r="I74" t="s">
        <v>1482</v>
      </c>
      <c r="J74">
        <v>1643544</v>
      </c>
      <c r="K74" s="18" t="s">
        <v>1483</v>
      </c>
      <c r="L74" t="s">
        <v>508</v>
      </c>
      <c r="M74" t="s">
        <v>506</v>
      </c>
      <c r="N74" t="s">
        <v>492</v>
      </c>
      <c r="O74" t="s">
        <v>372</v>
      </c>
      <c r="P74" t="s">
        <v>1276</v>
      </c>
      <c r="Q74" t="s">
        <v>1277</v>
      </c>
      <c r="R74" t="s">
        <v>1322</v>
      </c>
      <c r="S74" t="s">
        <v>1323</v>
      </c>
      <c r="T74" t="s">
        <v>1323</v>
      </c>
      <c r="U74" t="s">
        <v>1323</v>
      </c>
      <c r="V74" t="s">
        <v>1332</v>
      </c>
      <c r="W74" t="s">
        <v>493</v>
      </c>
      <c r="X74" t="s">
        <v>1282</v>
      </c>
      <c r="Y74" s="154">
        <v>46216</v>
      </c>
      <c r="Z74" s="154">
        <v>46216</v>
      </c>
      <c r="AA74" t="s">
        <v>1359</v>
      </c>
      <c r="AB74" t="s">
        <v>1360</v>
      </c>
      <c r="AC74">
        <v>1.0805000400000001E-2</v>
      </c>
      <c r="AD74" s="16">
        <v>1.3440592100000001E-2</v>
      </c>
      <c r="AE74" s="16">
        <v>1.4536789999999999E-4</v>
      </c>
      <c r="AF74" s="16">
        <v>0</v>
      </c>
      <c r="AG74" s="16">
        <v>0</v>
      </c>
      <c r="AH74" s="16">
        <v>0</v>
      </c>
      <c r="AI74" s="16">
        <v>1.7149399999999999E-5</v>
      </c>
      <c r="AJ74" s="16">
        <v>8.9863000000000007E-6</v>
      </c>
      <c r="AK74" s="16">
        <v>8.1630999999999998E-6</v>
      </c>
      <c r="AL74" s="16">
        <v>1.563139E-4</v>
      </c>
      <c r="AM74" s="16">
        <v>9.0481000000000007E-6</v>
      </c>
      <c r="AN74" s="16">
        <v>-1.87598E-5</v>
      </c>
      <c r="AO74" s="16">
        <v>-9.3355000000000007E-6</v>
      </c>
      <c r="AP74" s="16">
        <v>0</v>
      </c>
      <c r="AQ74" s="16">
        <v>0</v>
      </c>
      <c r="AR74" s="16">
        <v>0</v>
      </c>
      <c r="AS74" s="16">
        <v>0</v>
      </c>
      <c r="AT74" s="16">
        <v>0</v>
      </c>
      <c r="AU74" s="16">
        <v>0</v>
      </c>
      <c r="AV74" s="16">
        <v>0</v>
      </c>
      <c r="AW74" s="16">
        <v>0</v>
      </c>
      <c r="AX74" s="16">
        <v>0</v>
      </c>
      <c r="AY74" s="16">
        <v>0</v>
      </c>
      <c r="AZ74" s="16">
        <v>0</v>
      </c>
      <c r="BA74" s="16">
        <v>0</v>
      </c>
      <c r="BB74" s="16">
        <v>0</v>
      </c>
      <c r="BC74" s="16">
        <v>0</v>
      </c>
      <c r="BD74" s="16">
        <v>0</v>
      </c>
      <c r="BE74" s="16">
        <v>0</v>
      </c>
      <c r="BF74" s="16">
        <v>0</v>
      </c>
      <c r="BG74" s="16">
        <v>0</v>
      </c>
      <c r="BH74" s="16">
        <v>0</v>
      </c>
      <c r="BI74" s="16">
        <v>0</v>
      </c>
      <c r="BJ74" s="16">
        <v>9.7697900000000005E-5</v>
      </c>
      <c r="BK74" s="16"/>
      <c r="BL74" s="16">
        <v>1643544</v>
      </c>
      <c r="BM74" s="61" t="s">
        <v>1285</v>
      </c>
    </row>
    <row r="75" spans="5:65" x14ac:dyDescent="0.25">
      <c r="E75" s="7">
        <f>COUNTIFS(tblBOneExport[ISIN],tblBOneExport[[#This Row],[ISIN]],tblBOneExport[LEVEL1],"Bonds")</f>
        <v>1</v>
      </c>
      <c r="F75">
        <v>4547</v>
      </c>
      <c r="G75" s="155">
        <v>42947</v>
      </c>
      <c r="H75" s="155">
        <v>42978</v>
      </c>
      <c r="I75" t="s">
        <v>1484</v>
      </c>
      <c r="J75">
        <v>1652267</v>
      </c>
      <c r="K75" s="18" t="s">
        <v>1485</v>
      </c>
      <c r="L75" t="s">
        <v>1124</v>
      </c>
      <c r="M75" t="s">
        <v>1125</v>
      </c>
      <c r="N75" t="s">
        <v>492</v>
      </c>
      <c r="O75" t="s">
        <v>372</v>
      </c>
      <c r="P75" t="s">
        <v>1276</v>
      </c>
      <c r="Q75" t="s">
        <v>1277</v>
      </c>
      <c r="R75" t="s">
        <v>1322</v>
      </c>
      <c r="S75" t="s">
        <v>1323</v>
      </c>
      <c r="T75" t="s">
        <v>1323</v>
      </c>
      <c r="U75" t="s">
        <v>1323</v>
      </c>
      <c r="V75" t="s">
        <v>1288</v>
      </c>
      <c r="W75" t="s">
        <v>493</v>
      </c>
      <c r="X75" t="s">
        <v>1282</v>
      </c>
      <c r="Y75" s="154">
        <v>47206</v>
      </c>
      <c r="Z75" s="154">
        <v>47206</v>
      </c>
      <c r="AA75" t="s">
        <v>1418</v>
      </c>
      <c r="AB75" t="s">
        <v>1419</v>
      </c>
      <c r="AC75">
        <v>2.0042580000000001E-3</v>
      </c>
      <c r="AD75" s="16">
        <v>2.0463751700000001E-2</v>
      </c>
      <c r="AE75" s="16">
        <v>4.0865399999999997E-5</v>
      </c>
      <c r="AF75" s="16">
        <v>0</v>
      </c>
      <c r="AG75" s="16">
        <v>0</v>
      </c>
      <c r="AH75" s="16">
        <v>0</v>
      </c>
      <c r="AI75" s="16">
        <v>4.1413999999999999E-6</v>
      </c>
      <c r="AJ75" s="16">
        <v>2.2041000000000002E-6</v>
      </c>
      <c r="AK75" s="16">
        <v>1.9373000000000001E-6</v>
      </c>
      <c r="AL75" s="16">
        <v>3.5906599999999999E-5</v>
      </c>
      <c r="AM75" s="16">
        <v>1.9460000000000001E-6</v>
      </c>
      <c r="AN75" s="16">
        <v>1.9769000000000001E-6</v>
      </c>
      <c r="AO75" s="16">
        <v>-1.1595000000000001E-6</v>
      </c>
      <c r="AP75" s="16">
        <v>0</v>
      </c>
      <c r="AQ75" s="16">
        <v>0</v>
      </c>
      <c r="AR75" s="16">
        <v>0</v>
      </c>
      <c r="AS75" s="16">
        <v>0</v>
      </c>
      <c r="AT75" s="16">
        <v>0</v>
      </c>
      <c r="AU75" s="16">
        <v>0</v>
      </c>
      <c r="AV75" s="16">
        <v>0</v>
      </c>
      <c r="AW75" s="16">
        <v>0</v>
      </c>
      <c r="AX75" s="16">
        <v>0</v>
      </c>
      <c r="AY75" s="16">
        <v>0</v>
      </c>
      <c r="AZ75" s="16">
        <v>0</v>
      </c>
      <c r="BA75" s="16">
        <v>0</v>
      </c>
      <c r="BB75" s="16">
        <v>0</v>
      </c>
      <c r="BC75" s="16">
        <v>0</v>
      </c>
      <c r="BD75" s="16">
        <v>0</v>
      </c>
      <c r="BE75" s="16">
        <v>0</v>
      </c>
      <c r="BF75" s="16">
        <v>0</v>
      </c>
      <c r="BG75" s="16">
        <v>0</v>
      </c>
      <c r="BH75" s="16">
        <v>0</v>
      </c>
      <c r="BI75" s="16">
        <v>0</v>
      </c>
      <c r="BJ75" s="16">
        <v>2.2844899999999999E-5</v>
      </c>
      <c r="BK75" s="16"/>
      <c r="BL75" s="16">
        <v>1652267</v>
      </c>
      <c r="BM75" s="61" t="s">
        <v>1285</v>
      </c>
    </row>
    <row r="76" spans="5:65" x14ac:dyDescent="0.25">
      <c r="E76" s="7">
        <f>COUNTIFS(tblBOneExport[ISIN],tblBOneExport[[#This Row],[ISIN]],tblBOneExport[LEVEL1],"Bonds")</f>
        <v>1</v>
      </c>
      <c r="F76">
        <v>4547</v>
      </c>
      <c r="G76" s="155">
        <v>42947</v>
      </c>
      <c r="H76" s="155">
        <v>42978</v>
      </c>
      <c r="I76" t="s">
        <v>1486</v>
      </c>
      <c r="J76">
        <v>1642963</v>
      </c>
      <c r="K76" s="18" t="s">
        <v>1487</v>
      </c>
      <c r="L76" t="s">
        <v>1254</v>
      </c>
      <c r="M76" t="s">
        <v>1255</v>
      </c>
      <c r="N76" t="s">
        <v>492</v>
      </c>
      <c r="O76" t="s">
        <v>372</v>
      </c>
      <c r="P76" t="s">
        <v>1276</v>
      </c>
      <c r="Q76" t="s">
        <v>1277</v>
      </c>
      <c r="R76" t="s">
        <v>1278</v>
      </c>
      <c r="S76" t="s">
        <v>1306</v>
      </c>
      <c r="T76" t="s">
        <v>1422</v>
      </c>
      <c r="U76" t="s">
        <v>1422</v>
      </c>
      <c r="V76" t="s">
        <v>1303</v>
      </c>
      <c r="W76" t="s">
        <v>493</v>
      </c>
      <c r="X76" t="s">
        <v>1282</v>
      </c>
      <c r="Y76" s="154">
        <v>49580</v>
      </c>
      <c r="Z76" s="154">
        <v>49580</v>
      </c>
      <c r="AA76" t="s">
        <v>1308</v>
      </c>
      <c r="AB76" t="s">
        <v>1309</v>
      </c>
      <c r="AC76">
        <v>3.3695566999999999E-3</v>
      </c>
      <c r="AD76" s="16">
        <v>1.7455034500000001E-2</v>
      </c>
      <c r="AE76" s="16">
        <v>5.8740399999999998E-5</v>
      </c>
      <c r="AF76" s="16">
        <v>0</v>
      </c>
      <c r="AG76" s="16">
        <v>0</v>
      </c>
      <c r="AH76" s="16">
        <v>0</v>
      </c>
      <c r="AI76" s="16">
        <v>6.5941000000000001E-6</v>
      </c>
      <c r="AJ76" s="16">
        <v>4.4916000000000003E-6</v>
      </c>
      <c r="AK76" s="16">
        <v>2.1025000000000002E-6</v>
      </c>
      <c r="AL76" s="16">
        <v>4.99155E-5</v>
      </c>
      <c r="AM76" s="16">
        <v>1.3016E-6</v>
      </c>
      <c r="AN76" s="16">
        <v>3.2442000000000002E-6</v>
      </c>
      <c r="AO76" s="16">
        <v>-1.0133999999999999E-6</v>
      </c>
      <c r="AP76" s="16">
        <v>0</v>
      </c>
      <c r="AQ76" s="16">
        <v>0</v>
      </c>
      <c r="AR76" s="16">
        <v>0</v>
      </c>
      <c r="AS76" s="16">
        <v>0</v>
      </c>
      <c r="AT76" s="16">
        <v>0</v>
      </c>
      <c r="AU76" s="16">
        <v>0</v>
      </c>
      <c r="AV76" s="16">
        <v>0</v>
      </c>
      <c r="AW76" s="16">
        <v>0</v>
      </c>
      <c r="AX76" s="16">
        <v>0</v>
      </c>
      <c r="AY76" s="16">
        <v>0</v>
      </c>
      <c r="AZ76" s="16">
        <v>0</v>
      </c>
      <c r="BA76" s="16">
        <v>0</v>
      </c>
      <c r="BB76" s="16">
        <v>0</v>
      </c>
      <c r="BC76" s="16">
        <v>0</v>
      </c>
      <c r="BD76" s="16">
        <v>0</v>
      </c>
      <c r="BE76" s="16">
        <v>0</v>
      </c>
      <c r="BF76" s="16">
        <v>0</v>
      </c>
      <c r="BG76" s="16">
        <v>0</v>
      </c>
      <c r="BH76" s="16">
        <v>0</v>
      </c>
      <c r="BI76" s="16">
        <v>0</v>
      </c>
      <c r="BJ76" s="16">
        <v>2.37542E-5</v>
      </c>
      <c r="BK76" s="16"/>
      <c r="BL76" s="16">
        <v>1642963</v>
      </c>
      <c r="BM76" s="61" t="s">
        <v>1285</v>
      </c>
    </row>
    <row r="77" spans="5:65" x14ac:dyDescent="0.25">
      <c r="E77" s="7">
        <f>COUNTIFS(tblBOneExport[ISIN],tblBOneExport[[#This Row],[ISIN]],tblBOneExport[LEVEL1],"Bonds")</f>
        <v>1</v>
      </c>
      <c r="F77">
        <v>4547</v>
      </c>
      <c r="G77" s="155">
        <v>42947</v>
      </c>
      <c r="H77" s="155">
        <v>42978</v>
      </c>
      <c r="I77" t="s">
        <v>1488</v>
      </c>
      <c r="J77">
        <v>1642246</v>
      </c>
      <c r="K77" s="18" t="s">
        <v>1489</v>
      </c>
      <c r="L77" t="s">
        <v>983</v>
      </c>
      <c r="M77" t="s">
        <v>979</v>
      </c>
      <c r="N77" t="s">
        <v>492</v>
      </c>
      <c r="O77" t="s">
        <v>372</v>
      </c>
      <c r="P77" t="s">
        <v>1276</v>
      </c>
      <c r="Q77" t="s">
        <v>1330</v>
      </c>
      <c r="R77" t="s">
        <v>1331</v>
      </c>
      <c r="S77" t="s">
        <v>1331</v>
      </c>
      <c r="T77" t="s">
        <v>1331</v>
      </c>
      <c r="U77" t="s">
        <v>1331</v>
      </c>
      <c r="V77" t="s">
        <v>1303</v>
      </c>
      <c r="W77" t="s">
        <v>493</v>
      </c>
      <c r="X77" t="s">
        <v>1282</v>
      </c>
      <c r="Y77" s="154">
        <v>49642</v>
      </c>
      <c r="Z77" s="154">
        <v>49642</v>
      </c>
      <c r="AA77" t="s">
        <v>1359</v>
      </c>
      <c r="AB77" t="s">
        <v>1360</v>
      </c>
      <c r="AC77">
        <v>5.1316412000000002E-3</v>
      </c>
      <c r="AD77" s="16">
        <v>2.3743351100000001E-2</v>
      </c>
      <c r="AE77" s="16">
        <v>1.211373E-4</v>
      </c>
      <c r="AF77" s="16">
        <v>0</v>
      </c>
      <c r="AG77" s="16">
        <v>0</v>
      </c>
      <c r="AH77" s="16">
        <v>0</v>
      </c>
      <c r="AI77" s="16">
        <v>8.1256000000000006E-6</v>
      </c>
      <c r="AJ77" s="16">
        <v>6.8971999999999998E-6</v>
      </c>
      <c r="AK77" s="16">
        <v>1.2284E-6</v>
      </c>
      <c r="AL77" s="16">
        <v>7.5760700000000001E-5</v>
      </c>
      <c r="AM77" s="16">
        <v>2.0459000000000002E-6</v>
      </c>
      <c r="AN77" s="16">
        <v>3.7481499999999997E-5</v>
      </c>
      <c r="AO77" s="16">
        <v>-2.3050000000000001E-7</v>
      </c>
      <c r="AP77" s="16">
        <v>0</v>
      </c>
      <c r="AQ77" s="16">
        <v>0</v>
      </c>
      <c r="AR77" s="16">
        <v>0</v>
      </c>
      <c r="AS77" s="16">
        <v>0</v>
      </c>
      <c r="AT77" s="16">
        <v>0</v>
      </c>
      <c r="AU77" s="16">
        <v>0</v>
      </c>
      <c r="AV77" s="16">
        <v>0</v>
      </c>
      <c r="AW77" s="16">
        <v>0</v>
      </c>
      <c r="AX77" s="16">
        <v>0</v>
      </c>
      <c r="AY77" s="16">
        <v>0</v>
      </c>
      <c r="AZ77" s="16">
        <v>0</v>
      </c>
      <c r="BA77" s="16">
        <v>0</v>
      </c>
      <c r="BB77" s="16">
        <v>0</v>
      </c>
      <c r="BC77" s="16">
        <v>0</v>
      </c>
      <c r="BD77" s="16">
        <v>0</v>
      </c>
      <c r="BE77" s="16">
        <v>0</v>
      </c>
      <c r="BF77" s="16">
        <v>0</v>
      </c>
      <c r="BG77" s="16">
        <v>0</v>
      </c>
      <c r="BH77" s="16">
        <v>0</v>
      </c>
      <c r="BI77" s="16">
        <v>0</v>
      </c>
      <c r="BJ77" s="16">
        <v>1.1797000000000001E-5</v>
      </c>
      <c r="BK77" s="16"/>
      <c r="BL77" s="16">
        <v>1642246</v>
      </c>
      <c r="BM77" s="61" t="s">
        <v>1285</v>
      </c>
    </row>
    <row r="78" spans="5:65" x14ac:dyDescent="0.25">
      <c r="E78" s="7">
        <f>COUNTIFS(tblBOneExport[ISIN],tblBOneExport[[#This Row],[ISIN]],tblBOneExport[LEVEL1],"Bonds")</f>
        <v>1</v>
      </c>
      <c r="F78">
        <v>4547</v>
      </c>
      <c r="G78" s="155">
        <v>42947</v>
      </c>
      <c r="H78" s="155">
        <v>42978</v>
      </c>
      <c r="I78" t="s">
        <v>1490</v>
      </c>
      <c r="J78">
        <v>1643054</v>
      </c>
      <c r="K78" s="18" t="s">
        <v>1491</v>
      </c>
      <c r="L78" t="s">
        <v>939</v>
      </c>
      <c r="M78" t="s">
        <v>935</v>
      </c>
      <c r="N78" t="s">
        <v>492</v>
      </c>
      <c r="O78" t="s">
        <v>372</v>
      </c>
      <c r="P78" t="s">
        <v>1276</v>
      </c>
      <c r="Q78" t="s">
        <v>1277</v>
      </c>
      <c r="R78" t="s">
        <v>1300</v>
      </c>
      <c r="S78" t="s">
        <v>1301</v>
      </c>
      <c r="T78" t="s">
        <v>1302</v>
      </c>
      <c r="U78" t="s">
        <v>1302</v>
      </c>
      <c r="V78" t="s">
        <v>1281</v>
      </c>
      <c r="W78" t="s">
        <v>493</v>
      </c>
      <c r="X78" t="s">
        <v>1282</v>
      </c>
      <c r="Y78" s="154">
        <v>45635</v>
      </c>
      <c r="Z78" s="154">
        <v>45635</v>
      </c>
      <c r="AA78" t="s">
        <v>1308</v>
      </c>
      <c r="AB78" t="s">
        <v>1309</v>
      </c>
      <c r="AC78">
        <v>8.7896595999999994E-3</v>
      </c>
      <c r="AD78" s="16">
        <v>9.6112950000000006E-3</v>
      </c>
      <c r="AE78" s="16">
        <v>8.48211E-5</v>
      </c>
      <c r="AF78" s="16">
        <v>0</v>
      </c>
      <c r="AG78" s="16">
        <v>0</v>
      </c>
      <c r="AH78" s="16">
        <v>0</v>
      </c>
      <c r="AI78" s="16">
        <v>1.2049699999999999E-5</v>
      </c>
      <c r="AJ78" s="16">
        <v>5.8092999999999996E-6</v>
      </c>
      <c r="AK78" s="16">
        <v>6.2403999999999996E-6</v>
      </c>
      <c r="AL78" s="16">
        <v>1.0005930000000001E-4</v>
      </c>
      <c r="AM78" s="16">
        <v>5.4643999999999997E-6</v>
      </c>
      <c r="AN78" s="16">
        <v>-2.3655500000000001E-5</v>
      </c>
      <c r="AO78" s="16">
        <v>-3.6324000000000002E-6</v>
      </c>
      <c r="AP78" s="16">
        <v>0</v>
      </c>
      <c r="AQ78" s="16">
        <v>0</v>
      </c>
      <c r="AR78" s="16">
        <v>0</v>
      </c>
      <c r="AS78" s="16">
        <v>0</v>
      </c>
      <c r="AT78" s="16">
        <v>0</v>
      </c>
      <c r="AU78" s="16">
        <v>0</v>
      </c>
      <c r="AV78" s="16">
        <v>0</v>
      </c>
      <c r="AW78" s="16">
        <v>0</v>
      </c>
      <c r="AX78" s="16">
        <v>0</v>
      </c>
      <c r="AY78" s="16">
        <v>0</v>
      </c>
      <c r="AZ78" s="16">
        <v>0</v>
      </c>
      <c r="BA78" s="16">
        <v>0</v>
      </c>
      <c r="BB78" s="16">
        <v>0</v>
      </c>
      <c r="BC78" s="16">
        <v>0</v>
      </c>
      <c r="BD78" s="16">
        <v>0</v>
      </c>
      <c r="BE78" s="16">
        <v>0</v>
      </c>
      <c r="BF78" s="16">
        <v>0</v>
      </c>
      <c r="BG78" s="16">
        <v>0</v>
      </c>
      <c r="BH78" s="16">
        <v>0</v>
      </c>
      <c r="BI78" s="16">
        <v>0</v>
      </c>
      <c r="BJ78" s="16">
        <v>7.4481199999999994E-5</v>
      </c>
      <c r="BK78" s="16"/>
      <c r="BL78" s="16">
        <v>1643054</v>
      </c>
      <c r="BM78" s="61" t="s">
        <v>1285</v>
      </c>
    </row>
    <row r="79" spans="5:65" x14ac:dyDescent="0.25">
      <c r="E79" s="7">
        <f>COUNTIFS(tblBOneExport[ISIN],tblBOneExport[[#This Row],[ISIN]],tblBOneExport[LEVEL1],"Bonds")</f>
        <v>1</v>
      </c>
      <c r="F79">
        <v>4547</v>
      </c>
      <c r="G79" s="155">
        <v>42947</v>
      </c>
      <c r="H79" s="155">
        <v>42978</v>
      </c>
      <c r="I79" t="s">
        <v>1492</v>
      </c>
      <c r="J79">
        <v>1652819</v>
      </c>
      <c r="K79" s="18" t="s">
        <v>1493</v>
      </c>
      <c r="L79" t="s">
        <v>981</v>
      </c>
      <c r="M79" t="s">
        <v>979</v>
      </c>
      <c r="N79" t="s">
        <v>492</v>
      </c>
      <c r="O79" t="s">
        <v>372</v>
      </c>
      <c r="P79" t="s">
        <v>1276</v>
      </c>
      <c r="Q79" t="s">
        <v>1330</v>
      </c>
      <c r="R79" t="s">
        <v>1331</v>
      </c>
      <c r="S79" t="s">
        <v>1331</v>
      </c>
      <c r="T79" t="s">
        <v>1331</v>
      </c>
      <c r="U79" t="s">
        <v>1331</v>
      </c>
      <c r="V79" t="s">
        <v>1303</v>
      </c>
      <c r="W79" t="s">
        <v>493</v>
      </c>
      <c r="X79" t="s">
        <v>1282</v>
      </c>
      <c r="Y79" s="154">
        <v>45313</v>
      </c>
      <c r="Z79" s="154">
        <v>45313</v>
      </c>
      <c r="AA79" t="s">
        <v>1359</v>
      </c>
      <c r="AB79" t="s">
        <v>1360</v>
      </c>
      <c r="AC79">
        <v>4.1008968999999996E-3</v>
      </c>
      <c r="AD79" s="16">
        <v>9.8524406999999994E-3</v>
      </c>
      <c r="AE79" s="16">
        <v>4.0527200000000001E-5</v>
      </c>
      <c r="AF79" s="16">
        <v>0</v>
      </c>
      <c r="AG79" s="16">
        <v>0</v>
      </c>
      <c r="AH79" s="16">
        <v>0</v>
      </c>
      <c r="AI79" s="16">
        <v>3.3682000000000002E-6</v>
      </c>
      <c r="AJ79" s="16">
        <v>2.3591E-6</v>
      </c>
      <c r="AK79" s="16">
        <v>1.0092E-6</v>
      </c>
      <c r="AL79" s="16">
        <v>3.5342899999999997E-5</v>
      </c>
      <c r="AM79" s="16">
        <v>2.3555000000000001E-6</v>
      </c>
      <c r="AN79" s="16">
        <v>2.2701999999999999E-6</v>
      </c>
      <c r="AO79" s="16">
        <v>-4.5410000000000002E-7</v>
      </c>
      <c r="AP79" s="16">
        <v>0</v>
      </c>
      <c r="AQ79" s="16">
        <v>0</v>
      </c>
      <c r="AR79" s="16">
        <v>0</v>
      </c>
      <c r="AS79" s="16">
        <v>0</v>
      </c>
      <c r="AT79" s="16">
        <v>0</v>
      </c>
      <c r="AU79" s="16">
        <v>0</v>
      </c>
      <c r="AV79" s="16">
        <v>0</v>
      </c>
      <c r="AW79" s="16">
        <v>0</v>
      </c>
      <c r="AX79" s="16">
        <v>0</v>
      </c>
      <c r="AY79" s="16">
        <v>0</v>
      </c>
      <c r="AZ79" s="16">
        <v>0</v>
      </c>
      <c r="BA79" s="16">
        <v>0</v>
      </c>
      <c r="BB79" s="16">
        <v>0</v>
      </c>
      <c r="BC79" s="16">
        <v>0</v>
      </c>
      <c r="BD79" s="16">
        <v>0</v>
      </c>
      <c r="BE79" s="16">
        <v>0</v>
      </c>
      <c r="BF79" s="16">
        <v>0</v>
      </c>
      <c r="BG79" s="16">
        <v>0</v>
      </c>
      <c r="BH79" s="16">
        <v>0</v>
      </c>
      <c r="BI79" s="16">
        <v>0</v>
      </c>
      <c r="BJ79" s="16">
        <v>1.1427700000000001E-5</v>
      </c>
      <c r="BK79" s="16"/>
      <c r="BL79" s="16">
        <v>1652819</v>
      </c>
      <c r="BM79" s="61" t="s">
        <v>1285</v>
      </c>
    </row>
    <row r="80" spans="5:65" x14ac:dyDescent="0.25">
      <c r="E80" s="7">
        <f>COUNTIFS(tblBOneExport[ISIN],tblBOneExport[[#This Row],[ISIN]],tblBOneExport[LEVEL1],"Bonds")</f>
        <v>1</v>
      </c>
      <c r="F80">
        <v>4547</v>
      </c>
      <c r="G80" s="155">
        <v>42947</v>
      </c>
      <c r="H80" s="155">
        <v>42978</v>
      </c>
      <c r="I80" t="s">
        <v>1494</v>
      </c>
      <c r="J80">
        <v>1652779</v>
      </c>
      <c r="K80" s="18" t="s">
        <v>1495</v>
      </c>
      <c r="L80" t="s">
        <v>1260</v>
      </c>
      <c r="M80" t="s">
        <v>1261</v>
      </c>
      <c r="N80" t="s">
        <v>492</v>
      </c>
      <c r="O80" t="s">
        <v>372</v>
      </c>
      <c r="P80" t="s">
        <v>1276</v>
      </c>
      <c r="Q80" t="s">
        <v>1277</v>
      </c>
      <c r="R80" t="s">
        <v>1322</v>
      </c>
      <c r="S80" t="s">
        <v>1323</v>
      </c>
      <c r="T80" t="s">
        <v>1323</v>
      </c>
      <c r="U80" t="s">
        <v>1323</v>
      </c>
      <c r="V80" t="s">
        <v>1332</v>
      </c>
      <c r="W80" t="s">
        <v>493</v>
      </c>
      <c r="X80" t="s">
        <v>1282</v>
      </c>
      <c r="Y80" s="154">
        <v>46822</v>
      </c>
      <c r="Z80" s="154">
        <v>46822</v>
      </c>
      <c r="AA80" t="s">
        <v>1359</v>
      </c>
      <c r="AB80" t="s">
        <v>1360</v>
      </c>
      <c r="AC80">
        <v>1.0114744300000001E-2</v>
      </c>
      <c r="AD80" s="16">
        <v>1.86121671E-2</v>
      </c>
      <c r="AE80" s="16">
        <v>1.8782339999999999E-4</v>
      </c>
      <c r="AF80" s="16">
        <v>0</v>
      </c>
      <c r="AG80" s="16">
        <v>0</v>
      </c>
      <c r="AH80" s="16">
        <v>0</v>
      </c>
      <c r="AI80" s="16">
        <v>1.7192200000000001E-5</v>
      </c>
      <c r="AJ80" s="16">
        <v>1.0017700000000001E-5</v>
      </c>
      <c r="AK80" s="16">
        <v>7.1744999999999997E-6</v>
      </c>
      <c r="AL80" s="16">
        <v>1.733982E-4</v>
      </c>
      <c r="AM80" s="16">
        <v>9.2189999999999993E-6</v>
      </c>
      <c r="AN80" s="16">
        <v>-5.539E-7</v>
      </c>
      <c r="AO80" s="16">
        <v>-2.2131E-6</v>
      </c>
      <c r="AP80" s="16">
        <v>0</v>
      </c>
      <c r="AQ80" s="16">
        <v>0</v>
      </c>
      <c r="AR80" s="16">
        <v>0</v>
      </c>
      <c r="AS80" s="16">
        <v>0</v>
      </c>
      <c r="AT80" s="16">
        <v>0</v>
      </c>
      <c r="AU80" s="16">
        <v>0</v>
      </c>
      <c r="AV80" s="16">
        <v>0</v>
      </c>
      <c r="AW80" s="16">
        <v>0</v>
      </c>
      <c r="AX80" s="16">
        <v>0</v>
      </c>
      <c r="AY80" s="16">
        <v>0</v>
      </c>
      <c r="AZ80" s="16">
        <v>0</v>
      </c>
      <c r="BA80" s="16">
        <v>0</v>
      </c>
      <c r="BB80" s="16">
        <v>0</v>
      </c>
      <c r="BC80" s="16">
        <v>0</v>
      </c>
      <c r="BD80" s="16">
        <v>0</v>
      </c>
      <c r="BE80" s="16">
        <v>0</v>
      </c>
      <c r="BF80" s="16">
        <v>0</v>
      </c>
      <c r="BG80" s="16">
        <v>0</v>
      </c>
      <c r="BH80" s="16">
        <v>0</v>
      </c>
      <c r="BI80" s="16">
        <v>0</v>
      </c>
      <c r="BJ80" s="16">
        <v>8.4995500000000003E-5</v>
      </c>
      <c r="BK80" s="16"/>
      <c r="BL80" s="16">
        <v>1652779</v>
      </c>
      <c r="BM80" s="61" t="s">
        <v>1285</v>
      </c>
    </row>
    <row r="81" spans="5:65" x14ac:dyDescent="0.25">
      <c r="E81" s="7">
        <f>COUNTIFS(tblBOneExport[ISIN],tblBOneExport[[#This Row],[ISIN]],tblBOneExport[LEVEL1],"Bonds")</f>
        <v>1</v>
      </c>
      <c r="F81">
        <v>4547</v>
      </c>
      <c r="G81" s="155">
        <v>42947</v>
      </c>
      <c r="H81" s="155">
        <v>42978</v>
      </c>
      <c r="I81" t="s">
        <v>1496</v>
      </c>
      <c r="J81">
        <v>1646940</v>
      </c>
      <c r="K81" s="18" t="s">
        <v>1497</v>
      </c>
      <c r="L81" t="s">
        <v>580</v>
      </c>
      <c r="M81" t="s">
        <v>581</v>
      </c>
      <c r="N81" t="s">
        <v>492</v>
      </c>
      <c r="O81" t="s">
        <v>372</v>
      </c>
      <c r="P81" t="s">
        <v>1276</v>
      </c>
      <c r="Q81" t="s">
        <v>1277</v>
      </c>
      <c r="R81" t="s">
        <v>1322</v>
      </c>
      <c r="S81" t="s">
        <v>1358</v>
      </c>
      <c r="T81" t="s">
        <v>1358</v>
      </c>
      <c r="U81" t="s">
        <v>1358</v>
      </c>
      <c r="V81" t="s">
        <v>1332</v>
      </c>
      <c r="W81" t="s">
        <v>493</v>
      </c>
      <c r="X81" t="s">
        <v>1282</v>
      </c>
      <c r="Y81" s="154">
        <v>49433</v>
      </c>
      <c r="Z81" s="154">
        <v>49433</v>
      </c>
      <c r="AA81" t="s">
        <v>1359</v>
      </c>
      <c r="AB81" t="s">
        <v>1360</v>
      </c>
      <c r="AC81">
        <v>2.4102820000000001E-3</v>
      </c>
      <c r="AD81" s="16">
        <v>2.4236864699999999E-2</v>
      </c>
      <c r="AE81" s="16">
        <v>5.8057799999999998E-5</v>
      </c>
      <c r="AF81" s="16">
        <v>0</v>
      </c>
      <c r="AG81" s="16">
        <v>0</v>
      </c>
      <c r="AH81" s="16">
        <v>0</v>
      </c>
      <c r="AI81" s="16">
        <v>5.1209000000000004E-6</v>
      </c>
      <c r="AJ81" s="16">
        <v>3.1773999999999999E-6</v>
      </c>
      <c r="AK81" s="16">
        <v>1.9435000000000001E-6</v>
      </c>
      <c r="AL81" s="16">
        <v>3.7453200000000003E-5</v>
      </c>
      <c r="AM81" s="16">
        <v>9.1699999999999997E-7</v>
      </c>
      <c r="AN81" s="16">
        <v>1.2823700000000001E-5</v>
      </c>
      <c r="AO81" s="16">
        <v>2.6599999999999999E-6</v>
      </c>
      <c r="AP81" s="16">
        <v>0</v>
      </c>
      <c r="AQ81" s="16">
        <v>0</v>
      </c>
      <c r="AR81" s="16">
        <v>0</v>
      </c>
      <c r="AS81" s="16">
        <v>0</v>
      </c>
      <c r="AT81" s="16">
        <v>0</v>
      </c>
      <c r="AU81" s="16">
        <v>0</v>
      </c>
      <c r="AV81" s="16">
        <v>0</v>
      </c>
      <c r="AW81" s="16">
        <v>0</v>
      </c>
      <c r="AX81" s="16">
        <v>0</v>
      </c>
      <c r="AY81" s="16">
        <v>0</v>
      </c>
      <c r="AZ81" s="16">
        <v>0</v>
      </c>
      <c r="BA81" s="16">
        <v>0</v>
      </c>
      <c r="BB81" s="16">
        <v>0</v>
      </c>
      <c r="BC81" s="16">
        <v>0</v>
      </c>
      <c r="BD81" s="16">
        <v>0</v>
      </c>
      <c r="BE81" s="16">
        <v>0</v>
      </c>
      <c r="BF81" s="16">
        <v>0</v>
      </c>
      <c r="BG81" s="16">
        <v>0</v>
      </c>
      <c r="BH81" s="16">
        <v>0</v>
      </c>
      <c r="BI81" s="16">
        <v>0</v>
      </c>
      <c r="BJ81" s="16">
        <v>2.1974799999999998E-5</v>
      </c>
      <c r="BK81" s="16"/>
      <c r="BL81" s="16">
        <v>1646940</v>
      </c>
      <c r="BM81" s="61" t="s">
        <v>1285</v>
      </c>
    </row>
    <row r="82" spans="5:65" x14ac:dyDescent="0.25">
      <c r="E82" s="7">
        <f>COUNTIFS(tblBOneExport[ISIN],tblBOneExport[[#This Row],[ISIN]],tblBOneExport[LEVEL1],"Bonds")</f>
        <v>1</v>
      </c>
      <c r="F82">
        <v>4547</v>
      </c>
      <c r="G82" s="155">
        <v>42947</v>
      </c>
      <c r="H82" s="155">
        <v>42978</v>
      </c>
      <c r="I82" t="s">
        <v>1498</v>
      </c>
      <c r="J82">
        <v>1647446</v>
      </c>
      <c r="K82" s="18" t="s">
        <v>1499</v>
      </c>
      <c r="L82" t="s">
        <v>985</v>
      </c>
      <c r="M82" t="s">
        <v>979</v>
      </c>
      <c r="N82" t="s">
        <v>492</v>
      </c>
      <c r="O82" t="s">
        <v>372</v>
      </c>
      <c r="P82" t="s">
        <v>1276</v>
      </c>
      <c r="Q82" t="s">
        <v>1330</v>
      </c>
      <c r="R82" t="s">
        <v>1331</v>
      </c>
      <c r="S82" t="s">
        <v>1331</v>
      </c>
      <c r="T82" t="s">
        <v>1331</v>
      </c>
      <c r="U82" t="s">
        <v>1331</v>
      </c>
      <c r="V82" t="s">
        <v>1303</v>
      </c>
      <c r="W82" t="s">
        <v>493</v>
      </c>
      <c r="X82" t="s">
        <v>1282</v>
      </c>
      <c r="Y82" s="154">
        <v>44033</v>
      </c>
      <c r="Z82" s="154">
        <v>44033</v>
      </c>
      <c r="AA82" t="s">
        <v>1359</v>
      </c>
      <c r="AB82" t="s">
        <v>1360</v>
      </c>
      <c r="AC82">
        <v>2.3646330000000001E-3</v>
      </c>
      <c r="AD82" s="16">
        <v>3.3481943000000002E-3</v>
      </c>
      <c r="AE82" s="16">
        <v>7.9827000000000007E-6</v>
      </c>
      <c r="AF82" s="16">
        <v>0</v>
      </c>
      <c r="AG82" s="16">
        <v>0</v>
      </c>
      <c r="AH82" s="16">
        <v>0</v>
      </c>
      <c r="AI82" s="16">
        <v>9.5620000000000005E-7</v>
      </c>
      <c r="AJ82" s="16">
        <v>4.919E-7</v>
      </c>
      <c r="AK82" s="16">
        <v>4.643E-7</v>
      </c>
      <c r="AL82" s="16">
        <v>7.7786000000000004E-6</v>
      </c>
      <c r="AM82" s="16">
        <v>1.8930000000000001E-7</v>
      </c>
      <c r="AN82" s="16">
        <v>-7.9009999999999996E-7</v>
      </c>
      <c r="AO82" s="16">
        <v>3.8000000000000003E-8</v>
      </c>
      <c r="AP82" s="16">
        <v>0</v>
      </c>
      <c r="AQ82" s="16">
        <v>0</v>
      </c>
      <c r="AR82" s="16">
        <v>0</v>
      </c>
      <c r="AS82" s="16">
        <v>0</v>
      </c>
      <c r="AT82" s="16">
        <v>0</v>
      </c>
      <c r="AU82" s="16">
        <v>0</v>
      </c>
      <c r="AV82" s="16">
        <v>0</v>
      </c>
      <c r="AW82" s="16">
        <v>0</v>
      </c>
      <c r="AX82" s="16">
        <v>0</v>
      </c>
      <c r="AY82" s="16">
        <v>0</v>
      </c>
      <c r="AZ82" s="16">
        <v>0</v>
      </c>
      <c r="BA82" s="16">
        <v>0</v>
      </c>
      <c r="BB82" s="16">
        <v>0</v>
      </c>
      <c r="BC82" s="16">
        <v>0</v>
      </c>
      <c r="BD82" s="16">
        <v>0</v>
      </c>
      <c r="BE82" s="16">
        <v>0</v>
      </c>
      <c r="BF82" s="16">
        <v>0</v>
      </c>
      <c r="BG82" s="16">
        <v>0</v>
      </c>
      <c r="BH82" s="16">
        <v>0</v>
      </c>
      <c r="BI82" s="16">
        <v>0</v>
      </c>
      <c r="BJ82" s="16">
        <v>5.6950999999999999E-6</v>
      </c>
      <c r="BK82" s="16"/>
      <c r="BL82" s="16">
        <v>1647446</v>
      </c>
      <c r="BM82" s="61" t="s">
        <v>1285</v>
      </c>
    </row>
    <row r="83" spans="5:65" x14ac:dyDescent="0.25">
      <c r="E83" s="7">
        <f>COUNTIFS(tblBOneExport[ISIN],tblBOneExport[[#This Row],[ISIN]],tblBOneExport[LEVEL1],"Bonds")</f>
        <v>1</v>
      </c>
      <c r="F83">
        <v>4547</v>
      </c>
      <c r="G83" s="155">
        <v>42947</v>
      </c>
      <c r="H83" s="155">
        <v>42978</v>
      </c>
      <c r="I83" t="s">
        <v>1500</v>
      </c>
      <c r="J83">
        <v>1642534</v>
      </c>
      <c r="K83" s="18" t="s">
        <v>1501</v>
      </c>
      <c r="L83" t="s">
        <v>1133</v>
      </c>
      <c r="M83" t="s">
        <v>1134</v>
      </c>
      <c r="N83" t="s">
        <v>492</v>
      </c>
      <c r="O83" t="s">
        <v>372</v>
      </c>
      <c r="P83" t="s">
        <v>1276</v>
      </c>
      <c r="Q83" t="s">
        <v>1277</v>
      </c>
      <c r="R83" t="s">
        <v>1322</v>
      </c>
      <c r="S83" t="s">
        <v>1326</v>
      </c>
      <c r="T83" t="s">
        <v>1326</v>
      </c>
      <c r="U83" t="s">
        <v>1326</v>
      </c>
      <c r="V83" t="s">
        <v>1332</v>
      </c>
      <c r="W83" t="s">
        <v>493</v>
      </c>
      <c r="X83" t="s">
        <v>1282</v>
      </c>
      <c r="Y83" s="154">
        <v>47198</v>
      </c>
      <c r="Z83" s="154">
        <v>47198</v>
      </c>
      <c r="AA83" t="s">
        <v>1359</v>
      </c>
      <c r="AB83" t="s">
        <v>1360</v>
      </c>
      <c r="AC83">
        <v>5.7388732999999999E-3</v>
      </c>
      <c r="AD83" s="16">
        <v>1.9085691700000001E-2</v>
      </c>
      <c r="AE83" s="16">
        <v>1.0924E-4</v>
      </c>
      <c r="AF83" s="16">
        <v>0</v>
      </c>
      <c r="AG83" s="16">
        <v>0</v>
      </c>
      <c r="AH83" s="16">
        <v>0</v>
      </c>
      <c r="AI83" s="16">
        <v>1.03034E-5</v>
      </c>
      <c r="AJ83" s="16">
        <v>6.3180000000000003E-6</v>
      </c>
      <c r="AK83" s="16">
        <v>3.9854E-6</v>
      </c>
      <c r="AL83" s="16">
        <v>1.0561979999999999E-4</v>
      </c>
      <c r="AM83" s="16">
        <v>5.7185999999999998E-6</v>
      </c>
      <c r="AN83" s="16">
        <v>-4.3188000000000001E-6</v>
      </c>
      <c r="AO83" s="16">
        <v>-2.3644000000000002E-6</v>
      </c>
      <c r="AP83" s="16">
        <v>0</v>
      </c>
      <c r="AQ83" s="16">
        <v>0</v>
      </c>
      <c r="AR83" s="16">
        <v>0</v>
      </c>
      <c r="AS83" s="16">
        <v>0</v>
      </c>
      <c r="AT83" s="16">
        <v>0</v>
      </c>
      <c r="AU83" s="16">
        <v>0</v>
      </c>
      <c r="AV83" s="16">
        <v>0</v>
      </c>
      <c r="AW83" s="16">
        <v>0</v>
      </c>
      <c r="AX83" s="16">
        <v>0</v>
      </c>
      <c r="AY83" s="16">
        <v>0</v>
      </c>
      <c r="AZ83" s="16">
        <v>0</v>
      </c>
      <c r="BA83" s="16">
        <v>0</v>
      </c>
      <c r="BB83" s="16">
        <v>0</v>
      </c>
      <c r="BC83" s="16">
        <v>0</v>
      </c>
      <c r="BD83" s="16">
        <v>0</v>
      </c>
      <c r="BE83" s="16">
        <v>0</v>
      </c>
      <c r="BF83" s="16">
        <v>0</v>
      </c>
      <c r="BG83" s="16">
        <v>0</v>
      </c>
      <c r="BH83" s="16">
        <v>0</v>
      </c>
      <c r="BI83" s="16">
        <v>0</v>
      </c>
      <c r="BJ83" s="16">
        <v>4.7373000000000002E-5</v>
      </c>
      <c r="BK83" s="16"/>
      <c r="BL83" s="16">
        <v>1642534</v>
      </c>
      <c r="BM83" s="61" t="s">
        <v>1285</v>
      </c>
    </row>
    <row r="84" spans="5:65" x14ac:dyDescent="0.25">
      <c r="E84" s="7">
        <f>COUNTIFS(tblBOneExport[ISIN],tblBOneExport[[#This Row],[ISIN]],tblBOneExport[LEVEL1],"Bonds")</f>
        <v>1</v>
      </c>
      <c r="F84">
        <v>4547</v>
      </c>
      <c r="G84" s="155">
        <v>42947</v>
      </c>
      <c r="H84" s="155">
        <v>42978</v>
      </c>
      <c r="I84" t="s">
        <v>1502</v>
      </c>
      <c r="J84">
        <v>1646784</v>
      </c>
      <c r="K84" s="18" t="s">
        <v>1503</v>
      </c>
      <c r="L84" t="s">
        <v>1007</v>
      </c>
      <c r="M84" t="s">
        <v>1005</v>
      </c>
      <c r="N84" t="s">
        <v>492</v>
      </c>
      <c r="O84" t="s">
        <v>372</v>
      </c>
      <c r="P84" t="s">
        <v>1276</v>
      </c>
      <c r="Q84" t="s">
        <v>1277</v>
      </c>
      <c r="R84" t="s">
        <v>1322</v>
      </c>
      <c r="S84" t="s">
        <v>1326</v>
      </c>
      <c r="T84" t="s">
        <v>1326</v>
      </c>
      <c r="U84" t="s">
        <v>1326</v>
      </c>
      <c r="V84" t="s">
        <v>1288</v>
      </c>
      <c r="W84" t="s">
        <v>493</v>
      </c>
      <c r="X84" t="s">
        <v>1282</v>
      </c>
      <c r="Y84" s="154">
        <v>46568</v>
      </c>
      <c r="Z84" s="154">
        <v>46568</v>
      </c>
      <c r="AA84" t="s">
        <v>1359</v>
      </c>
      <c r="AB84" t="s">
        <v>1360</v>
      </c>
      <c r="AC84">
        <v>3.8012125000000002E-3</v>
      </c>
      <c r="AD84" s="16">
        <v>1.6808680600000001E-2</v>
      </c>
      <c r="AE84" s="16">
        <v>6.3839500000000004E-5</v>
      </c>
      <c r="AF84" s="16">
        <v>0</v>
      </c>
      <c r="AG84" s="16">
        <v>0</v>
      </c>
      <c r="AH84" s="16">
        <v>0</v>
      </c>
      <c r="AI84" s="16">
        <v>6.4975E-6</v>
      </c>
      <c r="AJ84" s="16">
        <v>3.4879000000000001E-6</v>
      </c>
      <c r="AK84" s="16">
        <v>3.0096E-6</v>
      </c>
      <c r="AL84" s="16">
        <v>6.2900799999999999E-5</v>
      </c>
      <c r="AM84" s="16">
        <v>2.7263999999999998E-6</v>
      </c>
      <c r="AN84" s="16">
        <v>2.219E-7</v>
      </c>
      <c r="AO84" s="16">
        <v>-5.7807000000000004E-6</v>
      </c>
      <c r="AP84" s="16">
        <v>0</v>
      </c>
      <c r="AQ84" s="16">
        <v>0</v>
      </c>
      <c r="AR84" s="16">
        <v>0</v>
      </c>
      <c r="AS84" s="16">
        <v>0</v>
      </c>
      <c r="AT84" s="16">
        <v>0</v>
      </c>
      <c r="AU84" s="16">
        <v>0</v>
      </c>
      <c r="AV84" s="16">
        <v>0</v>
      </c>
      <c r="AW84" s="16">
        <v>0</v>
      </c>
      <c r="AX84" s="16">
        <v>0</v>
      </c>
      <c r="AY84" s="16">
        <v>0</v>
      </c>
      <c r="AZ84" s="16">
        <v>0</v>
      </c>
      <c r="BA84" s="16">
        <v>0</v>
      </c>
      <c r="BB84" s="16">
        <v>0</v>
      </c>
      <c r="BC84" s="16">
        <v>0</v>
      </c>
      <c r="BD84" s="16">
        <v>0</v>
      </c>
      <c r="BE84" s="16">
        <v>0</v>
      </c>
      <c r="BF84" s="16">
        <v>0</v>
      </c>
      <c r="BG84" s="16">
        <v>0</v>
      </c>
      <c r="BH84" s="16">
        <v>0</v>
      </c>
      <c r="BI84" s="16">
        <v>0</v>
      </c>
      <c r="BJ84" s="16">
        <v>3.5522000000000003E-5</v>
      </c>
      <c r="BK84" s="16"/>
      <c r="BL84" s="16">
        <v>1646784</v>
      </c>
      <c r="BM84" s="61" t="s">
        <v>1285</v>
      </c>
    </row>
    <row r="85" spans="5:65" x14ac:dyDescent="0.25">
      <c r="E85" s="7">
        <f>COUNTIFS(tblBOneExport[ISIN],tblBOneExport[[#This Row],[ISIN]],tblBOneExport[LEVEL1],"Bonds")</f>
        <v>1</v>
      </c>
      <c r="F85">
        <v>4547</v>
      </c>
      <c r="G85" s="155">
        <v>42947</v>
      </c>
      <c r="H85" s="155">
        <v>42978</v>
      </c>
      <c r="I85" t="s">
        <v>1504</v>
      </c>
      <c r="J85">
        <v>1646782</v>
      </c>
      <c r="K85" s="18" t="s">
        <v>1505</v>
      </c>
      <c r="L85" t="s">
        <v>1004</v>
      </c>
      <c r="M85" t="s">
        <v>1005</v>
      </c>
      <c r="N85" t="s">
        <v>492</v>
      </c>
      <c r="O85" t="s">
        <v>372</v>
      </c>
      <c r="P85" t="s">
        <v>1276</v>
      </c>
      <c r="Q85" t="s">
        <v>1277</v>
      </c>
      <c r="R85" t="s">
        <v>1322</v>
      </c>
      <c r="S85" t="s">
        <v>1326</v>
      </c>
      <c r="T85" t="s">
        <v>1326</v>
      </c>
      <c r="U85" t="s">
        <v>1326</v>
      </c>
      <c r="V85" t="s">
        <v>1288</v>
      </c>
      <c r="W85" t="s">
        <v>493</v>
      </c>
      <c r="X85" t="s">
        <v>1282</v>
      </c>
      <c r="Y85" s="154">
        <v>49628</v>
      </c>
      <c r="Z85" s="154">
        <v>49628</v>
      </c>
      <c r="AA85" t="s">
        <v>1359</v>
      </c>
      <c r="AB85" t="s">
        <v>1360</v>
      </c>
      <c r="AC85">
        <v>4.6815648000000003E-3</v>
      </c>
      <c r="AD85" s="16">
        <v>2.2093779399999999E-2</v>
      </c>
      <c r="AE85" s="16">
        <v>1.0296430000000001E-4</v>
      </c>
      <c r="AF85" s="16">
        <v>0</v>
      </c>
      <c r="AG85" s="16">
        <v>0</v>
      </c>
      <c r="AH85" s="16">
        <v>0</v>
      </c>
      <c r="AI85" s="16">
        <v>9.9335000000000007E-6</v>
      </c>
      <c r="AJ85" s="16">
        <v>6.2473000000000003E-6</v>
      </c>
      <c r="AK85" s="16">
        <v>3.6862E-6</v>
      </c>
      <c r="AL85" s="16">
        <v>6.7459400000000007E-5</v>
      </c>
      <c r="AM85" s="16">
        <v>1.8066E-6</v>
      </c>
      <c r="AN85" s="16">
        <v>3.0130299999999998E-5</v>
      </c>
      <c r="AO85" s="16">
        <v>-4.5589999999999999E-6</v>
      </c>
      <c r="AP85" s="16">
        <v>0</v>
      </c>
      <c r="AQ85" s="16">
        <v>0</v>
      </c>
      <c r="AR85" s="16">
        <v>0</v>
      </c>
      <c r="AS85" s="16">
        <v>0</v>
      </c>
      <c r="AT85" s="16">
        <v>0</v>
      </c>
      <c r="AU85" s="16">
        <v>0</v>
      </c>
      <c r="AV85" s="16">
        <v>0</v>
      </c>
      <c r="AW85" s="16">
        <v>0</v>
      </c>
      <c r="AX85" s="16">
        <v>0</v>
      </c>
      <c r="AY85" s="16">
        <v>0</v>
      </c>
      <c r="AZ85" s="16">
        <v>0</v>
      </c>
      <c r="BA85" s="16">
        <v>0</v>
      </c>
      <c r="BB85" s="16">
        <v>0</v>
      </c>
      <c r="BC85" s="16">
        <v>0</v>
      </c>
      <c r="BD85" s="16">
        <v>0</v>
      </c>
      <c r="BE85" s="16">
        <v>0</v>
      </c>
      <c r="BF85" s="16">
        <v>0</v>
      </c>
      <c r="BG85" s="16">
        <v>0</v>
      </c>
      <c r="BH85" s="16">
        <v>0</v>
      </c>
      <c r="BI85" s="16">
        <v>0</v>
      </c>
      <c r="BJ85" s="16">
        <v>4.1113399999999998E-5</v>
      </c>
      <c r="BK85" s="16"/>
      <c r="BL85" s="16">
        <v>1646782</v>
      </c>
      <c r="BM85" s="61" t="s">
        <v>1285</v>
      </c>
    </row>
    <row r="86" spans="5:65" x14ac:dyDescent="0.25">
      <c r="E86" s="7">
        <f>COUNTIFS(tblBOneExport[ISIN],tblBOneExport[[#This Row],[ISIN]],tblBOneExport[LEVEL1],"Bonds")</f>
        <v>1</v>
      </c>
      <c r="F86">
        <v>4547</v>
      </c>
      <c r="G86" s="155">
        <v>42947</v>
      </c>
      <c r="H86" s="155">
        <v>42978</v>
      </c>
      <c r="I86" t="s">
        <v>1506</v>
      </c>
      <c r="J86">
        <v>1647459</v>
      </c>
      <c r="K86" s="18" t="s">
        <v>1507</v>
      </c>
      <c r="L86" t="s">
        <v>1027</v>
      </c>
      <c r="M86" t="s">
        <v>1023</v>
      </c>
      <c r="N86" t="s">
        <v>492</v>
      </c>
      <c r="O86" t="s">
        <v>372</v>
      </c>
      <c r="P86" t="s">
        <v>1276</v>
      </c>
      <c r="Q86" t="s">
        <v>1277</v>
      </c>
      <c r="R86" t="s">
        <v>1278</v>
      </c>
      <c r="S86" t="s">
        <v>1312</v>
      </c>
      <c r="T86" t="s">
        <v>1313</v>
      </c>
      <c r="U86" t="s">
        <v>1314</v>
      </c>
      <c r="V86" t="s">
        <v>1315</v>
      </c>
      <c r="W86" t="s">
        <v>493</v>
      </c>
      <c r="X86" t="s">
        <v>1282</v>
      </c>
      <c r="Y86" s="154">
        <v>45996</v>
      </c>
      <c r="Z86" s="154">
        <v>45996</v>
      </c>
      <c r="AA86" t="s">
        <v>1316</v>
      </c>
      <c r="AB86" t="s">
        <v>1317</v>
      </c>
      <c r="AC86">
        <v>2.9870515999999999E-3</v>
      </c>
      <c r="AD86" s="16">
        <v>1.36155502E-2</v>
      </c>
      <c r="AE86" s="16">
        <v>4.0710400000000002E-5</v>
      </c>
      <c r="AF86" s="16">
        <v>0</v>
      </c>
      <c r="AG86" s="16">
        <v>0</v>
      </c>
      <c r="AH86" s="16">
        <v>0</v>
      </c>
      <c r="AI86" s="16">
        <v>4.9000999999999999E-6</v>
      </c>
      <c r="AJ86" s="16">
        <v>2.2776E-6</v>
      </c>
      <c r="AK86" s="16">
        <v>2.6224999999999999E-6</v>
      </c>
      <c r="AL86" s="16">
        <v>4.0516599999999998E-5</v>
      </c>
      <c r="AM86" s="16">
        <v>2.3309E-6</v>
      </c>
      <c r="AN86" s="16">
        <v>-4.1265999999999996E-6</v>
      </c>
      <c r="AO86" s="16">
        <v>-5.7970000000000004E-7</v>
      </c>
      <c r="AP86" s="16">
        <v>0</v>
      </c>
      <c r="AQ86" s="16">
        <v>0</v>
      </c>
      <c r="AR86" s="16">
        <v>0</v>
      </c>
      <c r="AS86" s="16">
        <v>0</v>
      </c>
      <c r="AT86" s="16">
        <v>0</v>
      </c>
      <c r="AU86" s="16">
        <v>0</v>
      </c>
      <c r="AV86" s="16">
        <v>0</v>
      </c>
      <c r="AW86" s="16">
        <v>0</v>
      </c>
      <c r="AX86" s="16">
        <v>0</v>
      </c>
      <c r="AY86" s="16">
        <v>0</v>
      </c>
      <c r="AZ86" s="16">
        <v>0</v>
      </c>
      <c r="BA86" s="16">
        <v>0</v>
      </c>
      <c r="BB86" s="16">
        <v>0</v>
      </c>
      <c r="BC86" s="16">
        <v>0</v>
      </c>
      <c r="BD86" s="16">
        <v>0</v>
      </c>
      <c r="BE86" s="16">
        <v>0</v>
      </c>
      <c r="BF86" s="16">
        <v>0</v>
      </c>
      <c r="BG86" s="16">
        <v>0</v>
      </c>
      <c r="BH86" s="16">
        <v>0</v>
      </c>
      <c r="BI86" s="16">
        <v>0</v>
      </c>
      <c r="BJ86" s="16">
        <v>3.1111900000000003E-5</v>
      </c>
      <c r="BK86" s="16"/>
      <c r="BL86" s="16">
        <v>1647459</v>
      </c>
      <c r="BM86" s="61" t="s">
        <v>1285</v>
      </c>
    </row>
    <row r="87" spans="5:65" x14ac:dyDescent="0.25">
      <c r="E87" s="7">
        <f>COUNTIFS(tblBOneExport[ISIN],tblBOneExport[[#This Row],[ISIN]],tblBOneExport[LEVEL1],"Bonds")</f>
        <v>1</v>
      </c>
      <c r="F87">
        <v>4547</v>
      </c>
      <c r="G87" s="155">
        <v>42947</v>
      </c>
      <c r="H87" s="155">
        <v>42978</v>
      </c>
      <c r="I87" t="s">
        <v>1508</v>
      </c>
      <c r="J87">
        <v>1647053</v>
      </c>
      <c r="K87" s="18" t="s">
        <v>1509</v>
      </c>
      <c r="L87" t="s">
        <v>525</v>
      </c>
      <c r="M87" t="s">
        <v>526</v>
      </c>
      <c r="N87" t="s">
        <v>492</v>
      </c>
      <c r="O87" t="s">
        <v>372</v>
      </c>
      <c r="P87" t="s">
        <v>1276</v>
      </c>
      <c r="Q87" t="s">
        <v>1277</v>
      </c>
      <c r="R87" t="s">
        <v>1300</v>
      </c>
      <c r="S87" t="s">
        <v>1301</v>
      </c>
      <c r="T87" t="s">
        <v>1302</v>
      </c>
      <c r="U87" t="s">
        <v>1302</v>
      </c>
      <c r="V87" t="s">
        <v>1315</v>
      </c>
      <c r="W87" t="s">
        <v>493</v>
      </c>
      <c r="X87" t="s">
        <v>1282</v>
      </c>
      <c r="Y87" s="154">
        <v>45042</v>
      </c>
      <c r="Z87" s="154">
        <v>45042</v>
      </c>
      <c r="AA87" t="s">
        <v>1308</v>
      </c>
      <c r="AB87" t="s">
        <v>1309</v>
      </c>
      <c r="AC87">
        <v>4.3951386E-3</v>
      </c>
      <c r="AD87" s="16">
        <v>1.03179608E-2</v>
      </c>
      <c r="AE87" s="16">
        <v>4.5538599999999998E-5</v>
      </c>
      <c r="AF87" s="16">
        <v>0</v>
      </c>
      <c r="AG87" s="16">
        <v>0</v>
      </c>
      <c r="AH87" s="16">
        <v>0</v>
      </c>
      <c r="AI87" s="16">
        <v>6.7917999999999999E-6</v>
      </c>
      <c r="AJ87" s="16">
        <v>2.1691000000000001E-6</v>
      </c>
      <c r="AK87" s="16">
        <v>4.6226999999999998E-6</v>
      </c>
      <c r="AL87" s="16">
        <v>3.1702000000000002E-5</v>
      </c>
      <c r="AM87" s="16">
        <v>2.3684999999999999E-6</v>
      </c>
      <c r="AN87" s="16">
        <v>9.2320000000000007E-6</v>
      </c>
      <c r="AO87" s="16">
        <v>-2.1872E-6</v>
      </c>
      <c r="AP87" s="16">
        <v>0</v>
      </c>
      <c r="AQ87" s="16">
        <v>0</v>
      </c>
      <c r="AR87" s="16">
        <v>0</v>
      </c>
      <c r="AS87" s="16">
        <v>0</v>
      </c>
      <c r="AT87" s="16">
        <v>0</v>
      </c>
      <c r="AU87" s="16">
        <v>0</v>
      </c>
      <c r="AV87" s="16">
        <v>0</v>
      </c>
      <c r="AW87" s="16">
        <v>0</v>
      </c>
      <c r="AX87" s="16">
        <v>0</v>
      </c>
      <c r="AY87" s="16">
        <v>0</v>
      </c>
      <c r="AZ87" s="16">
        <v>0</v>
      </c>
      <c r="BA87" s="16">
        <v>0</v>
      </c>
      <c r="BB87" s="16">
        <v>0</v>
      </c>
      <c r="BC87" s="16">
        <v>0</v>
      </c>
      <c r="BD87" s="16">
        <v>0</v>
      </c>
      <c r="BE87" s="16">
        <v>0</v>
      </c>
      <c r="BF87" s="16">
        <v>0</v>
      </c>
      <c r="BG87" s="16">
        <v>0</v>
      </c>
      <c r="BH87" s="16">
        <v>0</v>
      </c>
      <c r="BI87" s="16">
        <v>0</v>
      </c>
      <c r="BJ87" s="16">
        <v>5.3747099999999999E-5</v>
      </c>
      <c r="BK87" s="16"/>
      <c r="BL87" s="16">
        <v>1647053</v>
      </c>
      <c r="BM87" s="61" t="s">
        <v>1285</v>
      </c>
    </row>
    <row r="88" spans="5:65" x14ac:dyDescent="0.25">
      <c r="E88" s="7">
        <f>COUNTIFS(tblBOneExport[ISIN],tblBOneExport[[#This Row],[ISIN]],tblBOneExport[LEVEL1],"Bonds")</f>
        <v>1</v>
      </c>
      <c r="F88">
        <v>4547</v>
      </c>
      <c r="G88" s="155">
        <v>42947</v>
      </c>
      <c r="H88" s="155">
        <v>42978</v>
      </c>
      <c r="I88" t="s">
        <v>1510</v>
      </c>
      <c r="J88">
        <v>1644360</v>
      </c>
      <c r="K88" s="18" t="s">
        <v>1511</v>
      </c>
      <c r="L88" t="s">
        <v>576</v>
      </c>
      <c r="M88" t="s">
        <v>577</v>
      </c>
      <c r="N88" t="s">
        <v>492</v>
      </c>
      <c r="O88" t="s">
        <v>372</v>
      </c>
      <c r="P88" t="s">
        <v>1276</v>
      </c>
      <c r="Q88" t="s">
        <v>1277</v>
      </c>
      <c r="R88" t="s">
        <v>1278</v>
      </c>
      <c r="S88" t="s">
        <v>1512</v>
      </c>
      <c r="T88" t="s">
        <v>1513</v>
      </c>
      <c r="U88" t="s">
        <v>1513</v>
      </c>
      <c r="V88" t="s">
        <v>1281</v>
      </c>
      <c r="W88" t="s">
        <v>493</v>
      </c>
      <c r="X88" t="s">
        <v>1282</v>
      </c>
      <c r="Y88" s="154">
        <v>43243</v>
      </c>
      <c r="Z88" s="154">
        <v>43243</v>
      </c>
      <c r="AA88" t="s">
        <v>1432</v>
      </c>
      <c r="AB88" t="s">
        <v>1433</v>
      </c>
      <c r="AC88">
        <v>1.03164728E-2</v>
      </c>
      <c r="AD88" s="16">
        <v>1.1696368E-3</v>
      </c>
      <c r="AE88" s="16">
        <v>1.21744E-5</v>
      </c>
      <c r="AF88" s="16">
        <v>0</v>
      </c>
      <c r="AG88" s="16">
        <v>0</v>
      </c>
      <c r="AH88" s="16">
        <v>0</v>
      </c>
      <c r="AI88" s="16">
        <v>7.1265000000000003E-6</v>
      </c>
      <c r="AJ88" s="16">
        <v>1.7994000000000001E-6</v>
      </c>
      <c r="AK88" s="16">
        <v>5.3271999999999996E-6</v>
      </c>
      <c r="AL88" s="16">
        <v>7.2358999999999996E-6</v>
      </c>
      <c r="AM88" s="16">
        <v>3.6889999999999997E-7</v>
      </c>
      <c r="AN88" s="16">
        <v>-3.6551E-6</v>
      </c>
      <c r="AO88" s="16">
        <v>1.4670999999999999E-6</v>
      </c>
      <c r="AP88" s="16">
        <v>0</v>
      </c>
      <c r="AQ88" s="16">
        <v>0</v>
      </c>
      <c r="AR88" s="16">
        <v>0</v>
      </c>
      <c r="AS88" s="16">
        <v>0</v>
      </c>
      <c r="AT88" s="16">
        <v>0</v>
      </c>
      <c r="AU88" s="16">
        <v>0</v>
      </c>
      <c r="AV88" s="16">
        <v>0</v>
      </c>
      <c r="AW88" s="16">
        <v>0</v>
      </c>
      <c r="AX88" s="16">
        <v>0</v>
      </c>
      <c r="AY88" s="16">
        <v>0</v>
      </c>
      <c r="AZ88" s="16">
        <v>0</v>
      </c>
      <c r="BA88" s="16">
        <v>0</v>
      </c>
      <c r="BB88" s="16">
        <v>0</v>
      </c>
      <c r="BC88" s="16">
        <v>0</v>
      </c>
      <c r="BD88" s="16">
        <v>0</v>
      </c>
      <c r="BE88" s="16">
        <v>0</v>
      </c>
      <c r="BF88" s="16">
        <v>0</v>
      </c>
      <c r="BG88" s="16">
        <v>0</v>
      </c>
      <c r="BH88" s="16">
        <v>0</v>
      </c>
      <c r="BI88" s="16">
        <v>0</v>
      </c>
      <c r="BJ88" s="16">
        <v>6.5605799999999995E-5</v>
      </c>
      <c r="BK88" s="16"/>
      <c r="BL88" s="16">
        <v>1644360</v>
      </c>
      <c r="BM88" s="61" t="s">
        <v>1285</v>
      </c>
    </row>
    <row r="89" spans="5:65" x14ac:dyDescent="0.25">
      <c r="E89" s="7">
        <f>COUNTIFS(tblBOneExport[ISIN],tblBOneExport[[#This Row],[ISIN]],tblBOneExport[LEVEL1],"Bonds")</f>
        <v>1</v>
      </c>
      <c r="F89">
        <v>4547</v>
      </c>
      <c r="G89" s="155">
        <v>42947</v>
      </c>
      <c r="H89" s="155">
        <v>42978</v>
      </c>
      <c r="I89" t="s">
        <v>1514</v>
      </c>
      <c r="J89">
        <v>1642147</v>
      </c>
      <c r="K89" s="18" t="s">
        <v>1515</v>
      </c>
      <c r="L89" t="s">
        <v>820</v>
      </c>
      <c r="M89" t="s">
        <v>818</v>
      </c>
      <c r="N89" t="s">
        <v>492</v>
      </c>
      <c r="O89" t="s">
        <v>372</v>
      </c>
      <c r="P89" t="s">
        <v>1276</v>
      </c>
      <c r="Q89" t="s">
        <v>1277</v>
      </c>
      <c r="R89" t="s">
        <v>1322</v>
      </c>
      <c r="S89" t="s">
        <v>1323</v>
      </c>
      <c r="T89" t="s">
        <v>1323</v>
      </c>
      <c r="U89" t="s">
        <v>1323</v>
      </c>
      <c r="V89" t="s">
        <v>1332</v>
      </c>
      <c r="W89" t="s">
        <v>493</v>
      </c>
      <c r="X89" t="s">
        <v>1282</v>
      </c>
      <c r="Y89" s="154">
        <v>55609</v>
      </c>
      <c r="Z89" s="154">
        <v>55609</v>
      </c>
      <c r="AA89" t="s">
        <v>1418</v>
      </c>
      <c r="AB89" t="s">
        <v>1419</v>
      </c>
      <c r="AC89">
        <v>2.0578577E-3</v>
      </c>
      <c r="AD89" s="16">
        <v>2.9377440099999999E-2</v>
      </c>
      <c r="AE89" s="16">
        <v>5.9965700000000001E-5</v>
      </c>
      <c r="AF89" s="16">
        <v>0</v>
      </c>
      <c r="AG89" s="16">
        <v>0</v>
      </c>
      <c r="AH89" s="16">
        <v>0</v>
      </c>
      <c r="AI89" s="16">
        <v>4.4974999999999997E-6</v>
      </c>
      <c r="AJ89" s="16">
        <v>2.9253000000000002E-6</v>
      </c>
      <c r="AK89" s="16">
        <v>1.5722E-6</v>
      </c>
      <c r="AL89" s="16">
        <v>6.25736E-5</v>
      </c>
      <c r="AM89" s="16">
        <v>-4.6950000000000002E-7</v>
      </c>
      <c r="AN89" s="16">
        <v>1.5677E-6</v>
      </c>
      <c r="AO89" s="16">
        <v>-8.6731E-6</v>
      </c>
      <c r="AP89" s="16">
        <v>0</v>
      </c>
      <c r="AQ89" s="16">
        <v>0</v>
      </c>
      <c r="AR89" s="16">
        <v>0</v>
      </c>
      <c r="AS89" s="16">
        <v>0</v>
      </c>
      <c r="AT89" s="16">
        <v>0</v>
      </c>
      <c r="AU89" s="16">
        <v>0</v>
      </c>
      <c r="AV89" s="16">
        <v>0</v>
      </c>
      <c r="AW89" s="16">
        <v>0</v>
      </c>
      <c r="AX89" s="16">
        <v>0</v>
      </c>
      <c r="AY89" s="16">
        <v>0</v>
      </c>
      <c r="AZ89" s="16">
        <v>0</v>
      </c>
      <c r="BA89" s="16">
        <v>0</v>
      </c>
      <c r="BB89" s="16">
        <v>0</v>
      </c>
      <c r="BC89" s="16">
        <v>0</v>
      </c>
      <c r="BD89" s="16">
        <v>0</v>
      </c>
      <c r="BE89" s="16">
        <v>0</v>
      </c>
      <c r="BF89" s="16">
        <v>0</v>
      </c>
      <c r="BG89" s="16">
        <v>0</v>
      </c>
      <c r="BH89" s="16">
        <v>0</v>
      </c>
      <c r="BI89" s="16">
        <v>0</v>
      </c>
      <c r="BJ89" s="16">
        <v>1.8337200000000001E-5</v>
      </c>
      <c r="BK89" s="16"/>
      <c r="BL89" s="16">
        <v>1642147</v>
      </c>
      <c r="BM89" s="61" t="s">
        <v>1285</v>
      </c>
    </row>
    <row r="90" spans="5:65" x14ac:dyDescent="0.25">
      <c r="E90" s="7">
        <f>COUNTIFS(tblBOneExport[ISIN],tblBOneExport[[#This Row],[ISIN]],tblBOneExport[LEVEL1],"Bonds")</f>
        <v>1</v>
      </c>
      <c r="F90">
        <v>4547</v>
      </c>
      <c r="G90" s="155">
        <v>42947</v>
      </c>
      <c r="H90" s="155">
        <v>42978</v>
      </c>
      <c r="I90" t="s">
        <v>1516</v>
      </c>
      <c r="J90">
        <v>1645087</v>
      </c>
      <c r="K90" s="18" t="s">
        <v>1517</v>
      </c>
      <c r="L90" t="s">
        <v>674</v>
      </c>
      <c r="M90" t="s">
        <v>675</v>
      </c>
      <c r="N90" t="s">
        <v>492</v>
      </c>
      <c r="O90" t="s">
        <v>372</v>
      </c>
      <c r="P90" t="s">
        <v>1276</v>
      </c>
      <c r="Q90" t="s">
        <v>1277</v>
      </c>
      <c r="R90" t="s">
        <v>1322</v>
      </c>
      <c r="S90" t="s">
        <v>1323</v>
      </c>
      <c r="T90" t="s">
        <v>1323</v>
      </c>
      <c r="U90" t="s">
        <v>1323</v>
      </c>
      <c r="V90" t="s">
        <v>1332</v>
      </c>
      <c r="W90" t="s">
        <v>493</v>
      </c>
      <c r="X90" t="s">
        <v>1282</v>
      </c>
      <c r="Y90" s="154">
        <v>57435</v>
      </c>
      <c r="Z90" s="154">
        <v>57435</v>
      </c>
      <c r="AA90" t="s">
        <v>1359</v>
      </c>
      <c r="AB90" t="s">
        <v>1360</v>
      </c>
      <c r="AC90">
        <v>5.7691019000000003E-3</v>
      </c>
      <c r="AD90" s="16">
        <v>2.8334179899999999E-2</v>
      </c>
      <c r="AE90" s="16">
        <v>1.6205540000000001E-4</v>
      </c>
      <c r="AF90" s="16">
        <v>0</v>
      </c>
      <c r="AG90" s="16">
        <v>0</v>
      </c>
      <c r="AH90" s="16">
        <v>0</v>
      </c>
      <c r="AI90" s="16">
        <v>1.2424499999999999E-5</v>
      </c>
      <c r="AJ90" s="16">
        <v>7.8831999999999993E-6</v>
      </c>
      <c r="AK90" s="16">
        <v>4.5413E-6</v>
      </c>
      <c r="AL90" s="16">
        <v>1.758025E-4</v>
      </c>
      <c r="AM90" s="16">
        <v>-1.4344E-6</v>
      </c>
      <c r="AN90" s="16">
        <v>-3.3380300000000003E-5</v>
      </c>
      <c r="AO90" s="16">
        <v>7.2087000000000001E-6</v>
      </c>
      <c r="AP90" s="16">
        <v>0</v>
      </c>
      <c r="AQ90" s="16">
        <v>0</v>
      </c>
      <c r="AR90" s="16">
        <v>0</v>
      </c>
      <c r="AS90" s="16">
        <v>0</v>
      </c>
      <c r="AT90" s="16">
        <v>0</v>
      </c>
      <c r="AU90" s="16">
        <v>0</v>
      </c>
      <c r="AV90" s="16">
        <v>0</v>
      </c>
      <c r="AW90" s="16">
        <v>0</v>
      </c>
      <c r="AX90" s="16">
        <v>0</v>
      </c>
      <c r="AY90" s="16">
        <v>0</v>
      </c>
      <c r="AZ90" s="16">
        <v>0</v>
      </c>
      <c r="BA90" s="16">
        <v>0</v>
      </c>
      <c r="BB90" s="16">
        <v>0</v>
      </c>
      <c r="BC90" s="16">
        <v>0</v>
      </c>
      <c r="BD90" s="16">
        <v>0</v>
      </c>
      <c r="BE90" s="16">
        <v>0</v>
      </c>
      <c r="BF90" s="16">
        <v>0</v>
      </c>
      <c r="BG90" s="16">
        <v>0</v>
      </c>
      <c r="BH90" s="16">
        <v>0</v>
      </c>
      <c r="BI90" s="16">
        <v>0</v>
      </c>
      <c r="BJ90" s="16">
        <v>5.3622699999999997E-5</v>
      </c>
      <c r="BK90" s="16"/>
      <c r="BL90" s="16">
        <v>1645087</v>
      </c>
      <c r="BM90" s="61" t="s">
        <v>1285</v>
      </c>
    </row>
    <row r="91" spans="5:65" x14ac:dyDescent="0.25">
      <c r="E91" s="7">
        <f>COUNTIFS(tblBOneExport[ISIN],tblBOneExport[[#This Row],[ISIN]],tblBOneExport[LEVEL1],"Bonds")</f>
        <v>1</v>
      </c>
      <c r="F91">
        <v>4547</v>
      </c>
      <c r="G91" s="155">
        <v>42947</v>
      </c>
      <c r="H91" s="155">
        <v>42978</v>
      </c>
      <c r="I91" t="s">
        <v>1518</v>
      </c>
      <c r="J91">
        <v>1641533</v>
      </c>
      <c r="K91" s="18" t="s">
        <v>1519</v>
      </c>
      <c r="L91" t="s">
        <v>798</v>
      </c>
      <c r="M91" t="s">
        <v>799</v>
      </c>
      <c r="N91" t="s">
        <v>492</v>
      </c>
      <c r="O91" t="s">
        <v>372</v>
      </c>
      <c r="P91" t="s">
        <v>1276</v>
      </c>
      <c r="Q91" t="s">
        <v>1277</v>
      </c>
      <c r="R91" t="s">
        <v>1278</v>
      </c>
      <c r="S91" t="s">
        <v>1512</v>
      </c>
      <c r="T91" t="s">
        <v>1520</v>
      </c>
      <c r="U91" t="s">
        <v>1520</v>
      </c>
      <c r="V91" t="s">
        <v>1288</v>
      </c>
      <c r="W91" t="s">
        <v>493</v>
      </c>
      <c r="X91" t="s">
        <v>1282</v>
      </c>
      <c r="Y91" s="154">
        <v>43523</v>
      </c>
      <c r="Z91" s="154">
        <v>43523</v>
      </c>
      <c r="AA91" t="s">
        <v>1521</v>
      </c>
      <c r="AB91" t="s">
        <v>1522</v>
      </c>
      <c r="AC91">
        <v>1.2838539E-3</v>
      </c>
      <c r="AD91" s="16">
        <v>3.5414359999999998E-3</v>
      </c>
      <c r="AE91" s="16">
        <v>4.5765000000000001E-6</v>
      </c>
      <c r="AF91" s="16">
        <v>0</v>
      </c>
      <c r="AG91" s="16">
        <v>0</v>
      </c>
      <c r="AH91" s="16">
        <v>0</v>
      </c>
      <c r="AI91" s="16">
        <v>1.3552E-6</v>
      </c>
      <c r="AJ91" s="16">
        <v>2.318E-7</v>
      </c>
      <c r="AK91" s="16">
        <v>1.1233999999999999E-6</v>
      </c>
      <c r="AL91" s="16">
        <v>2.2688000000000002E-6</v>
      </c>
      <c r="AM91" s="16">
        <v>-5.0000000000000001E-9</v>
      </c>
      <c r="AN91" s="16">
        <v>8.7110000000000001E-7</v>
      </c>
      <c r="AO91" s="16">
        <v>8.1400000000000001E-8</v>
      </c>
      <c r="AP91" s="16">
        <v>0</v>
      </c>
      <c r="AQ91" s="16">
        <v>0</v>
      </c>
      <c r="AR91" s="16">
        <v>0</v>
      </c>
      <c r="AS91" s="16">
        <v>0</v>
      </c>
      <c r="AT91" s="16">
        <v>0</v>
      </c>
      <c r="AU91" s="16">
        <v>0</v>
      </c>
      <c r="AV91" s="16">
        <v>0</v>
      </c>
      <c r="AW91" s="16">
        <v>0</v>
      </c>
      <c r="AX91" s="16">
        <v>0</v>
      </c>
      <c r="AY91" s="16">
        <v>0</v>
      </c>
      <c r="AZ91" s="16">
        <v>0</v>
      </c>
      <c r="BA91" s="16">
        <v>0</v>
      </c>
      <c r="BB91" s="16">
        <v>0</v>
      </c>
      <c r="BC91" s="16">
        <v>0</v>
      </c>
      <c r="BD91" s="16">
        <v>0</v>
      </c>
      <c r="BE91" s="16">
        <v>0</v>
      </c>
      <c r="BF91" s="16">
        <v>0</v>
      </c>
      <c r="BG91" s="16">
        <v>0</v>
      </c>
      <c r="BH91" s="16">
        <v>0</v>
      </c>
      <c r="BI91" s="16">
        <v>0</v>
      </c>
      <c r="BJ91" s="16">
        <v>1.28103E-5</v>
      </c>
      <c r="BK91" s="16"/>
      <c r="BL91" s="16">
        <v>1641533</v>
      </c>
      <c r="BM91" s="61" t="s">
        <v>1285</v>
      </c>
    </row>
    <row r="92" spans="5:65" x14ac:dyDescent="0.25">
      <c r="E92" s="7">
        <f>COUNTIFS(tblBOneExport[ISIN],tblBOneExport[[#This Row],[ISIN]],tblBOneExport[LEVEL1],"Bonds")</f>
        <v>1</v>
      </c>
      <c r="F92">
        <v>4547</v>
      </c>
      <c r="G92" s="155">
        <v>42947</v>
      </c>
      <c r="H92" s="155">
        <v>42978</v>
      </c>
      <c r="I92" t="s">
        <v>1523</v>
      </c>
      <c r="J92">
        <v>1641727</v>
      </c>
      <c r="K92" s="18" t="s">
        <v>1524</v>
      </c>
      <c r="L92" t="s">
        <v>547</v>
      </c>
      <c r="M92" t="s">
        <v>321</v>
      </c>
      <c r="N92" t="s">
        <v>492</v>
      </c>
      <c r="O92" t="s">
        <v>372</v>
      </c>
      <c r="P92" t="s">
        <v>1276</v>
      </c>
      <c r="Q92" t="s">
        <v>1277</v>
      </c>
      <c r="R92" t="s">
        <v>1278</v>
      </c>
      <c r="S92" t="s">
        <v>1312</v>
      </c>
      <c r="T92" t="s">
        <v>1313</v>
      </c>
      <c r="U92" t="s">
        <v>1314</v>
      </c>
      <c r="V92" t="s">
        <v>1315</v>
      </c>
      <c r="W92" t="s">
        <v>493</v>
      </c>
      <c r="X92" t="s">
        <v>1282</v>
      </c>
      <c r="Y92" s="154">
        <v>46461</v>
      </c>
      <c r="Z92" s="154">
        <v>46461</v>
      </c>
      <c r="AA92" t="s">
        <v>1308</v>
      </c>
      <c r="AB92" t="s">
        <v>1309</v>
      </c>
      <c r="AC92">
        <v>1.4583553E-3</v>
      </c>
      <c r="AD92" s="16">
        <v>1.6408233800000002E-2</v>
      </c>
      <c r="AE92" s="16">
        <v>2.3916700000000001E-5</v>
      </c>
      <c r="AF92" s="16">
        <v>0</v>
      </c>
      <c r="AG92" s="16">
        <v>0</v>
      </c>
      <c r="AH92" s="16">
        <v>0</v>
      </c>
      <c r="AI92" s="16">
        <v>3.2901999999999999E-6</v>
      </c>
      <c r="AJ92" s="16">
        <v>1.2923000000000001E-6</v>
      </c>
      <c r="AK92" s="16">
        <v>1.9979E-6</v>
      </c>
      <c r="AL92" s="16">
        <v>2.22707E-5</v>
      </c>
      <c r="AM92" s="16">
        <v>9.794000000000001E-7</v>
      </c>
      <c r="AN92" s="16">
        <v>-1.9985E-6</v>
      </c>
      <c r="AO92" s="16">
        <v>3.5429999999999999E-7</v>
      </c>
      <c r="AP92" s="16">
        <v>0</v>
      </c>
      <c r="AQ92" s="16">
        <v>0</v>
      </c>
      <c r="AR92" s="16">
        <v>0</v>
      </c>
      <c r="AS92" s="16">
        <v>0</v>
      </c>
      <c r="AT92" s="16">
        <v>0</v>
      </c>
      <c r="AU92" s="16">
        <v>0</v>
      </c>
      <c r="AV92" s="16">
        <v>0</v>
      </c>
      <c r="AW92" s="16">
        <v>0</v>
      </c>
      <c r="AX92" s="16">
        <v>0</v>
      </c>
      <c r="AY92" s="16">
        <v>0</v>
      </c>
      <c r="AZ92" s="16">
        <v>0</v>
      </c>
      <c r="BA92" s="16">
        <v>0</v>
      </c>
      <c r="BB92" s="16">
        <v>0</v>
      </c>
      <c r="BC92" s="16">
        <v>0</v>
      </c>
      <c r="BD92" s="16">
        <v>0</v>
      </c>
      <c r="BE92" s="16">
        <v>0</v>
      </c>
      <c r="BF92" s="16">
        <v>0</v>
      </c>
      <c r="BG92" s="16">
        <v>0</v>
      </c>
      <c r="BH92" s="16">
        <v>0</v>
      </c>
      <c r="BI92" s="16">
        <v>0</v>
      </c>
      <c r="BJ92" s="16">
        <v>2.3810200000000001E-5</v>
      </c>
      <c r="BK92" s="16"/>
      <c r="BL92" s="16">
        <v>1641727</v>
      </c>
      <c r="BM92" s="61" t="s">
        <v>1285</v>
      </c>
    </row>
    <row r="93" spans="5:65" x14ac:dyDescent="0.25">
      <c r="E93" s="7">
        <f>COUNTIFS(tblBOneExport[ISIN],tblBOneExport[[#This Row],[ISIN]],tblBOneExport[LEVEL1],"Bonds")</f>
        <v>1</v>
      </c>
      <c r="F93">
        <v>4547</v>
      </c>
      <c r="G93" s="155">
        <v>42947</v>
      </c>
      <c r="H93" s="155">
        <v>42978</v>
      </c>
      <c r="I93" t="s">
        <v>1525</v>
      </c>
      <c r="J93">
        <v>1642405</v>
      </c>
      <c r="K93" s="18" t="s">
        <v>1526</v>
      </c>
      <c r="L93" t="s">
        <v>789</v>
      </c>
      <c r="M93" t="s">
        <v>787</v>
      </c>
      <c r="N93" t="s">
        <v>492</v>
      </c>
      <c r="O93" t="s">
        <v>372</v>
      </c>
      <c r="P93" t="s">
        <v>1276</v>
      </c>
      <c r="Q93" t="s">
        <v>1277</v>
      </c>
      <c r="R93" t="s">
        <v>1278</v>
      </c>
      <c r="S93" t="s">
        <v>1279</v>
      </c>
      <c r="T93" t="s">
        <v>1442</v>
      </c>
      <c r="U93" t="s">
        <v>1442</v>
      </c>
      <c r="V93" t="s">
        <v>1332</v>
      </c>
      <c r="W93" t="s">
        <v>493</v>
      </c>
      <c r="X93" t="s">
        <v>1282</v>
      </c>
      <c r="Y93" s="154">
        <v>51966</v>
      </c>
      <c r="Z93" s="154">
        <v>51966</v>
      </c>
      <c r="AA93" t="s">
        <v>1359</v>
      </c>
      <c r="AB93" t="s">
        <v>1360</v>
      </c>
      <c r="AC93">
        <v>2.5563595E-3</v>
      </c>
      <c r="AD93" s="16">
        <v>2.6594027199999998E-2</v>
      </c>
      <c r="AE93" s="16">
        <v>6.7469400000000002E-5</v>
      </c>
      <c r="AF93" s="16">
        <v>0</v>
      </c>
      <c r="AG93" s="16">
        <v>0</v>
      </c>
      <c r="AH93" s="16">
        <v>0</v>
      </c>
      <c r="AI93" s="16">
        <v>5.6855E-6</v>
      </c>
      <c r="AJ93" s="16">
        <v>3.765E-6</v>
      </c>
      <c r="AK93" s="16">
        <v>1.9205000000000001E-6</v>
      </c>
      <c r="AL93" s="16">
        <v>6.38776E-5</v>
      </c>
      <c r="AM93" s="16">
        <v>7.5560000000000002E-7</v>
      </c>
      <c r="AN93" s="16">
        <v>-6.9739000000000003E-6</v>
      </c>
      <c r="AO93" s="16">
        <v>4.8802000000000003E-6</v>
      </c>
      <c r="AP93" s="16">
        <v>0</v>
      </c>
      <c r="AQ93" s="16">
        <v>0</v>
      </c>
      <c r="AR93" s="16">
        <v>0</v>
      </c>
      <c r="AS93" s="16">
        <v>0</v>
      </c>
      <c r="AT93" s="16">
        <v>0</v>
      </c>
      <c r="AU93" s="16">
        <v>0</v>
      </c>
      <c r="AV93" s="16">
        <v>0</v>
      </c>
      <c r="AW93" s="16">
        <v>0</v>
      </c>
      <c r="AX93" s="16">
        <v>0</v>
      </c>
      <c r="AY93" s="16">
        <v>0</v>
      </c>
      <c r="AZ93" s="16">
        <v>0</v>
      </c>
      <c r="BA93" s="16">
        <v>0</v>
      </c>
      <c r="BB93" s="16">
        <v>0</v>
      </c>
      <c r="BC93" s="16">
        <v>0</v>
      </c>
      <c r="BD93" s="16">
        <v>0</v>
      </c>
      <c r="BE93" s="16">
        <v>0</v>
      </c>
      <c r="BF93" s="16">
        <v>0</v>
      </c>
      <c r="BG93" s="16">
        <v>0</v>
      </c>
      <c r="BH93" s="16">
        <v>0</v>
      </c>
      <c r="BI93" s="16">
        <v>0</v>
      </c>
      <c r="BJ93" s="16">
        <v>2.2695900000000001E-5</v>
      </c>
      <c r="BK93" s="16"/>
      <c r="BL93" s="16">
        <v>1642405</v>
      </c>
      <c r="BM93" s="61" t="s">
        <v>1285</v>
      </c>
    </row>
    <row r="94" spans="5:65" x14ac:dyDescent="0.25">
      <c r="E94" s="7">
        <f>COUNTIFS(tblBOneExport[ISIN],tblBOneExport[[#This Row],[ISIN]],tblBOneExport[LEVEL1],"Bonds")</f>
        <v>1</v>
      </c>
      <c r="F94">
        <v>4547</v>
      </c>
      <c r="G94" s="155">
        <v>42947</v>
      </c>
      <c r="H94" s="155">
        <v>42978</v>
      </c>
      <c r="I94" t="s">
        <v>1527</v>
      </c>
      <c r="J94">
        <v>1643092</v>
      </c>
      <c r="K94" s="18" t="s">
        <v>1528</v>
      </c>
      <c r="L94" t="s">
        <v>914</v>
      </c>
      <c r="M94" t="s">
        <v>915</v>
      </c>
      <c r="N94" t="s">
        <v>492</v>
      </c>
      <c r="O94" t="s">
        <v>372</v>
      </c>
      <c r="P94" t="s">
        <v>1276</v>
      </c>
      <c r="Q94" t="s">
        <v>1277</v>
      </c>
      <c r="R94" t="s">
        <v>1278</v>
      </c>
      <c r="S94" t="s">
        <v>1512</v>
      </c>
      <c r="T94" t="s">
        <v>1513</v>
      </c>
      <c r="U94" t="s">
        <v>1513</v>
      </c>
      <c r="V94" t="s">
        <v>1332</v>
      </c>
      <c r="W94" t="s">
        <v>493</v>
      </c>
      <c r="X94" t="s">
        <v>1282</v>
      </c>
      <c r="Y94" s="154">
        <v>45040</v>
      </c>
      <c r="Z94" s="154">
        <v>45040</v>
      </c>
      <c r="AA94" t="s">
        <v>1294</v>
      </c>
      <c r="AB94" t="s">
        <v>1295</v>
      </c>
      <c r="AC94">
        <v>4.9355264000000001E-3</v>
      </c>
      <c r="AD94" s="16">
        <v>7.9847035000000007E-3</v>
      </c>
      <c r="AE94" s="16">
        <v>3.9572400000000001E-5</v>
      </c>
      <c r="AF94" s="16">
        <v>0</v>
      </c>
      <c r="AG94" s="16">
        <v>0</v>
      </c>
      <c r="AH94" s="16">
        <v>0</v>
      </c>
      <c r="AI94" s="16">
        <v>4.9320000000000004E-6</v>
      </c>
      <c r="AJ94" s="16">
        <v>2.4484999999999999E-6</v>
      </c>
      <c r="AK94" s="16">
        <v>2.4835E-6</v>
      </c>
      <c r="AL94" s="16">
        <v>3.53164E-5</v>
      </c>
      <c r="AM94" s="16">
        <v>2.6396999999999999E-6</v>
      </c>
      <c r="AN94" s="16">
        <v>-2.6278999999999999E-6</v>
      </c>
      <c r="AO94" s="16">
        <v>1.9518999999999999E-6</v>
      </c>
      <c r="AP94" s="16">
        <v>0</v>
      </c>
      <c r="AQ94" s="16">
        <v>0</v>
      </c>
      <c r="AR94" s="16">
        <v>0</v>
      </c>
      <c r="AS94" s="16">
        <v>0</v>
      </c>
      <c r="AT94" s="16">
        <v>0</v>
      </c>
      <c r="AU94" s="16">
        <v>0</v>
      </c>
      <c r="AV94" s="16">
        <v>0</v>
      </c>
      <c r="AW94" s="16">
        <v>0</v>
      </c>
      <c r="AX94" s="16">
        <v>0</v>
      </c>
      <c r="AY94" s="16">
        <v>0</v>
      </c>
      <c r="AZ94" s="16">
        <v>0</v>
      </c>
      <c r="BA94" s="16">
        <v>0</v>
      </c>
      <c r="BB94" s="16">
        <v>0</v>
      </c>
      <c r="BC94" s="16">
        <v>0</v>
      </c>
      <c r="BD94" s="16">
        <v>0</v>
      </c>
      <c r="BE94" s="16">
        <v>0</v>
      </c>
      <c r="BF94" s="16">
        <v>0</v>
      </c>
      <c r="BG94" s="16">
        <v>0</v>
      </c>
      <c r="BH94" s="16">
        <v>0</v>
      </c>
      <c r="BI94" s="16">
        <v>0</v>
      </c>
      <c r="BJ94" s="16">
        <v>2.8714999999999999E-5</v>
      </c>
      <c r="BK94" s="16"/>
      <c r="BL94" s="16">
        <v>1643092</v>
      </c>
      <c r="BM94" s="61" t="s">
        <v>1285</v>
      </c>
    </row>
    <row r="95" spans="5:65" x14ac:dyDescent="0.25">
      <c r="E95" s="7">
        <f>COUNTIFS(tblBOneExport[ISIN],tblBOneExport[[#This Row],[ISIN]],tblBOneExport[LEVEL1],"Bonds")</f>
        <v>1</v>
      </c>
      <c r="F95">
        <v>4547</v>
      </c>
      <c r="G95" s="155">
        <v>42947</v>
      </c>
      <c r="H95" s="155">
        <v>42978</v>
      </c>
      <c r="I95" t="s">
        <v>1529</v>
      </c>
      <c r="J95">
        <v>1641932</v>
      </c>
      <c r="K95" s="18" t="s">
        <v>1530</v>
      </c>
      <c r="L95" t="s">
        <v>721</v>
      </c>
      <c r="M95" t="s">
        <v>717</v>
      </c>
      <c r="N95" t="s">
        <v>492</v>
      </c>
      <c r="O95" t="s">
        <v>372</v>
      </c>
      <c r="P95" t="s">
        <v>1276</v>
      </c>
      <c r="Q95" t="s">
        <v>1277</v>
      </c>
      <c r="R95" t="s">
        <v>1322</v>
      </c>
      <c r="S95" t="s">
        <v>1358</v>
      </c>
      <c r="T95" t="s">
        <v>1358</v>
      </c>
      <c r="U95" t="s">
        <v>1358</v>
      </c>
      <c r="V95" t="s">
        <v>1288</v>
      </c>
      <c r="W95" t="s">
        <v>493</v>
      </c>
      <c r="X95" t="s">
        <v>1282</v>
      </c>
      <c r="Y95" s="154">
        <v>43636</v>
      </c>
      <c r="Z95" s="154">
        <v>43636</v>
      </c>
      <c r="AA95" t="s">
        <v>1480</v>
      </c>
      <c r="AB95" t="s">
        <v>1481</v>
      </c>
      <c r="AC95">
        <v>1.1489530999999999E-3</v>
      </c>
      <c r="AD95" s="16">
        <v>2.4054008000000001E-3</v>
      </c>
      <c r="AE95" s="16">
        <v>2.7839999999999999E-6</v>
      </c>
      <c r="AF95" s="16">
        <v>0</v>
      </c>
      <c r="AG95" s="16">
        <v>0</v>
      </c>
      <c r="AH95" s="16">
        <v>0</v>
      </c>
      <c r="AI95" s="16">
        <v>1.0513E-6</v>
      </c>
      <c r="AJ95" s="16">
        <v>2.0699999999999999E-7</v>
      </c>
      <c r="AK95" s="16">
        <v>8.4430000000000001E-7</v>
      </c>
      <c r="AL95" s="16">
        <v>2.1009999999999999E-6</v>
      </c>
      <c r="AM95" s="16">
        <v>-5.3000000000000003E-9</v>
      </c>
      <c r="AN95" s="16">
        <v>-2.2390000000000001E-7</v>
      </c>
      <c r="AO95" s="16">
        <v>-1.444E-7</v>
      </c>
      <c r="AP95" s="16">
        <v>0</v>
      </c>
      <c r="AQ95" s="16">
        <v>0</v>
      </c>
      <c r="AR95" s="16">
        <v>0</v>
      </c>
      <c r="AS95" s="16">
        <v>0</v>
      </c>
      <c r="AT95" s="16">
        <v>0</v>
      </c>
      <c r="AU95" s="16">
        <v>0</v>
      </c>
      <c r="AV95" s="16">
        <v>0</v>
      </c>
      <c r="AW95" s="16">
        <v>0</v>
      </c>
      <c r="AX95" s="16">
        <v>0</v>
      </c>
      <c r="AY95" s="16">
        <v>0</v>
      </c>
      <c r="AZ95" s="16">
        <v>0</v>
      </c>
      <c r="BA95" s="16">
        <v>0</v>
      </c>
      <c r="BB95" s="16">
        <v>0</v>
      </c>
      <c r="BC95" s="16">
        <v>0</v>
      </c>
      <c r="BD95" s="16">
        <v>0</v>
      </c>
      <c r="BE95" s="16">
        <v>0</v>
      </c>
      <c r="BF95" s="16">
        <v>0</v>
      </c>
      <c r="BG95" s="16">
        <v>0</v>
      </c>
      <c r="BH95" s="16">
        <v>0</v>
      </c>
      <c r="BI95" s="16">
        <v>0</v>
      </c>
      <c r="BJ95" s="16">
        <v>9.8152000000000005E-6</v>
      </c>
      <c r="BK95" s="16"/>
      <c r="BL95" s="16">
        <v>1641932</v>
      </c>
      <c r="BM95" s="61" t="s">
        <v>1285</v>
      </c>
    </row>
    <row r="96" spans="5:65" x14ac:dyDescent="0.25">
      <c r="E96" s="7">
        <f>COUNTIFS(tblBOneExport[ISIN],tblBOneExport[[#This Row],[ISIN]],tblBOneExport[LEVEL1],"Bonds")</f>
        <v>1</v>
      </c>
      <c r="F96">
        <v>4547</v>
      </c>
      <c r="G96" s="155">
        <v>42947</v>
      </c>
      <c r="H96" s="155">
        <v>42978</v>
      </c>
      <c r="I96" t="s">
        <v>1531</v>
      </c>
      <c r="J96">
        <v>1641706</v>
      </c>
      <c r="K96" s="18" t="s">
        <v>1532</v>
      </c>
      <c r="L96" t="s">
        <v>687</v>
      </c>
      <c r="M96" t="s">
        <v>683</v>
      </c>
      <c r="N96" t="s">
        <v>492</v>
      </c>
      <c r="O96" t="s">
        <v>372</v>
      </c>
      <c r="P96" t="s">
        <v>1276</v>
      </c>
      <c r="Q96" t="s">
        <v>1277</v>
      </c>
      <c r="R96" t="s">
        <v>1322</v>
      </c>
      <c r="S96" t="s">
        <v>1358</v>
      </c>
      <c r="T96" t="s">
        <v>1358</v>
      </c>
      <c r="U96" t="s">
        <v>1358</v>
      </c>
      <c r="V96" t="s">
        <v>1288</v>
      </c>
      <c r="W96" t="s">
        <v>493</v>
      </c>
      <c r="X96" t="s">
        <v>1282</v>
      </c>
      <c r="Y96" s="154">
        <v>43768</v>
      </c>
      <c r="Z96" s="154">
        <v>43768</v>
      </c>
      <c r="AA96" t="s">
        <v>1294</v>
      </c>
      <c r="AB96" t="s">
        <v>1295</v>
      </c>
      <c r="AC96">
        <v>1.3385151E-3</v>
      </c>
      <c r="AD96" s="16">
        <v>2.7110461E-3</v>
      </c>
      <c r="AE96" s="16">
        <v>3.6534999999999998E-6</v>
      </c>
      <c r="AF96" s="16">
        <v>0</v>
      </c>
      <c r="AG96" s="16">
        <v>0</v>
      </c>
      <c r="AH96" s="16">
        <v>0</v>
      </c>
      <c r="AI96" s="16">
        <v>1.0892000000000001E-6</v>
      </c>
      <c r="AJ96" s="16">
        <v>2.495E-7</v>
      </c>
      <c r="AK96" s="16">
        <v>8.3969999999999998E-7</v>
      </c>
      <c r="AL96" s="16">
        <v>2.7825999999999998E-6</v>
      </c>
      <c r="AM96" s="16">
        <v>7.7999999999999997E-8</v>
      </c>
      <c r="AN96" s="16">
        <v>1.948E-7</v>
      </c>
      <c r="AO96" s="16">
        <v>-4.1310000000000001E-7</v>
      </c>
      <c r="AP96" s="16">
        <v>0</v>
      </c>
      <c r="AQ96" s="16">
        <v>0</v>
      </c>
      <c r="AR96" s="16">
        <v>0</v>
      </c>
      <c r="AS96" s="16">
        <v>0</v>
      </c>
      <c r="AT96" s="16">
        <v>0</v>
      </c>
      <c r="AU96" s="16">
        <v>0</v>
      </c>
      <c r="AV96" s="16">
        <v>0</v>
      </c>
      <c r="AW96" s="16">
        <v>0</v>
      </c>
      <c r="AX96" s="16">
        <v>0</v>
      </c>
      <c r="AY96" s="16">
        <v>0</v>
      </c>
      <c r="AZ96" s="16">
        <v>0</v>
      </c>
      <c r="BA96" s="16">
        <v>0</v>
      </c>
      <c r="BB96" s="16">
        <v>0</v>
      </c>
      <c r="BC96" s="16">
        <v>0</v>
      </c>
      <c r="BD96" s="16">
        <v>0</v>
      </c>
      <c r="BE96" s="16">
        <v>0</v>
      </c>
      <c r="BF96" s="16">
        <v>0</v>
      </c>
      <c r="BG96" s="16">
        <v>0</v>
      </c>
      <c r="BH96" s="16">
        <v>0</v>
      </c>
      <c r="BI96" s="16">
        <v>0</v>
      </c>
      <c r="BJ96" s="16">
        <v>9.6705E-6</v>
      </c>
      <c r="BK96" s="16"/>
      <c r="BL96" s="16">
        <v>1641706</v>
      </c>
      <c r="BM96" s="61" t="s">
        <v>1285</v>
      </c>
    </row>
    <row r="97" spans="5:65" x14ac:dyDescent="0.25">
      <c r="E97" s="7">
        <f>COUNTIFS(tblBOneExport[ISIN],tblBOneExport[[#This Row],[ISIN]],tblBOneExport[LEVEL1],"Bonds")</f>
        <v>1</v>
      </c>
      <c r="F97">
        <v>4547</v>
      </c>
      <c r="G97" s="155">
        <v>42947</v>
      </c>
      <c r="H97" s="155">
        <v>42978</v>
      </c>
      <c r="I97" t="s">
        <v>1533</v>
      </c>
      <c r="J97">
        <v>1641223</v>
      </c>
      <c r="K97" s="18" t="s">
        <v>1534</v>
      </c>
      <c r="L97" t="s">
        <v>874</v>
      </c>
      <c r="M97" t="s">
        <v>875</v>
      </c>
      <c r="N97" t="s">
        <v>492</v>
      </c>
      <c r="O97" t="s">
        <v>372</v>
      </c>
      <c r="P97" t="s">
        <v>1276</v>
      </c>
      <c r="Q97" t="s">
        <v>1277</v>
      </c>
      <c r="R97" t="s">
        <v>1278</v>
      </c>
      <c r="S97" t="s">
        <v>1279</v>
      </c>
      <c r="T97" t="s">
        <v>1442</v>
      </c>
      <c r="U97" t="s">
        <v>1442</v>
      </c>
      <c r="V97" t="s">
        <v>1353</v>
      </c>
      <c r="W97" t="s">
        <v>493</v>
      </c>
      <c r="X97" t="s">
        <v>1282</v>
      </c>
      <c r="Y97" s="154">
        <v>45602</v>
      </c>
      <c r="Z97" s="154">
        <v>45602</v>
      </c>
      <c r="AA97" t="s">
        <v>1308</v>
      </c>
      <c r="AB97" t="s">
        <v>1309</v>
      </c>
      <c r="AC97">
        <v>1.4500970300000001E-2</v>
      </c>
      <c r="AD97" s="16">
        <v>1.06528983E-2</v>
      </c>
      <c r="AE97" s="16">
        <v>1.5466739999999999E-4</v>
      </c>
      <c r="AF97" s="16">
        <v>0</v>
      </c>
      <c r="AG97" s="16">
        <v>0</v>
      </c>
      <c r="AH97" s="16">
        <v>0</v>
      </c>
      <c r="AI97" s="16">
        <v>1.56915E-5</v>
      </c>
      <c r="AJ97" s="16">
        <v>9.4846000000000006E-6</v>
      </c>
      <c r="AK97" s="16">
        <v>6.207E-6</v>
      </c>
      <c r="AL97" s="16">
        <v>1.6120030000000001E-4</v>
      </c>
      <c r="AM97" s="16">
        <v>8.9106999999999992E-6</v>
      </c>
      <c r="AN97" s="16">
        <v>-2.0462000000000002E-5</v>
      </c>
      <c r="AO97" s="16">
        <v>-1.7624000000000001E-6</v>
      </c>
      <c r="AP97" s="16">
        <v>0</v>
      </c>
      <c r="AQ97" s="16">
        <v>0</v>
      </c>
      <c r="AR97" s="16">
        <v>0</v>
      </c>
      <c r="AS97" s="16">
        <v>0</v>
      </c>
      <c r="AT97" s="16">
        <v>0</v>
      </c>
      <c r="AU97" s="16">
        <v>0</v>
      </c>
      <c r="AV97" s="16">
        <v>0</v>
      </c>
      <c r="AW97" s="16">
        <v>0</v>
      </c>
      <c r="AX97" s="16">
        <v>0</v>
      </c>
      <c r="AY97" s="16">
        <v>0</v>
      </c>
      <c r="AZ97" s="16">
        <v>0</v>
      </c>
      <c r="BA97" s="16">
        <v>0</v>
      </c>
      <c r="BB97" s="16">
        <v>0</v>
      </c>
      <c r="BC97" s="16">
        <v>0</v>
      </c>
      <c r="BD97" s="16">
        <v>0</v>
      </c>
      <c r="BE97" s="16">
        <v>0</v>
      </c>
      <c r="BF97" s="16">
        <v>0</v>
      </c>
      <c r="BG97" s="16">
        <v>0</v>
      </c>
      <c r="BH97" s="16">
        <v>0</v>
      </c>
      <c r="BI97" s="16">
        <v>0</v>
      </c>
      <c r="BJ97" s="16">
        <v>7.4390399999999998E-5</v>
      </c>
      <c r="BK97" s="16"/>
      <c r="BL97" s="16">
        <v>1641223</v>
      </c>
      <c r="BM97" s="61" t="s">
        <v>1285</v>
      </c>
    </row>
    <row r="98" spans="5:65" x14ac:dyDescent="0.25">
      <c r="E98" s="7">
        <f>COUNTIFS(tblBOneExport[ISIN],tblBOneExport[[#This Row],[ISIN]],tblBOneExport[LEVEL1],"Bonds")</f>
        <v>1</v>
      </c>
      <c r="F98">
        <v>4547</v>
      </c>
      <c r="G98" s="155">
        <v>42947</v>
      </c>
      <c r="H98" s="155">
        <v>42978</v>
      </c>
      <c r="I98" t="s">
        <v>1535</v>
      </c>
      <c r="J98">
        <v>1642821</v>
      </c>
      <c r="K98" s="18" t="s">
        <v>1536</v>
      </c>
      <c r="L98" t="s">
        <v>795</v>
      </c>
      <c r="M98" t="s">
        <v>787</v>
      </c>
      <c r="N98" t="s">
        <v>492</v>
      </c>
      <c r="O98" t="s">
        <v>372</v>
      </c>
      <c r="P98" t="s">
        <v>1276</v>
      </c>
      <c r="Q98" t="s">
        <v>1277</v>
      </c>
      <c r="R98" t="s">
        <v>1278</v>
      </c>
      <c r="S98" t="s">
        <v>1279</v>
      </c>
      <c r="T98" t="s">
        <v>1442</v>
      </c>
      <c r="U98" t="s">
        <v>1442</v>
      </c>
      <c r="V98" t="s">
        <v>1332</v>
      </c>
      <c r="W98" t="s">
        <v>493</v>
      </c>
      <c r="X98" t="s">
        <v>1282</v>
      </c>
      <c r="Y98" s="154">
        <v>50838</v>
      </c>
      <c r="Z98" s="154">
        <v>50838</v>
      </c>
      <c r="AA98" t="s">
        <v>1359</v>
      </c>
      <c r="AB98" t="s">
        <v>1360</v>
      </c>
      <c r="AC98">
        <v>1.9047593999999999E-3</v>
      </c>
      <c r="AD98" s="16">
        <v>2.55502856E-2</v>
      </c>
      <c r="AE98" s="16">
        <v>4.8347999999999999E-5</v>
      </c>
      <c r="AF98" s="16">
        <v>0</v>
      </c>
      <c r="AG98" s="16">
        <v>0</v>
      </c>
      <c r="AH98" s="16">
        <v>0</v>
      </c>
      <c r="AI98" s="16">
        <v>4.1938999999999998E-6</v>
      </c>
      <c r="AJ98" s="16">
        <v>2.6954999999999999E-6</v>
      </c>
      <c r="AK98" s="16">
        <v>1.4983999999999999E-6</v>
      </c>
      <c r="AL98" s="16">
        <v>2.71241E-5</v>
      </c>
      <c r="AM98" s="16">
        <v>4.9390000000000005E-7</v>
      </c>
      <c r="AN98" s="16">
        <v>1.6097099999999999E-5</v>
      </c>
      <c r="AO98" s="16">
        <v>9.329E-7</v>
      </c>
      <c r="AP98" s="16">
        <v>0</v>
      </c>
      <c r="AQ98" s="16">
        <v>0</v>
      </c>
      <c r="AR98" s="16">
        <v>0</v>
      </c>
      <c r="AS98" s="16">
        <v>0</v>
      </c>
      <c r="AT98" s="16">
        <v>0</v>
      </c>
      <c r="AU98" s="16">
        <v>0</v>
      </c>
      <c r="AV98" s="16">
        <v>0</v>
      </c>
      <c r="AW98" s="16">
        <v>0</v>
      </c>
      <c r="AX98" s="16">
        <v>0</v>
      </c>
      <c r="AY98" s="16">
        <v>0</v>
      </c>
      <c r="AZ98" s="16">
        <v>0</v>
      </c>
      <c r="BA98" s="16">
        <v>0</v>
      </c>
      <c r="BB98" s="16">
        <v>0</v>
      </c>
      <c r="BC98" s="16">
        <v>0</v>
      </c>
      <c r="BD98" s="16">
        <v>0</v>
      </c>
      <c r="BE98" s="16">
        <v>0</v>
      </c>
      <c r="BF98" s="16">
        <v>0</v>
      </c>
      <c r="BG98" s="16">
        <v>0</v>
      </c>
      <c r="BH98" s="16">
        <v>0</v>
      </c>
      <c r="BI98" s="16">
        <v>0</v>
      </c>
      <c r="BJ98" s="16">
        <v>1.6671300000000001E-5</v>
      </c>
      <c r="BK98" s="16"/>
      <c r="BL98" s="16">
        <v>1642821</v>
      </c>
      <c r="BM98" s="61" t="s">
        <v>1285</v>
      </c>
    </row>
    <row r="99" spans="5:65" x14ac:dyDescent="0.25">
      <c r="E99" s="7">
        <f>COUNTIFS(tblBOneExport[ISIN],tblBOneExport[[#This Row],[ISIN]],tblBOneExport[LEVEL1],"Bonds")</f>
        <v>1</v>
      </c>
      <c r="F99">
        <v>4547</v>
      </c>
      <c r="G99" s="155">
        <v>42947</v>
      </c>
      <c r="H99" s="155">
        <v>42978</v>
      </c>
      <c r="I99" t="s">
        <v>1537</v>
      </c>
      <c r="J99">
        <v>1641610</v>
      </c>
      <c r="K99" s="18" t="s">
        <v>1538</v>
      </c>
      <c r="L99" t="s">
        <v>1136</v>
      </c>
      <c r="M99" t="s">
        <v>1134</v>
      </c>
      <c r="N99" t="s">
        <v>492</v>
      </c>
      <c r="O99" t="s">
        <v>372</v>
      </c>
      <c r="P99" t="s">
        <v>1276</v>
      </c>
      <c r="Q99" t="s">
        <v>1277</v>
      </c>
      <c r="R99" t="s">
        <v>1322</v>
      </c>
      <c r="S99" t="s">
        <v>1326</v>
      </c>
      <c r="T99" t="s">
        <v>1326</v>
      </c>
      <c r="U99" t="s">
        <v>1326</v>
      </c>
      <c r="V99" t="s">
        <v>1288</v>
      </c>
      <c r="W99" t="s">
        <v>493</v>
      </c>
      <c r="X99" t="s">
        <v>1282</v>
      </c>
      <c r="Y99" s="154">
        <v>51271</v>
      </c>
      <c r="Z99" s="154">
        <v>51271</v>
      </c>
      <c r="AA99" t="s">
        <v>1359</v>
      </c>
      <c r="AB99" t="s">
        <v>1360</v>
      </c>
      <c r="AC99">
        <v>5.1120905999999999E-3</v>
      </c>
      <c r="AD99" s="16">
        <v>2.5920599799999999E-2</v>
      </c>
      <c r="AE99" s="16">
        <v>1.316175E-4</v>
      </c>
      <c r="AF99" s="16">
        <v>0</v>
      </c>
      <c r="AG99" s="16">
        <v>0</v>
      </c>
      <c r="AH99" s="16">
        <v>0</v>
      </c>
      <c r="AI99" s="16">
        <v>1.17657E-5</v>
      </c>
      <c r="AJ99" s="16">
        <v>7.3393000000000002E-6</v>
      </c>
      <c r="AK99" s="16">
        <v>4.4263999999999997E-6</v>
      </c>
      <c r="AL99" s="16">
        <v>9.1074699999999997E-5</v>
      </c>
      <c r="AM99" s="16">
        <v>1.3770999999999999E-6</v>
      </c>
      <c r="AN99" s="16">
        <v>2.7584900000000001E-5</v>
      </c>
      <c r="AO99" s="16">
        <v>1.1921E-6</v>
      </c>
      <c r="AP99" s="16">
        <v>0</v>
      </c>
      <c r="AQ99" s="16">
        <v>0</v>
      </c>
      <c r="AR99" s="16">
        <v>0</v>
      </c>
      <c r="AS99" s="16">
        <v>0</v>
      </c>
      <c r="AT99" s="16">
        <v>0</v>
      </c>
      <c r="AU99" s="16">
        <v>0</v>
      </c>
      <c r="AV99" s="16">
        <v>0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0</v>
      </c>
      <c r="BD99" s="16">
        <v>0</v>
      </c>
      <c r="BE99" s="16">
        <v>0</v>
      </c>
      <c r="BF99" s="16">
        <v>0</v>
      </c>
      <c r="BG99" s="16">
        <v>0</v>
      </c>
      <c r="BH99" s="16">
        <v>0</v>
      </c>
      <c r="BI99" s="16">
        <v>0</v>
      </c>
      <c r="BJ99" s="16">
        <v>5.0344199999999998E-5</v>
      </c>
      <c r="BK99" s="16"/>
      <c r="BL99" s="16">
        <v>1641610</v>
      </c>
      <c r="BM99" s="61" t="s">
        <v>1285</v>
      </c>
    </row>
    <row r="100" spans="5:65" x14ac:dyDescent="0.25">
      <c r="E100" s="7">
        <f>COUNTIFS(tblBOneExport[ISIN],tblBOneExport[[#This Row],[ISIN]],tblBOneExport[LEVEL1],"Bonds")</f>
        <v>1</v>
      </c>
      <c r="F100">
        <v>4547</v>
      </c>
      <c r="G100" s="155">
        <v>42947</v>
      </c>
      <c r="H100" s="155">
        <v>42978</v>
      </c>
      <c r="I100" t="s">
        <v>1539</v>
      </c>
      <c r="J100">
        <v>1648497</v>
      </c>
      <c r="K100" s="18" t="s">
        <v>1540</v>
      </c>
      <c r="L100" t="s">
        <v>827</v>
      </c>
      <c r="M100" t="s">
        <v>828</v>
      </c>
      <c r="N100" t="s">
        <v>492</v>
      </c>
      <c r="O100" t="s">
        <v>372</v>
      </c>
      <c r="P100" t="s">
        <v>1276</v>
      </c>
      <c r="Q100" t="s">
        <v>1277</v>
      </c>
      <c r="R100" t="s">
        <v>1278</v>
      </c>
      <c r="S100" t="s">
        <v>1348</v>
      </c>
      <c r="T100" t="s">
        <v>1349</v>
      </c>
      <c r="U100" t="s">
        <v>1349</v>
      </c>
      <c r="V100" t="s">
        <v>1281</v>
      </c>
      <c r="W100" t="s">
        <v>493</v>
      </c>
      <c r="X100" t="s">
        <v>1282</v>
      </c>
      <c r="Y100" s="154">
        <v>48192</v>
      </c>
      <c r="Z100" s="154">
        <v>48192</v>
      </c>
      <c r="AA100" t="s">
        <v>1541</v>
      </c>
      <c r="AB100" t="s">
        <v>1542</v>
      </c>
      <c r="AC100">
        <v>2.5642272000000002E-3</v>
      </c>
      <c r="AD100" s="16">
        <v>1.90643341E-2</v>
      </c>
      <c r="AE100" s="16">
        <v>4.8754200000000002E-5</v>
      </c>
      <c r="AF100" s="16">
        <v>0</v>
      </c>
      <c r="AG100" s="16">
        <v>0</v>
      </c>
      <c r="AH100" s="16">
        <v>0</v>
      </c>
      <c r="AI100" s="16">
        <v>5.5578000000000004E-6</v>
      </c>
      <c r="AJ100" s="16">
        <v>3.1124000000000001E-6</v>
      </c>
      <c r="AK100" s="16">
        <v>2.4455000000000001E-6</v>
      </c>
      <c r="AL100" s="16">
        <v>4.8045299999999999E-5</v>
      </c>
      <c r="AM100" s="16">
        <v>8.583E-7</v>
      </c>
      <c r="AN100" s="16">
        <v>-4.5898999999999999E-6</v>
      </c>
      <c r="AO100" s="16">
        <v>-2.5899999999999998E-7</v>
      </c>
      <c r="AP100" s="16">
        <v>0</v>
      </c>
      <c r="AQ100" s="16">
        <v>0</v>
      </c>
      <c r="AR100" s="16">
        <v>0</v>
      </c>
      <c r="AS100" s="16">
        <v>0</v>
      </c>
      <c r="AT100" s="16">
        <v>0</v>
      </c>
      <c r="AU100" s="16">
        <v>0</v>
      </c>
      <c r="AV100" s="16">
        <v>0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0</v>
      </c>
      <c r="BD100" s="16">
        <v>0</v>
      </c>
      <c r="BE100" s="16">
        <v>0</v>
      </c>
      <c r="BF100" s="16">
        <v>0</v>
      </c>
      <c r="BG100" s="16">
        <v>0</v>
      </c>
      <c r="BH100" s="16">
        <v>0</v>
      </c>
      <c r="BI100" s="16">
        <v>0</v>
      </c>
      <c r="BJ100" s="16">
        <v>2.90246E-5</v>
      </c>
      <c r="BK100" s="16"/>
      <c r="BL100" s="16">
        <v>1648497</v>
      </c>
      <c r="BM100" s="61" t="s">
        <v>1285</v>
      </c>
    </row>
    <row r="101" spans="5:65" x14ac:dyDescent="0.25">
      <c r="E101" s="7">
        <f>COUNTIFS(tblBOneExport[ISIN],tblBOneExport[[#This Row],[ISIN]],tblBOneExport[LEVEL1],"Bonds")</f>
        <v>1</v>
      </c>
      <c r="F101">
        <v>4547</v>
      </c>
      <c r="G101" s="155">
        <v>42947</v>
      </c>
      <c r="H101" s="155">
        <v>42978</v>
      </c>
      <c r="I101" t="s">
        <v>1543</v>
      </c>
      <c r="J101">
        <v>1648495</v>
      </c>
      <c r="K101" s="18" t="s">
        <v>1544</v>
      </c>
      <c r="L101" t="s">
        <v>830</v>
      </c>
      <c r="M101" t="s">
        <v>828</v>
      </c>
      <c r="N101" t="s">
        <v>492</v>
      </c>
      <c r="O101" t="s">
        <v>372</v>
      </c>
      <c r="P101" t="s">
        <v>1276</v>
      </c>
      <c r="Q101" t="s">
        <v>1277</v>
      </c>
      <c r="R101" t="s">
        <v>1278</v>
      </c>
      <c r="S101" t="s">
        <v>1348</v>
      </c>
      <c r="T101" t="s">
        <v>1349</v>
      </c>
      <c r="U101" t="s">
        <v>1349</v>
      </c>
      <c r="V101" t="s">
        <v>1281</v>
      </c>
      <c r="W101" t="s">
        <v>493</v>
      </c>
      <c r="X101" t="s">
        <v>1282</v>
      </c>
      <c r="Y101" s="154">
        <v>44972</v>
      </c>
      <c r="Z101" s="154">
        <v>44972</v>
      </c>
      <c r="AA101" t="s">
        <v>1541</v>
      </c>
      <c r="AB101" t="s">
        <v>1542</v>
      </c>
      <c r="AC101">
        <v>1.4025446999999999E-3</v>
      </c>
      <c r="AD101" s="16">
        <v>1.01646718E-2</v>
      </c>
      <c r="AE101" s="16">
        <v>1.4291600000000001E-5</v>
      </c>
      <c r="AF101" s="16">
        <v>0</v>
      </c>
      <c r="AG101" s="16">
        <v>0</v>
      </c>
      <c r="AH101" s="16">
        <v>0</v>
      </c>
      <c r="AI101" s="16">
        <v>2.0047999999999998E-6</v>
      </c>
      <c r="AJ101" s="16">
        <v>6.6440000000000005E-7</v>
      </c>
      <c r="AK101" s="16">
        <v>1.3402999999999999E-6</v>
      </c>
      <c r="AL101" s="16">
        <v>1.00238E-5</v>
      </c>
      <c r="AM101" s="16">
        <v>7.2559999999999999E-7</v>
      </c>
      <c r="AN101" s="16">
        <v>2.5755000000000002E-6</v>
      </c>
      <c r="AO101" s="16">
        <v>-3.1250000000000003E-7</v>
      </c>
      <c r="AP101" s="16">
        <v>0</v>
      </c>
      <c r="AQ101" s="16">
        <v>0</v>
      </c>
      <c r="AR101" s="16">
        <v>0</v>
      </c>
      <c r="AS101" s="16">
        <v>0</v>
      </c>
      <c r="AT101" s="16">
        <v>0</v>
      </c>
      <c r="AU101" s="16">
        <v>0</v>
      </c>
      <c r="AV101" s="16">
        <v>0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0</v>
      </c>
      <c r="BD101" s="16">
        <v>0</v>
      </c>
      <c r="BE101" s="16">
        <v>0</v>
      </c>
      <c r="BF101" s="16">
        <v>0</v>
      </c>
      <c r="BG101" s="16">
        <v>0</v>
      </c>
      <c r="BH101" s="16">
        <v>0</v>
      </c>
      <c r="BI101" s="16">
        <v>0</v>
      </c>
      <c r="BJ101" s="16">
        <v>1.5181099999999999E-5</v>
      </c>
      <c r="BK101" s="16"/>
      <c r="BL101" s="16">
        <v>1648495</v>
      </c>
      <c r="BM101" s="61" t="s">
        <v>1285</v>
      </c>
    </row>
    <row r="102" spans="5:65" x14ac:dyDescent="0.25">
      <c r="E102" s="7">
        <f>COUNTIFS(tblBOneExport[ISIN],tblBOneExport[[#This Row],[ISIN]],tblBOneExport[LEVEL1],"Bonds")</f>
        <v>1</v>
      </c>
      <c r="F102">
        <v>4547</v>
      </c>
      <c r="G102" s="155">
        <v>42947</v>
      </c>
      <c r="H102" s="155">
        <v>42978</v>
      </c>
      <c r="I102" t="s">
        <v>1545</v>
      </c>
      <c r="J102">
        <v>1648533</v>
      </c>
      <c r="K102" s="18" t="s">
        <v>1546</v>
      </c>
      <c r="L102" t="s">
        <v>631</v>
      </c>
      <c r="M102" t="s">
        <v>629</v>
      </c>
      <c r="N102" t="s">
        <v>492</v>
      </c>
      <c r="O102" t="s">
        <v>372</v>
      </c>
      <c r="P102" t="s">
        <v>1276</v>
      </c>
      <c r="Q102" t="s">
        <v>1277</v>
      </c>
      <c r="R102" t="s">
        <v>1322</v>
      </c>
      <c r="S102" t="s">
        <v>1326</v>
      </c>
      <c r="T102" t="s">
        <v>1326</v>
      </c>
      <c r="U102" t="s">
        <v>1326</v>
      </c>
      <c r="V102" t="s">
        <v>1288</v>
      </c>
      <c r="W102" t="s">
        <v>493</v>
      </c>
      <c r="X102" t="s">
        <v>1282</v>
      </c>
      <c r="Y102" s="154">
        <v>48841</v>
      </c>
      <c r="Z102" s="154">
        <v>48841</v>
      </c>
      <c r="AA102" t="s">
        <v>1359</v>
      </c>
      <c r="AB102" t="s">
        <v>1360</v>
      </c>
      <c r="AC102">
        <v>4.6432512000000002E-3</v>
      </c>
      <c r="AD102" s="16">
        <v>1.9651638200000002E-2</v>
      </c>
      <c r="AE102" s="16">
        <v>9.0982899999999999E-5</v>
      </c>
      <c r="AF102" s="16">
        <v>0</v>
      </c>
      <c r="AG102" s="16">
        <v>0</v>
      </c>
      <c r="AH102" s="16">
        <v>0</v>
      </c>
      <c r="AI102" s="16">
        <v>1.09551E-5</v>
      </c>
      <c r="AJ102" s="16">
        <v>5.8777999999999999E-6</v>
      </c>
      <c r="AK102" s="16">
        <v>5.0772999999999997E-6</v>
      </c>
      <c r="AL102" s="16">
        <v>7.7656499999999998E-5</v>
      </c>
      <c r="AM102" s="16">
        <v>1.4981999999999999E-6</v>
      </c>
      <c r="AN102" s="16">
        <v>-1.0792E-6</v>
      </c>
      <c r="AO102" s="16">
        <v>3.4504999999999998E-6</v>
      </c>
      <c r="AP102" s="16">
        <v>0</v>
      </c>
      <c r="AQ102" s="16">
        <v>0</v>
      </c>
      <c r="AR102" s="16">
        <v>0</v>
      </c>
      <c r="AS102" s="16">
        <v>0</v>
      </c>
      <c r="AT102" s="16">
        <v>0</v>
      </c>
      <c r="AU102" s="16">
        <v>0</v>
      </c>
      <c r="AV102" s="16">
        <v>0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0</v>
      </c>
      <c r="BD102" s="16">
        <v>0</v>
      </c>
      <c r="BE102" s="16">
        <v>0</v>
      </c>
      <c r="BF102" s="16">
        <v>0</v>
      </c>
      <c r="BG102" s="16">
        <v>0</v>
      </c>
      <c r="BH102" s="16">
        <v>0</v>
      </c>
      <c r="BI102" s="16">
        <v>0</v>
      </c>
      <c r="BJ102" s="16">
        <v>5.9379799999999997E-5</v>
      </c>
      <c r="BK102" s="16"/>
      <c r="BL102" s="16">
        <v>1648533</v>
      </c>
      <c r="BM102" s="61" t="s">
        <v>1285</v>
      </c>
    </row>
    <row r="103" spans="5:65" x14ac:dyDescent="0.25">
      <c r="E103" s="7">
        <f>COUNTIFS(tblBOneExport[ISIN],tblBOneExport[[#This Row],[ISIN]],tblBOneExport[LEVEL1],"Bonds")</f>
        <v>1</v>
      </c>
      <c r="F103">
        <v>4547</v>
      </c>
      <c r="G103" s="155">
        <v>42947</v>
      </c>
      <c r="H103" s="155">
        <v>42978</v>
      </c>
      <c r="I103" t="s">
        <v>1547</v>
      </c>
      <c r="J103">
        <v>2349018</v>
      </c>
      <c r="K103" s="18" t="s">
        <v>1548</v>
      </c>
      <c r="L103" t="s">
        <v>1107</v>
      </c>
      <c r="N103" t="s">
        <v>492</v>
      </c>
      <c r="O103" t="s">
        <v>372</v>
      </c>
      <c r="P103" t="s">
        <v>1276</v>
      </c>
      <c r="Q103" t="s">
        <v>1277</v>
      </c>
      <c r="R103" t="s">
        <v>1322</v>
      </c>
      <c r="S103" t="s">
        <v>1358</v>
      </c>
      <c r="T103" t="s">
        <v>1358</v>
      </c>
      <c r="U103" t="s">
        <v>1358</v>
      </c>
      <c r="V103" t="s">
        <v>1332</v>
      </c>
      <c r="W103" t="s">
        <v>493</v>
      </c>
      <c r="X103" t="s">
        <v>1427</v>
      </c>
      <c r="Y103" s="154">
        <v>47077</v>
      </c>
      <c r="AA103" t="s">
        <v>1359</v>
      </c>
      <c r="AB103" t="s">
        <v>1360</v>
      </c>
      <c r="AC103">
        <v>1.9239069000000001E-3</v>
      </c>
      <c r="AD103" s="16">
        <v>1.83222764E-2</v>
      </c>
      <c r="AE103" s="16">
        <v>3.5181300000000001E-5</v>
      </c>
      <c r="AF103" s="16">
        <v>0</v>
      </c>
      <c r="AG103" s="16">
        <v>0</v>
      </c>
      <c r="AH103" s="16">
        <v>0</v>
      </c>
      <c r="AI103" s="16">
        <v>3.7330999999999999E-6</v>
      </c>
      <c r="AJ103" s="16">
        <v>2.0453000000000001E-6</v>
      </c>
      <c r="AK103" s="16">
        <v>1.6878E-6</v>
      </c>
      <c r="AL103" s="16">
        <v>3.1269799999999997E-5</v>
      </c>
      <c r="AM103" s="16">
        <v>1.6825E-6</v>
      </c>
      <c r="AN103" s="16">
        <v>8.5580000000000003E-7</v>
      </c>
      <c r="AO103" s="16">
        <v>-6.7729999999999996E-7</v>
      </c>
      <c r="AP103" s="16">
        <v>0</v>
      </c>
      <c r="AQ103" s="16">
        <v>0</v>
      </c>
      <c r="AR103" s="16">
        <v>0</v>
      </c>
      <c r="AS103" s="16">
        <v>0</v>
      </c>
      <c r="AT103" s="16">
        <v>0</v>
      </c>
      <c r="AU103" s="16">
        <v>0</v>
      </c>
      <c r="AV103" s="16">
        <v>0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0</v>
      </c>
      <c r="BD103" s="16">
        <v>0</v>
      </c>
      <c r="BE103" s="16">
        <v>0</v>
      </c>
      <c r="BF103" s="16">
        <v>0</v>
      </c>
      <c r="BG103" s="16">
        <v>0</v>
      </c>
      <c r="BH103" s="16">
        <v>0</v>
      </c>
      <c r="BI103" s="16">
        <v>0</v>
      </c>
      <c r="BJ103" s="16">
        <v>1.9851E-5</v>
      </c>
      <c r="BK103" s="16"/>
      <c r="BL103" s="16">
        <v>2349018</v>
      </c>
      <c r="BM103" s="61" t="s">
        <v>1285</v>
      </c>
    </row>
    <row r="104" spans="5:65" x14ac:dyDescent="0.25">
      <c r="E104" s="7">
        <f>COUNTIFS(tblBOneExport[ISIN],tblBOneExport[[#This Row],[ISIN]],tblBOneExport[LEVEL1],"Bonds")</f>
        <v>1</v>
      </c>
      <c r="F104">
        <v>4547</v>
      </c>
      <c r="G104" s="155">
        <v>42947</v>
      </c>
      <c r="H104" s="155">
        <v>42978</v>
      </c>
      <c r="I104" t="s">
        <v>1549</v>
      </c>
      <c r="J104">
        <v>1650168</v>
      </c>
      <c r="K104" s="18" t="s">
        <v>1550</v>
      </c>
      <c r="L104" t="s">
        <v>662</v>
      </c>
      <c r="M104" t="s">
        <v>663</v>
      </c>
      <c r="N104" t="s">
        <v>492</v>
      </c>
      <c r="O104" t="s">
        <v>372</v>
      </c>
      <c r="P104" t="s">
        <v>1276</v>
      </c>
      <c r="Q104" t="s">
        <v>1277</v>
      </c>
      <c r="R104" t="s">
        <v>1278</v>
      </c>
      <c r="S104" t="s">
        <v>1312</v>
      </c>
      <c r="T104" t="s">
        <v>1313</v>
      </c>
      <c r="U104" t="s">
        <v>1314</v>
      </c>
      <c r="V104" t="s">
        <v>1315</v>
      </c>
      <c r="W104" t="s">
        <v>493</v>
      </c>
      <c r="X104" t="s">
        <v>1282</v>
      </c>
      <c r="Y104" s="154">
        <v>47084</v>
      </c>
      <c r="Z104" s="154">
        <v>47084</v>
      </c>
      <c r="AA104" t="s">
        <v>1294</v>
      </c>
      <c r="AB104" t="s">
        <v>1295</v>
      </c>
      <c r="AC104">
        <v>7.1379620999999999E-3</v>
      </c>
      <c r="AD104" s="16">
        <v>1.6953403499999999E-2</v>
      </c>
      <c r="AE104" s="16">
        <v>1.208332E-4</v>
      </c>
      <c r="AF104" s="16">
        <v>0</v>
      </c>
      <c r="AG104" s="16">
        <v>0</v>
      </c>
      <c r="AH104" s="16">
        <v>0</v>
      </c>
      <c r="AI104" s="16">
        <v>1.3883899999999999E-5</v>
      </c>
      <c r="AJ104" s="16">
        <v>7.6029999999999999E-6</v>
      </c>
      <c r="AK104" s="16">
        <v>6.2809000000000003E-6</v>
      </c>
      <c r="AL104" s="16">
        <v>1.150241E-4</v>
      </c>
      <c r="AM104" s="16">
        <v>6.1927E-6</v>
      </c>
      <c r="AN104" s="16">
        <v>-9.0682000000000007E-6</v>
      </c>
      <c r="AO104" s="16">
        <v>9.935000000000001E-7</v>
      </c>
      <c r="AP104" s="16">
        <v>0</v>
      </c>
      <c r="AQ104" s="16">
        <v>0</v>
      </c>
      <c r="AR104" s="16">
        <v>0</v>
      </c>
      <c r="AS104" s="16">
        <v>0</v>
      </c>
      <c r="AT104" s="16">
        <v>0</v>
      </c>
      <c r="AU104" s="16">
        <v>0</v>
      </c>
      <c r="AV104" s="16">
        <v>0</v>
      </c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0</v>
      </c>
      <c r="BD104" s="16">
        <v>0</v>
      </c>
      <c r="BE104" s="16">
        <v>0</v>
      </c>
      <c r="BF104" s="16">
        <v>0</v>
      </c>
      <c r="BG104" s="16">
        <v>0</v>
      </c>
      <c r="BH104" s="16">
        <v>0</v>
      </c>
      <c r="BI104" s="16">
        <v>0</v>
      </c>
      <c r="BJ104" s="16">
        <v>7.4659299999999999E-5</v>
      </c>
      <c r="BK104" s="16"/>
      <c r="BL104" s="16">
        <v>1650168</v>
      </c>
      <c r="BM104" s="61" t="s">
        <v>1285</v>
      </c>
    </row>
    <row r="105" spans="5:65" x14ac:dyDescent="0.25">
      <c r="E105" s="7">
        <f>COUNTIFS(tblBOneExport[ISIN],tblBOneExport[[#This Row],[ISIN]],tblBOneExport[LEVEL1],"Bonds")</f>
        <v>1</v>
      </c>
      <c r="F105">
        <v>4547</v>
      </c>
      <c r="G105" s="155">
        <v>42947</v>
      </c>
      <c r="H105" s="155">
        <v>42978</v>
      </c>
      <c r="I105" t="s">
        <v>1551</v>
      </c>
      <c r="J105">
        <v>1649199</v>
      </c>
      <c r="K105" s="18" t="s">
        <v>1552</v>
      </c>
      <c r="L105" t="s">
        <v>954</v>
      </c>
      <c r="M105" t="s">
        <v>955</v>
      </c>
      <c r="N105" t="s">
        <v>492</v>
      </c>
      <c r="O105" t="s">
        <v>372</v>
      </c>
      <c r="P105" t="s">
        <v>1276</v>
      </c>
      <c r="Q105" t="s">
        <v>1277</v>
      </c>
      <c r="R105" t="s">
        <v>1322</v>
      </c>
      <c r="S105" t="s">
        <v>1358</v>
      </c>
      <c r="T105" t="s">
        <v>1358</v>
      </c>
      <c r="U105" t="s">
        <v>1358</v>
      </c>
      <c r="V105" t="s">
        <v>1281</v>
      </c>
      <c r="W105" t="s">
        <v>493</v>
      </c>
      <c r="X105" t="s">
        <v>1282</v>
      </c>
      <c r="Y105" s="154">
        <v>47861</v>
      </c>
      <c r="Z105" s="154">
        <v>47861</v>
      </c>
      <c r="AA105" t="s">
        <v>1359</v>
      </c>
      <c r="AB105" t="s">
        <v>1360</v>
      </c>
      <c r="AC105">
        <v>7.8963078999999999E-3</v>
      </c>
      <c r="AD105" s="16">
        <v>1.71401861E-2</v>
      </c>
      <c r="AE105" s="16">
        <v>1.3508929999999999E-4</v>
      </c>
      <c r="AF105" s="16">
        <v>0</v>
      </c>
      <c r="AG105" s="16">
        <v>0</v>
      </c>
      <c r="AH105" s="16">
        <v>0</v>
      </c>
      <c r="AI105" s="16">
        <v>1.5799199999999999E-5</v>
      </c>
      <c r="AJ105" s="16">
        <v>9.3695000000000007E-6</v>
      </c>
      <c r="AK105" s="16">
        <v>6.4296999999999996E-6</v>
      </c>
      <c r="AL105" s="16">
        <v>1.3886749999999999E-4</v>
      </c>
      <c r="AM105" s="16">
        <v>2.4312000000000001E-6</v>
      </c>
      <c r="AN105" s="16">
        <v>1.8102E-6</v>
      </c>
      <c r="AO105" s="16">
        <v>-2.1387599999999998E-5</v>
      </c>
      <c r="AP105" s="16">
        <v>0</v>
      </c>
      <c r="AQ105" s="16">
        <v>0</v>
      </c>
      <c r="AR105" s="16">
        <v>0</v>
      </c>
      <c r="AS105" s="16">
        <v>0</v>
      </c>
      <c r="AT105" s="16">
        <v>0</v>
      </c>
      <c r="AU105" s="16">
        <v>0</v>
      </c>
      <c r="AV105" s="16">
        <v>0</v>
      </c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0</v>
      </c>
      <c r="BD105" s="16">
        <v>0</v>
      </c>
      <c r="BE105" s="16">
        <v>0</v>
      </c>
      <c r="BF105" s="16">
        <v>0</v>
      </c>
      <c r="BG105" s="16">
        <v>0</v>
      </c>
      <c r="BH105" s="16">
        <v>0</v>
      </c>
      <c r="BI105" s="16">
        <v>0</v>
      </c>
      <c r="BJ105" s="16">
        <v>7.4633000000000002E-5</v>
      </c>
      <c r="BK105" s="16"/>
      <c r="BL105" s="16">
        <v>1649199</v>
      </c>
      <c r="BM105" s="61" t="s">
        <v>1285</v>
      </c>
    </row>
    <row r="106" spans="5:65" x14ac:dyDescent="0.25">
      <c r="E106" s="7">
        <f>COUNTIFS(tblBOneExport[ISIN],tblBOneExport[[#This Row],[ISIN]],tblBOneExport[LEVEL1],"Bonds")</f>
        <v>1</v>
      </c>
      <c r="F106">
        <v>4547</v>
      </c>
      <c r="G106" s="155">
        <v>42947</v>
      </c>
      <c r="H106" s="155">
        <v>42978</v>
      </c>
      <c r="I106" t="s">
        <v>1553</v>
      </c>
      <c r="J106">
        <v>1649432</v>
      </c>
      <c r="K106" s="18" t="s">
        <v>1554</v>
      </c>
      <c r="L106" t="s">
        <v>685</v>
      </c>
      <c r="M106" t="s">
        <v>683</v>
      </c>
      <c r="N106" t="s">
        <v>492</v>
      </c>
      <c r="O106" t="s">
        <v>372</v>
      </c>
      <c r="P106" t="s">
        <v>1276</v>
      </c>
      <c r="Q106" t="s">
        <v>1277</v>
      </c>
      <c r="R106" t="s">
        <v>1322</v>
      </c>
      <c r="S106" t="s">
        <v>1358</v>
      </c>
      <c r="T106" t="s">
        <v>1358</v>
      </c>
      <c r="U106" t="s">
        <v>1358</v>
      </c>
      <c r="V106" t="s">
        <v>1288</v>
      </c>
      <c r="W106" t="s">
        <v>493</v>
      </c>
      <c r="X106" t="s">
        <v>1282</v>
      </c>
      <c r="Y106" s="154">
        <v>50797</v>
      </c>
      <c r="Z106" s="154">
        <v>50797</v>
      </c>
      <c r="AA106" t="s">
        <v>1294</v>
      </c>
      <c r="AB106" t="s">
        <v>1295</v>
      </c>
      <c r="AC106">
        <v>3.7317987E-3</v>
      </c>
      <c r="AD106" s="16">
        <v>2.1344293300000001E-2</v>
      </c>
      <c r="AE106" s="16">
        <v>7.9350899999999999E-5</v>
      </c>
      <c r="AF106" s="16">
        <v>0</v>
      </c>
      <c r="AG106" s="16">
        <v>0</v>
      </c>
      <c r="AH106" s="16">
        <v>0</v>
      </c>
      <c r="AI106" s="16">
        <v>9.6493999999999995E-6</v>
      </c>
      <c r="AJ106" s="16">
        <v>5.2495000000000003E-6</v>
      </c>
      <c r="AK106" s="16">
        <v>4.3999E-6</v>
      </c>
      <c r="AL106" s="16">
        <v>5.0211599999999999E-5</v>
      </c>
      <c r="AM106" s="16">
        <v>9.2829999999999997E-7</v>
      </c>
      <c r="AN106" s="16">
        <v>1.32945E-5</v>
      </c>
      <c r="AO106" s="16">
        <v>6.1954E-6</v>
      </c>
      <c r="AP106" s="16">
        <v>0</v>
      </c>
      <c r="AQ106" s="16">
        <v>0</v>
      </c>
      <c r="AR106" s="16">
        <v>0</v>
      </c>
      <c r="AS106" s="16">
        <v>0</v>
      </c>
      <c r="AT106" s="16">
        <v>0</v>
      </c>
      <c r="AU106" s="16">
        <v>0</v>
      </c>
      <c r="AV106" s="16">
        <v>0</v>
      </c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0</v>
      </c>
      <c r="BD106" s="16">
        <v>0</v>
      </c>
      <c r="BE106" s="16">
        <v>0</v>
      </c>
      <c r="BF106" s="16">
        <v>0</v>
      </c>
      <c r="BG106" s="16">
        <v>0</v>
      </c>
      <c r="BH106" s="16">
        <v>0</v>
      </c>
      <c r="BI106" s="16">
        <v>0</v>
      </c>
      <c r="BJ106" s="16">
        <v>5.0335499999999999E-5</v>
      </c>
      <c r="BK106" s="16"/>
      <c r="BL106" s="16">
        <v>1649432</v>
      </c>
      <c r="BM106" s="61" t="s">
        <v>1285</v>
      </c>
    </row>
    <row r="107" spans="5:65" x14ac:dyDescent="0.25">
      <c r="E107" s="7">
        <f>COUNTIFS(tblBOneExport[ISIN],tblBOneExport[[#This Row],[ISIN]],tblBOneExport[LEVEL1],"Bonds")</f>
        <v>1</v>
      </c>
      <c r="F107">
        <v>4547</v>
      </c>
      <c r="G107" s="155">
        <v>42947</v>
      </c>
      <c r="H107" s="155">
        <v>42978</v>
      </c>
      <c r="I107" t="s">
        <v>1555</v>
      </c>
      <c r="J107">
        <v>1648437</v>
      </c>
      <c r="K107" s="18" t="s">
        <v>1556</v>
      </c>
      <c r="L107" t="s">
        <v>817</v>
      </c>
      <c r="M107" t="s">
        <v>818</v>
      </c>
      <c r="N107" t="s">
        <v>492</v>
      </c>
      <c r="O107" t="s">
        <v>372</v>
      </c>
      <c r="P107" t="s">
        <v>1276</v>
      </c>
      <c r="Q107" t="s">
        <v>1277</v>
      </c>
      <c r="R107" t="s">
        <v>1322</v>
      </c>
      <c r="S107" t="s">
        <v>1323</v>
      </c>
      <c r="T107" t="s">
        <v>1323</v>
      </c>
      <c r="U107" t="s">
        <v>1323</v>
      </c>
      <c r="V107" t="s">
        <v>1332</v>
      </c>
      <c r="W107" t="s">
        <v>493</v>
      </c>
      <c r="X107" t="s">
        <v>1282</v>
      </c>
      <c r="Y107" s="154">
        <v>43555</v>
      </c>
      <c r="Z107" s="154">
        <v>43555</v>
      </c>
      <c r="AA107" t="s">
        <v>1418</v>
      </c>
      <c r="AB107" t="s">
        <v>1419</v>
      </c>
      <c r="AC107">
        <v>7.6739910000000002E-4</v>
      </c>
      <c r="AD107" s="16">
        <v>2.3861367999999999E-3</v>
      </c>
      <c r="AE107" s="16">
        <v>1.8434E-6</v>
      </c>
      <c r="AF107" s="16">
        <v>0</v>
      </c>
      <c r="AG107" s="16">
        <v>0</v>
      </c>
      <c r="AH107" s="16">
        <v>0</v>
      </c>
      <c r="AI107" s="16">
        <v>6.4229999999999997E-7</v>
      </c>
      <c r="AJ107" s="16">
        <v>1.388E-7</v>
      </c>
      <c r="AK107" s="16">
        <v>5.0360000000000004E-7</v>
      </c>
      <c r="AL107" s="16">
        <v>1.3833E-6</v>
      </c>
      <c r="AM107" s="16">
        <v>-3.2000000000000001E-9</v>
      </c>
      <c r="AN107" s="16">
        <v>-1.5739999999999999E-7</v>
      </c>
      <c r="AO107" s="16">
        <v>-2.4699999999999999E-8</v>
      </c>
      <c r="AP107" s="16">
        <v>0</v>
      </c>
      <c r="AQ107" s="16">
        <v>0</v>
      </c>
      <c r="AR107" s="16">
        <v>0</v>
      </c>
      <c r="AS107" s="16">
        <v>0</v>
      </c>
      <c r="AT107" s="16">
        <v>0</v>
      </c>
      <c r="AU107" s="16">
        <v>0</v>
      </c>
      <c r="AV107" s="16">
        <v>0</v>
      </c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0</v>
      </c>
      <c r="BD107" s="16">
        <v>0</v>
      </c>
      <c r="BE107" s="16">
        <v>0</v>
      </c>
      <c r="BF107" s="16">
        <v>0</v>
      </c>
      <c r="BG107" s="16">
        <v>0</v>
      </c>
      <c r="BH107" s="16">
        <v>0</v>
      </c>
      <c r="BI107" s="16">
        <v>0</v>
      </c>
      <c r="BJ107" s="16">
        <v>5.9511999999999999E-6</v>
      </c>
      <c r="BK107" s="16"/>
      <c r="BL107" s="16">
        <v>1648437</v>
      </c>
      <c r="BM107" s="61" t="s">
        <v>1285</v>
      </c>
    </row>
    <row r="108" spans="5:65" x14ac:dyDescent="0.25">
      <c r="E108" s="7">
        <f>COUNTIFS(tblBOneExport[ISIN],tblBOneExport[[#This Row],[ISIN]],tblBOneExport[LEVEL1],"Bonds")</f>
        <v>1</v>
      </c>
      <c r="F108">
        <v>4547</v>
      </c>
      <c r="G108" s="155">
        <v>42947</v>
      </c>
      <c r="H108" s="155">
        <v>42978</v>
      </c>
      <c r="I108" t="s">
        <v>1557</v>
      </c>
      <c r="J108">
        <v>1648941</v>
      </c>
      <c r="K108" s="18" t="s">
        <v>1558</v>
      </c>
      <c r="L108" t="s">
        <v>1144</v>
      </c>
      <c r="M108" t="s">
        <v>1145</v>
      </c>
      <c r="N108" t="s">
        <v>492</v>
      </c>
      <c r="O108" t="s">
        <v>372</v>
      </c>
      <c r="P108" t="s">
        <v>1276</v>
      </c>
      <c r="Q108" t="s">
        <v>1330</v>
      </c>
      <c r="R108" t="s">
        <v>1331</v>
      </c>
      <c r="S108" t="s">
        <v>1331</v>
      </c>
      <c r="T108" t="s">
        <v>1331</v>
      </c>
      <c r="U108" t="s">
        <v>1331</v>
      </c>
      <c r="V108" t="s">
        <v>1293</v>
      </c>
      <c r="W108" t="s">
        <v>493</v>
      </c>
      <c r="X108" t="s">
        <v>1282</v>
      </c>
      <c r="Y108" s="154">
        <v>47918</v>
      </c>
      <c r="Z108" s="154">
        <v>47918</v>
      </c>
      <c r="AA108" t="s">
        <v>1559</v>
      </c>
      <c r="AB108" t="s">
        <v>1560</v>
      </c>
      <c r="AC108">
        <v>3.6031222999999999E-3</v>
      </c>
      <c r="AD108" s="16">
        <v>1.9270648500000001E-2</v>
      </c>
      <c r="AE108" s="16">
        <v>6.9252300000000001E-5</v>
      </c>
      <c r="AF108" s="16">
        <v>0</v>
      </c>
      <c r="AG108" s="16">
        <v>0</v>
      </c>
      <c r="AH108" s="16">
        <v>0</v>
      </c>
      <c r="AI108" s="16">
        <v>7.0864999999999998E-6</v>
      </c>
      <c r="AJ108" s="16">
        <v>4.296E-6</v>
      </c>
      <c r="AK108" s="16">
        <v>2.7904999999999998E-6</v>
      </c>
      <c r="AL108" s="16">
        <v>6.5105300000000002E-5</v>
      </c>
      <c r="AM108" s="16">
        <v>1.1427000000000001E-6</v>
      </c>
      <c r="AN108" s="16">
        <v>-3.5646000000000001E-6</v>
      </c>
      <c r="AO108" s="16">
        <v>6.2509999999999995E-7</v>
      </c>
      <c r="AP108" s="16">
        <v>0</v>
      </c>
      <c r="AQ108" s="16">
        <v>0</v>
      </c>
      <c r="AR108" s="16">
        <v>0</v>
      </c>
      <c r="AS108" s="16">
        <v>0</v>
      </c>
      <c r="AT108" s="16">
        <v>0</v>
      </c>
      <c r="AU108" s="16">
        <v>0</v>
      </c>
      <c r="AV108" s="16">
        <v>0</v>
      </c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0</v>
      </c>
      <c r="BD108" s="16">
        <v>0</v>
      </c>
      <c r="BE108" s="16">
        <v>0</v>
      </c>
      <c r="BF108" s="16">
        <v>0</v>
      </c>
      <c r="BG108" s="16">
        <v>0</v>
      </c>
      <c r="BH108" s="16">
        <v>0</v>
      </c>
      <c r="BI108" s="16">
        <v>0</v>
      </c>
      <c r="BJ108" s="16">
        <v>3.2997100000000003E-5</v>
      </c>
      <c r="BK108" s="16"/>
      <c r="BL108" s="16">
        <v>1648941</v>
      </c>
      <c r="BM108" s="61" t="s">
        <v>1285</v>
      </c>
    </row>
    <row r="109" spans="5:65" x14ac:dyDescent="0.25">
      <c r="E109" s="7">
        <f>COUNTIFS(tblBOneExport[ISIN],tblBOneExport[[#This Row],[ISIN]],tblBOneExport[LEVEL1],"Bonds")</f>
        <v>1</v>
      </c>
      <c r="F109">
        <v>4547</v>
      </c>
      <c r="G109" s="155">
        <v>42947</v>
      </c>
      <c r="H109" s="155">
        <v>42978</v>
      </c>
      <c r="I109" t="s">
        <v>1561</v>
      </c>
      <c r="J109">
        <v>1649739</v>
      </c>
      <c r="K109" s="18" t="s">
        <v>1562</v>
      </c>
      <c r="L109" t="s">
        <v>1225</v>
      </c>
      <c r="M109" t="s">
        <v>1223</v>
      </c>
      <c r="N109" t="s">
        <v>492</v>
      </c>
      <c r="O109" t="s">
        <v>372</v>
      </c>
      <c r="P109" t="s">
        <v>1276</v>
      </c>
      <c r="Q109" t="s">
        <v>1330</v>
      </c>
      <c r="R109" t="s">
        <v>1331</v>
      </c>
      <c r="S109" t="s">
        <v>1331</v>
      </c>
      <c r="T109" t="s">
        <v>1331</v>
      </c>
      <c r="U109" t="s">
        <v>1331</v>
      </c>
      <c r="V109" t="s">
        <v>1315</v>
      </c>
      <c r="W109" t="s">
        <v>493</v>
      </c>
      <c r="X109" t="s">
        <v>1282</v>
      </c>
      <c r="Y109" s="154">
        <v>50875</v>
      </c>
      <c r="Z109" s="154">
        <v>50875</v>
      </c>
      <c r="AA109" t="s">
        <v>1563</v>
      </c>
      <c r="AB109" t="s">
        <v>1564</v>
      </c>
      <c r="AC109">
        <v>3.8102996999999999E-3</v>
      </c>
      <c r="AD109" s="16">
        <v>2.5602261000000001E-2</v>
      </c>
      <c r="AE109" s="16">
        <v>9.6884000000000003E-5</v>
      </c>
      <c r="AF109" s="16">
        <v>0</v>
      </c>
      <c r="AG109" s="16">
        <v>0</v>
      </c>
      <c r="AH109" s="16">
        <v>0</v>
      </c>
      <c r="AI109" s="16">
        <v>9.5195999999999995E-6</v>
      </c>
      <c r="AJ109" s="16">
        <v>5.3811E-6</v>
      </c>
      <c r="AK109" s="16">
        <v>4.1385000000000003E-6</v>
      </c>
      <c r="AL109" s="16">
        <v>5.3882799999999998E-5</v>
      </c>
      <c r="AM109" s="16">
        <v>9.6460000000000005E-7</v>
      </c>
      <c r="AN109" s="16">
        <v>2.9476500000000001E-5</v>
      </c>
      <c r="AO109" s="16">
        <v>4.0051E-6</v>
      </c>
      <c r="AP109" s="16">
        <v>0</v>
      </c>
      <c r="AQ109" s="16">
        <v>0</v>
      </c>
      <c r="AR109" s="16">
        <v>0</v>
      </c>
      <c r="AS109" s="16">
        <v>0</v>
      </c>
      <c r="AT109" s="16">
        <v>0</v>
      </c>
      <c r="AU109" s="16">
        <v>0</v>
      </c>
      <c r="AV109" s="16">
        <v>0</v>
      </c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0</v>
      </c>
      <c r="BD109" s="16">
        <v>0</v>
      </c>
      <c r="BE109" s="16">
        <v>0</v>
      </c>
      <c r="BF109" s="16">
        <v>0</v>
      </c>
      <c r="BG109" s="16">
        <v>0</v>
      </c>
      <c r="BH109" s="16">
        <v>0</v>
      </c>
      <c r="BI109" s="16">
        <v>0</v>
      </c>
      <c r="BJ109" s="16">
        <v>4.68129E-5</v>
      </c>
      <c r="BK109" s="16"/>
      <c r="BL109" s="16">
        <v>1649739</v>
      </c>
      <c r="BM109" s="61" t="s">
        <v>1285</v>
      </c>
    </row>
    <row r="110" spans="5:65" x14ac:dyDescent="0.25">
      <c r="E110" s="7">
        <f>COUNTIFS(tblBOneExport[ISIN],tblBOneExport[[#This Row],[ISIN]],tblBOneExport[LEVEL1],"Bonds")</f>
        <v>1</v>
      </c>
      <c r="F110">
        <v>4547</v>
      </c>
      <c r="G110" s="155">
        <v>42947</v>
      </c>
      <c r="H110" s="155">
        <v>42978</v>
      </c>
      <c r="I110" t="s">
        <v>1565</v>
      </c>
      <c r="J110">
        <v>1649747</v>
      </c>
      <c r="K110" s="18" t="s">
        <v>1566</v>
      </c>
      <c r="L110" t="s">
        <v>665</v>
      </c>
      <c r="M110" t="s">
        <v>663</v>
      </c>
      <c r="N110" t="s">
        <v>492</v>
      </c>
      <c r="O110" t="s">
        <v>372</v>
      </c>
      <c r="P110" t="s">
        <v>1276</v>
      </c>
      <c r="Q110" t="s">
        <v>1277</v>
      </c>
      <c r="R110" t="s">
        <v>1278</v>
      </c>
      <c r="S110" t="s">
        <v>1312</v>
      </c>
      <c r="T110" t="s">
        <v>1313</v>
      </c>
      <c r="U110" t="s">
        <v>1314</v>
      </c>
      <c r="V110" t="s">
        <v>1315</v>
      </c>
      <c r="W110" t="s">
        <v>493</v>
      </c>
      <c r="X110" t="s">
        <v>1282</v>
      </c>
      <c r="Y110" s="154">
        <v>44659</v>
      </c>
      <c r="Z110" s="154">
        <v>44659</v>
      </c>
      <c r="AA110" t="s">
        <v>1294</v>
      </c>
      <c r="AB110" t="s">
        <v>1295</v>
      </c>
      <c r="AC110">
        <v>2.1837611999999998E-3</v>
      </c>
      <c r="AD110" s="16">
        <v>6.7075086000000003E-3</v>
      </c>
      <c r="AE110" s="16">
        <v>1.47326E-5</v>
      </c>
      <c r="AF110" s="16">
        <v>0</v>
      </c>
      <c r="AG110" s="16">
        <v>0</v>
      </c>
      <c r="AH110" s="16">
        <v>0</v>
      </c>
      <c r="AI110" s="16">
        <v>2.3458000000000001E-6</v>
      </c>
      <c r="AJ110" s="16">
        <v>7.9739999999999998E-7</v>
      </c>
      <c r="AK110" s="16">
        <v>1.5484000000000001E-6</v>
      </c>
      <c r="AL110" s="16">
        <v>1.4156599999999999E-5</v>
      </c>
      <c r="AM110" s="16">
        <v>1.4515E-6</v>
      </c>
      <c r="AN110" s="16">
        <v>-2.0772000000000002E-6</v>
      </c>
      <c r="AO110" s="16">
        <v>3.0750000000000002E-7</v>
      </c>
      <c r="AP110" s="16">
        <v>0</v>
      </c>
      <c r="AQ110" s="16">
        <v>0</v>
      </c>
      <c r="AR110" s="16">
        <v>0</v>
      </c>
      <c r="AS110" s="16">
        <v>0</v>
      </c>
      <c r="AT110" s="16">
        <v>0</v>
      </c>
      <c r="AU110" s="16">
        <v>0</v>
      </c>
      <c r="AV110" s="16">
        <v>0</v>
      </c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0</v>
      </c>
      <c r="BD110" s="16">
        <v>0</v>
      </c>
      <c r="BE110" s="16">
        <v>0</v>
      </c>
      <c r="BF110" s="16">
        <v>0</v>
      </c>
      <c r="BG110" s="16">
        <v>0</v>
      </c>
      <c r="BH110" s="16">
        <v>0</v>
      </c>
      <c r="BI110" s="16">
        <v>0</v>
      </c>
      <c r="BJ110" s="16">
        <v>1.84001E-5</v>
      </c>
      <c r="BK110" s="16"/>
      <c r="BL110" s="16">
        <v>1649747</v>
      </c>
      <c r="BM110" s="61" t="s">
        <v>1285</v>
      </c>
    </row>
    <row r="111" spans="5:65" x14ac:dyDescent="0.25">
      <c r="E111" s="7">
        <f>COUNTIFS(tblBOneExport[ISIN],tblBOneExport[[#This Row],[ISIN]],tblBOneExport[LEVEL1],"Bonds")</f>
        <v>1</v>
      </c>
      <c r="F111">
        <v>4547</v>
      </c>
      <c r="G111" s="155">
        <v>42947</v>
      </c>
      <c r="H111" s="155">
        <v>42978</v>
      </c>
      <c r="I111" t="s">
        <v>1567</v>
      </c>
      <c r="J111">
        <v>1648854</v>
      </c>
      <c r="K111" s="18" t="s">
        <v>1568</v>
      </c>
      <c r="L111" t="s">
        <v>1082</v>
      </c>
      <c r="M111" t="s">
        <v>1083</v>
      </c>
      <c r="N111" t="s">
        <v>492</v>
      </c>
      <c r="O111" t="s">
        <v>372</v>
      </c>
      <c r="P111" t="s">
        <v>1276</v>
      </c>
      <c r="Q111" t="s">
        <v>1277</v>
      </c>
      <c r="R111" t="s">
        <v>1278</v>
      </c>
      <c r="S111" t="s">
        <v>1291</v>
      </c>
      <c r="T111" t="s">
        <v>1413</v>
      </c>
      <c r="U111" t="s">
        <v>1413</v>
      </c>
      <c r="V111" t="s">
        <v>1332</v>
      </c>
      <c r="W111" t="s">
        <v>493</v>
      </c>
      <c r="X111" t="s">
        <v>1282</v>
      </c>
      <c r="Y111" s="154">
        <v>43585</v>
      </c>
      <c r="Z111" s="154">
        <v>43585</v>
      </c>
      <c r="AA111" t="s">
        <v>1359</v>
      </c>
      <c r="AB111" t="s">
        <v>1360</v>
      </c>
      <c r="AC111">
        <v>4.0740430999999999E-3</v>
      </c>
      <c r="AD111" s="16">
        <v>2.4886638000000002E-3</v>
      </c>
      <c r="AE111" s="16">
        <v>1.0203900000000001E-5</v>
      </c>
      <c r="AF111" s="16">
        <v>0</v>
      </c>
      <c r="AG111" s="16">
        <v>0</v>
      </c>
      <c r="AH111" s="16">
        <v>0</v>
      </c>
      <c r="AI111" s="16">
        <v>3.0813E-6</v>
      </c>
      <c r="AJ111" s="16">
        <v>7.3659999999999997E-7</v>
      </c>
      <c r="AK111" s="16">
        <v>2.3447000000000002E-6</v>
      </c>
      <c r="AL111" s="16">
        <v>7.3978999999999999E-6</v>
      </c>
      <c r="AM111" s="16">
        <v>-1.7599999999999999E-8</v>
      </c>
      <c r="AN111" s="16">
        <v>8.0019999999999998E-7</v>
      </c>
      <c r="AO111" s="16">
        <v>-1.0754999999999999E-6</v>
      </c>
      <c r="AP111" s="16">
        <v>0</v>
      </c>
      <c r="AQ111" s="16">
        <v>0</v>
      </c>
      <c r="AR111" s="16">
        <v>0</v>
      </c>
      <c r="AS111" s="16">
        <v>0</v>
      </c>
      <c r="AT111" s="16">
        <v>0</v>
      </c>
      <c r="AU111" s="16">
        <v>0</v>
      </c>
      <c r="AV111" s="16">
        <v>0</v>
      </c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0</v>
      </c>
      <c r="BD111" s="16">
        <v>0</v>
      </c>
      <c r="BE111" s="16">
        <v>0</v>
      </c>
      <c r="BF111" s="16">
        <v>0</v>
      </c>
      <c r="BG111" s="16">
        <v>0</v>
      </c>
      <c r="BH111" s="16">
        <v>0</v>
      </c>
      <c r="BI111" s="16">
        <v>0</v>
      </c>
      <c r="BJ111" s="16">
        <v>2.6673600000000002E-5</v>
      </c>
      <c r="BK111" s="16"/>
      <c r="BL111" s="16">
        <v>1648854</v>
      </c>
      <c r="BM111" s="61" t="s">
        <v>1285</v>
      </c>
    </row>
    <row r="112" spans="5:65" x14ac:dyDescent="0.25">
      <c r="E112" s="7">
        <f>COUNTIFS(tblBOneExport[ISIN],tblBOneExport[[#This Row],[ISIN]],tblBOneExport[LEVEL1],"Bonds")</f>
        <v>1</v>
      </c>
      <c r="F112">
        <v>4547</v>
      </c>
      <c r="G112" s="155">
        <v>42947</v>
      </c>
      <c r="H112" s="155">
        <v>42978</v>
      </c>
      <c r="I112" t="s">
        <v>1569</v>
      </c>
      <c r="J112">
        <v>1650346</v>
      </c>
      <c r="K112" s="18" t="s">
        <v>1570</v>
      </c>
      <c r="L112" t="s">
        <v>549</v>
      </c>
      <c r="M112" t="s">
        <v>321</v>
      </c>
      <c r="N112" t="s">
        <v>492</v>
      </c>
      <c r="O112" t="s">
        <v>372</v>
      </c>
      <c r="P112" t="s">
        <v>1276</v>
      </c>
      <c r="Q112" t="s">
        <v>1277</v>
      </c>
      <c r="R112" t="s">
        <v>1278</v>
      </c>
      <c r="S112" t="s">
        <v>1312</v>
      </c>
      <c r="T112" t="s">
        <v>1313</v>
      </c>
      <c r="U112" t="s">
        <v>1314</v>
      </c>
      <c r="V112" t="s">
        <v>1288</v>
      </c>
      <c r="W112" t="s">
        <v>493</v>
      </c>
      <c r="X112" t="s">
        <v>1282</v>
      </c>
      <c r="Y112" s="154">
        <v>51256</v>
      </c>
      <c r="Z112" s="154">
        <v>51256</v>
      </c>
      <c r="AA112" t="s">
        <v>1308</v>
      </c>
      <c r="AB112" t="s">
        <v>1309</v>
      </c>
      <c r="AC112">
        <v>4.8984412E-3</v>
      </c>
      <c r="AD112" s="16">
        <v>1.5832283499999999E-2</v>
      </c>
      <c r="AE112" s="16">
        <v>7.7550000000000001E-5</v>
      </c>
      <c r="AF112" s="16">
        <v>0</v>
      </c>
      <c r="AG112" s="16">
        <v>0</v>
      </c>
      <c r="AH112" s="16">
        <v>0</v>
      </c>
      <c r="AI112" s="16">
        <v>1.54688E-5</v>
      </c>
      <c r="AJ112" s="16">
        <v>6.9589999999999998E-6</v>
      </c>
      <c r="AK112" s="16">
        <v>8.5098999999999996E-6</v>
      </c>
      <c r="AL112" s="16">
        <v>8.0965100000000002E-5</v>
      </c>
      <c r="AM112" s="16">
        <v>1.2253999999999999E-6</v>
      </c>
      <c r="AN112" s="16">
        <v>-1.7969E-5</v>
      </c>
      <c r="AO112" s="16">
        <v>-9.1490000000000002E-7</v>
      </c>
      <c r="AP112" s="16">
        <v>0</v>
      </c>
      <c r="AQ112" s="16">
        <v>0</v>
      </c>
      <c r="AR112" s="16">
        <v>0</v>
      </c>
      <c r="AS112" s="16">
        <v>0</v>
      </c>
      <c r="AT112" s="16">
        <v>0</v>
      </c>
      <c r="AU112" s="16">
        <v>0</v>
      </c>
      <c r="AV112" s="16">
        <v>0</v>
      </c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0</v>
      </c>
      <c r="BD112" s="16">
        <v>0</v>
      </c>
      <c r="BE112" s="16">
        <v>0</v>
      </c>
      <c r="BF112" s="16">
        <v>0</v>
      </c>
      <c r="BG112" s="16">
        <v>0</v>
      </c>
      <c r="BH112" s="16">
        <v>0</v>
      </c>
      <c r="BI112" s="16">
        <v>0</v>
      </c>
      <c r="BJ112" s="16">
        <v>1.00171E-4</v>
      </c>
      <c r="BK112" s="16"/>
      <c r="BL112" s="16">
        <v>1650346</v>
      </c>
      <c r="BM112" s="61" t="s">
        <v>1285</v>
      </c>
    </row>
    <row r="113" spans="5:65" x14ac:dyDescent="0.25">
      <c r="E113" s="7">
        <f>COUNTIFS(tblBOneExport[ISIN],tblBOneExport[[#This Row],[ISIN]],tblBOneExport[LEVEL1],"Bonds")</f>
        <v>1</v>
      </c>
      <c r="F113">
        <v>4547</v>
      </c>
      <c r="G113" s="155">
        <v>42947</v>
      </c>
      <c r="H113" s="155">
        <v>42978</v>
      </c>
      <c r="I113" t="s">
        <v>1571</v>
      </c>
      <c r="J113">
        <v>1649877</v>
      </c>
      <c r="K113" s="18" t="s">
        <v>1572</v>
      </c>
      <c r="L113" t="s">
        <v>1038</v>
      </c>
      <c r="M113" t="s">
        <v>1039</v>
      </c>
      <c r="N113" t="s">
        <v>492</v>
      </c>
      <c r="O113" t="s">
        <v>372</v>
      </c>
      <c r="P113" t="s">
        <v>1276</v>
      </c>
      <c r="Q113" t="s">
        <v>1277</v>
      </c>
      <c r="R113" t="s">
        <v>1278</v>
      </c>
      <c r="S113" t="s">
        <v>1279</v>
      </c>
      <c r="T113" t="s">
        <v>1442</v>
      </c>
      <c r="U113" t="s">
        <v>1442</v>
      </c>
      <c r="V113" t="s">
        <v>1408</v>
      </c>
      <c r="W113" t="s">
        <v>493</v>
      </c>
      <c r="X113" t="s">
        <v>1282</v>
      </c>
      <c r="Y113" s="154">
        <v>50559</v>
      </c>
      <c r="Z113" s="154">
        <v>50559</v>
      </c>
      <c r="AA113" t="s">
        <v>1308</v>
      </c>
      <c r="AB113" t="s">
        <v>1309</v>
      </c>
      <c r="AC113">
        <v>7.8629345E-3</v>
      </c>
      <c r="AD113" s="16">
        <v>2.4168379100000002E-2</v>
      </c>
      <c r="AE113" s="16">
        <v>1.8901390000000001E-4</v>
      </c>
      <c r="AF113" s="16">
        <v>0</v>
      </c>
      <c r="AG113" s="16">
        <v>0</v>
      </c>
      <c r="AH113" s="16">
        <v>0</v>
      </c>
      <c r="AI113" s="16">
        <v>1.6669099999999999E-5</v>
      </c>
      <c r="AJ113" s="16">
        <v>1.1025E-5</v>
      </c>
      <c r="AK113" s="16">
        <v>5.6440999999999999E-6</v>
      </c>
      <c r="AL113" s="16">
        <v>9.6350799999999999E-5</v>
      </c>
      <c r="AM113" s="16">
        <v>2.0078999999999999E-6</v>
      </c>
      <c r="AN113" s="16">
        <v>8.0264699999999997E-5</v>
      </c>
      <c r="AO113" s="16">
        <v>-4.2707999999999998E-6</v>
      </c>
      <c r="AP113" s="16">
        <v>0</v>
      </c>
      <c r="AQ113" s="16">
        <v>0</v>
      </c>
      <c r="AR113" s="16">
        <v>0</v>
      </c>
      <c r="AS113" s="16">
        <v>0</v>
      </c>
      <c r="AT113" s="16">
        <v>0</v>
      </c>
      <c r="AU113" s="16">
        <v>0</v>
      </c>
      <c r="AV113" s="16">
        <v>0</v>
      </c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0</v>
      </c>
      <c r="BD113" s="16">
        <v>0</v>
      </c>
      <c r="BE113" s="16">
        <v>0</v>
      </c>
      <c r="BF113" s="16">
        <v>0</v>
      </c>
      <c r="BG113" s="16">
        <v>0</v>
      </c>
      <c r="BH113" s="16">
        <v>0</v>
      </c>
      <c r="BI113" s="16">
        <v>0</v>
      </c>
      <c r="BJ113" s="16">
        <v>6.1230700000000003E-5</v>
      </c>
      <c r="BK113" s="16"/>
      <c r="BL113" s="16">
        <v>1649877</v>
      </c>
      <c r="BM113" s="61" t="s">
        <v>1285</v>
      </c>
    </row>
    <row r="114" spans="5:65" x14ac:dyDescent="0.25">
      <c r="E114" s="7">
        <f>COUNTIFS(tblBOneExport[ISIN],tblBOneExport[[#This Row],[ISIN]],tblBOneExport[LEVEL1],"Bonds")</f>
        <v>1</v>
      </c>
      <c r="F114">
        <v>4547</v>
      </c>
      <c r="G114" s="155">
        <v>42947</v>
      </c>
      <c r="H114" s="155">
        <v>42978</v>
      </c>
      <c r="I114" t="s">
        <v>1573</v>
      </c>
      <c r="J114">
        <v>1650627</v>
      </c>
      <c r="K114" s="18" t="s">
        <v>1574</v>
      </c>
      <c r="L114" t="s">
        <v>743</v>
      </c>
      <c r="M114" t="s">
        <v>733</v>
      </c>
      <c r="N114" t="s">
        <v>492</v>
      </c>
      <c r="O114" t="s">
        <v>372</v>
      </c>
      <c r="P114" t="s">
        <v>1276</v>
      </c>
      <c r="Q114" t="s">
        <v>1330</v>
      </c>
      <c r="R114" t="s">
        <v>1352</v>
      </c>
      <c r="S114" t="s">
        <v>1352</v>
      </c>
      <c r="T114" t="s">
        <v>1352</v>
      </c>
      <c r="U114" t="s">
        <v>1352</v>
      </c>
      <c r="V114" t="s">
        <v>1353</v>
      </c>
      <c r="W114" t="s">
        <v>493</v>
      </c>
      <c r="X114" t="s">
        <v>1282</v>
      </c>
      <c r="Y114" s="154">
        <v>43076</v>
      </c>
      <c r="Z114" s="154">
        <v>43076</v>
      </c>
      <c r="AA114" t="s">
        <v>1354</v>
      </c>
      <c r="AB114" t="s">
        <v>1355</v>
      </c>
      <c r="AC114">
        <v>7.2120319999999997E-4</v>
      </c>
      <c r="AD114" s="16">
        <v>8.0220400000000002E-5</v>
      </c>
      <c r="AE114" s="16">
        <v>5.7499999999999999E-8</v>
      </c>
      <c r="AF114" s="16">
        <v>0</v>
      </c>
      <c r="AG114" s="16">
        <v>0</v>
      </c>
      <c r="AH114" s="16">
        <v>0</v>
      </c>
      <c r="AI114" s="16">
        <v>2.5380000000000001E-7</v>
      </c>
      <c r="AJ114" s="16">
        <v>1.025E-7</v>
      </c>
      <c r="AK114" s="16">
        <v>1.5130000000000001E-7</v>
      </c>
      <c r="AL114" s="16">
        <v>-3.2899999999999997E-8</v>
      </c>
      <c r="AM114" s="16">
        <v>2.8299999999999999E-8</v>
      </c>
      <c r="AN114" s="16">
        <v>-1.4149999999999999E-7</v>
      </c>
      <c r="AO114" s="16">
        <v>-2.1999999999999998E-8</v>
      </c>
      <c r="AP114" s="16">
        <v>0</v>
      </c>
      <c r="AQ114" s="16">
        <v>0</v>
      </c>
      <c r="AR114" s="16">
        <v>0</v>
      </c>
      <c r="AS114" s="16">
        <v>0</v>
      </c>
      <c r="AT114" s="16">
        <v>0</v>
      </c>
      <c r="AU114" s="16">
        <v>0</v>
      </c>
      <c r="AV114" s="16">
        <v>0</v>
      </c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0</v>
      </c>
      <c r="BD114" s="16">
        <v>0</v>
      </c>
      <c r="BE114" s="16">
        <v>0</v>
      </c>
      <c r="BF114" s="16">
        <v>0</v>
      </c>
      <c r="BG114" s="16">
        <v>0</v>
      </c>
      <c r="BH114" s="16">
        <v>0</v>
      </c>
      <c r="BI114" s="16">
        <v>0</v>
      </c>
      <c r="BJ114" s="16">
        <v>1.8913E-6</v>
      </c>
      <c r="BK114" s="16"/>
      <c r="BL114" s="16">
        <v>1650627</v>
      </c>
      <c r="BM114" s="61" t="s">
        <v>1285</v>
      </c>
    </row>
    <row r="115" spans="5:65" x14ac:dyDescent="0.25">
      <c r="E115" s="7">
        <f>COUNTIFS(tblBOneExport[ISIN],tblBOneExport[[#This Row],[ISIN]],tblBOneExport[LEVEL1],"Bonds")</f>
        <v>1</v>
      </c>
      <c r="F115">
        <v>4547</v>
      </c>
      <c r="G115" s="155">
        <v>42947</v>
      </c>
      <c r="H115" s="155">
        <v>42978</v>
      </c>
      <c r="I115" t="s">
        <v>1575</v>
      </c>
      <c r="J115">
        <v>1648457</v>
      </c>
      <c r="K115" s="18" t="s">
        <v>1576</v>
      </c>
      <c r="L115" t="s">
        <v>613</v>
      </c>
      <c r="M115" t="s">
        <v>611</v>
      </c>
      <c r="N115" t="s">
        <v>492</v>
      </c>
      <c r="O115" t="s">
        <v>372</v>
      </c>
      <c r="P115" t="s">
        <v>1276</v>
      </c>
      <c r="Q115" t="s">
        <v>1277</v>
      </c>
      <c r="R115" t="s">
        <v>1278</v>
      </c>
      <c r="S115" t="s">
        <v>1279</v>
      </c>
      <c r="T115" t="s">
        <v>1475</v>
      </c>
      <c r="U115" t="s">
        <v>1475</v>
      </c>
      <c r="V115" t="s">
        <v>1288</v>
      </c>
      <c r="W115" t="s">
        <v>493</v>
      </c>
      <c r="X115" t="s">
        <v>1282</v>
      </c>
      <c r="Y115" s="154">
        <v>44741</v>
      </c>
      <c r="Z115" s="154">
        <v>44741</v>
      </c>
      <c r="AA115" t="s">
        <v>1359</v>
      </c>
      <c r="AB115" t="s">
        <v>1360</v>
      </c>
      <c r="AC115">
        <v>1.4041527999999999E-3</v>
      </c>
      <c r="AD115" s="16">
        <v>8.5376509000000007E-3</v>
      </c>
      <c r="AE115" s="16">
        <v>1.20261E-5</v>
      </c>
      <c r="AF115" s="16">
        <v>0</v>
      </c>
      <c r="AG115" s="16">
        <v>0</v>
      </c>
      <c r="AH115" s="16">
        <v>0</v>
      </c>
      <c r="AI115" s="16">
        <v>1.8967E-6</v>
      </c>
      <c r="AJ115" s="16">
        <v>5.6169999999999995E-7</v>
      </c>
      <c r="AK115" s="16">
        <v>1.3349999999999999E-6</v>
      </c>
      <c r="AL115" s="16">
        <v>9.9353999999999998E-6</v>
      </c>
      <c r="AM115" s="16">
        <v>9.865E-7</v>
      </c>
      <c r="AN115" s="16">
        <v>1.712E-7</v>
      </c>
      <c r="AO115" s="16">
        <v>2.2799999999999999E-8</v>
      </c>
      <c r="AP115" s="16">
        <v>0</v>
      </c>
      <c r="AQ115" s="16">
        <v>0</v>
      </c>
      <c r="AR115" s="16">
        <v>0</v>
      </c>
      <c r="AS115" s="16">
        <v>0</v>
      </c>
      <c r="AT115" s="16">
        <v>0</v>
      </c>
      <c r="AU115" s="16">
        <v>0</v>
      </c>
      <c r="AV115" s="16">
        <v>0</v>
      </c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0</v>
      </c>
      <c r="BD115" s="16">
        <v>0</v>
      </c>
      <c r="BE115" s="16">
        <v>0</v>
      </c>
      <c r="BF115" s="16">
        <v>0</v>
      </c>
      <c r="BG115" s="16">
        <v>0</v>
      </c>
      <c r="BH115" s="16">
        <v>0</v>
      </c>
      <c r="BI115" s="16">
        <v>0</v>
      </c>
      <c r="BJ115" s="16">
        <v>1.5393E-5</v>
      </c>
      <c r="BK115" s="16"/>
      <c r="BL115" s="16">
        <v>1648457</v>
      </c>
      <c r="BM115" s="61" t="s">
        <v>1285</v>
      </c>
    </row>
    <row r="116" spans="5:65" x14ac:dyDescent="0.25">
      <c r="E116" s="7">
        <f>COUNTIFS(tblBOneExport[ISIN],tblBOneExport[[#This Row],[ISIN]],tblBOneExport[LEVEL1],"Bonds")</f>
        <v>1</v>
      </c>
      <c r="F116">
        <v>4547</v>
      </c>
      <c r="G116" s="155">
        <v>42947</v>
      </c>
      <c r="H116" s="155">
        <v>42978</v>
      </c>
      <c r="I116" t="s">
        <v>1577</v>
      </c>
      <c r="J116">
        <v>1648478</v>
      </c>
      <c r="K116" s="18" t="s">
        <v>1578</v>
      </c>
      <c r="L116" t="s">
        <v>1099</v>
      </c>
      <c r="M116" t="s">
        <v>1093</v>
      </c>
      <c r="N116" t="s">
        <v>492</v>
      </c>
      <c r="O116" t="s">
        <v>372</v>
      </c>
      <c r="P116" t="s">
        <v>1276</v>
      </c>
      <c r="Q116" t="s">
        <v>1277</v>
      </c>
      <c r="R116" t="s">
        <v>1322</v>
      </c>
      <c r="S116" t="s">
        <v>1358</v>
      </c>
      <c r="T116" t="s">
        <v>1358</v>
      </c>
      <c r="U116" t="s">
        <v>1358</v>
      </c>
      <c r="V116" t="s">
        <v>1288</v>
      </c>
      <c r="W116" t="s">
        <v>493</v>
      </c>
      <c r="X116" t="s">
        <v>1282</v>
      </c>
      <c r="Y116" s="154">
        <v>50957</v>
      </c>
      <c r="Z116" s="154">
        <v>50957</v>
      </c>
      <c r="AA116" t="s">
        <v>1294</v>
      </c>
      <c r="AB116" t="s">
        <v>1295</v>
      </c>
      <c r="AC116">
        <v>2.6112103000000002E-3</v>
      </c>
      <c r="AD116" s="16">
        <v>2.1745984400000001E-2</v>
      </c>
      <c r="AE116" s="16">
        <v>5.6557100000000001E-5</v>
      </c>
      <c r="AF116" s="16">
        <v>0</v>
      </c>
      <c r="AG116" s="16">
        <v>0</v>
      </c>
      <c r="AH116" s="16">
        <v>0</v>
      </c>
      <c r="AI116" s="16">
        <v>6.6367999999999997E-6</v>
      </c>
      <c r="AJ116" s="16">
        <v>3.6965999999999999E-6</v>
      </c>
      <c r="AK116" s="16">
        <v>2.9401E-6</v>
      </c>
      <c r="AL116" s="16">
        <v>3.9799799999999998E-5</v>
      </c>
      <c r="AM116" s="16">
        <v>6.8449999999999997E-7</v>
      </c>
      <c r="AN116" s="16">
        <v>9.4414999999999993E-6</v>
      </c>
      <c r="AO116" s="16">
        <v>6.7899999999999998E-7</v>
      </c>
      <c r="AP116" s="16">
        <v>0</v>
      </c>
      <c r="AQ116" s="16">
        <v>0</v>
      </c>
      <c r="AR116" s="16">
        <v>0</v>
      </c>
      <c r="AS116" s="16">
        <v>0</v>
      </c>
      <c r="AT116" s="16">
        <v>0</v>
      </c>
      <c r="AU116" s="16">
        <v>0</v>
      </c>
      <c r="AV116" s="16">
        <v>0</v>
      </c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0</v>
      </c>
      <c r="BD116" s="16">
        <v>0</v>
      </c>
      <c r="BE116" s="16">
        <v>0</v>
      </c>
      <c r="BF116" s="16">
        <v>0</v>
      </c>
      <c r="BG116" s="16">
        <v>0</v>
      </c>
      <c r="BH116" s="16">
        <v>0</v>
      </c>
      <c r="BI116" s="16">
        <v>0</v>
      </c>
      <c r="BJ116" s="16">
        <v>3.36882E-5</v>
      </c>
      <c r="BK116" s="16"/>
      <c r="BL116" s="16">
        <v>1648478</v>
      </c>
      <c r="BM116" s="61" t="s">
        <v>1285</v>
      </c>
    </row>
    <row r="117" spans="5:65" x14ac:dyDescent="0.25">
      <c r="E117" s="7">
        <f>COUNTIFS(tblBOneExport[ISIN],tblBOneExport[[#This Row],[ISIN]],tblBOneExport[LEVEL1],"Bonds")</f>
        <v>1</v>
      </c>
      <c r="F117">
        <v>4547</v>
      </c>
      <c r="G117" s="155">
        <v>42947</v>
      </c>
      <c r="H117" s="155">
        <v>42978</v>
      </c>
      <c r="I117" t="s">
        <v>1579</v>
      </c>
      <c r="J117">
        <v>1649161</v>
      </c>
      <c r="K117" s="18" t="s">
        <v>1580</v>
      </c>
      <c r="L117" t="s">
        <v>881</v>
      </c>
      <c r="M117" t="s">
        <v>879</v>
      </c>
      <c r="N117" t="s">
        <v>492</v>
      </c>
      <c r="O117" t="s">
        <v>372</v>
      </c>
      <c r="P117" t="s">
        <v>1276</v>
      </c>
      <c r="Q117" t="s">
        <v>1277</v>
      </c>
      <c r="R117" t="s">
        <v>1322</v>
      </c>
      <c r="S117" t="s">
        <v>1323</v>
      </c>
      <c r="T117" t="s">
        <v>1323</v>
      </c>
      <c r="U117" t="s">
        <v>1323</v>
      </c>
      <c r="V117" t="s">
        <v>1332</v>
      </c>
      <c r="W117" t="s">
        <v>493</v>
      </c>
      <c r="X117" t="s">
        <v>1282</v>
      </c>
      <c r="Y117" s="154">
        <v>44978</v>
      </c>
      <c r="Z117" s="154">
        <v>44978</v>
      </c>
      <c r="AA117" t="s">
        <v>1418</v>
      </c>
      <c r="AB117" t="s">
        <v>1419</v>
      </c>
      <c r="AC117">
        <v>1.5032775000000001E-3</v>
      </c>
      <c r="AD117" s="16">
        <v>8.1928799E-3</v>
      </c>
      <c r="AE117" s="16">
        <v>1.23628E-5</v>
      </c>
      <c r="AF117" s="16">
        <v>0</v>
      </c>
      <c r="AG117" s="16">
        <v>0</v>
      </c>
      <c r="AH117" s="16">
        <v>0</v>
      </c>
      <c r="AI117" s="16">
        <v>1.9707999999999998E-6</v>
      </c>
      <c r="AJ117" s="16">
        <v>7.1579999999999999E-7</v>
      </c>
      <c r="AK117" s="16">
        <v>1.2550000000000001E-6</v>
      </c>
      <c r="AL117" s="16">
        <v>1.0513099999999999E-5</v>
      </c>
      <c r="AM117" s="16">
        <v>7.6339999999999997E-7</v>
      </c>
      <c r="AN117" s="16">
        <v>1.5696E-6</v>
      </c>
      <c r="AO117" s="16">
        <v>-1.6907E-6</v>
      </c>
      <c r="AP117" s="16">
        <v>0</v>
      </c>
      <c r="AQ117" s="16">
        <v>0</v>
      </c>
      <c r="AR117" s="16">
        <v>0</v>
      </c>
      <c r="AS117" s="16">
        <v>0</v>
      </c>
      <c r="AT117" s="16">
        <v>0</v>
      </c>
      <c r="AU117" s="16">
        <v>0</v>
      </c>
      <c r="AV117" s="16">
        <v>0</v>
      </c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0</v>
      </c>
      <c r="BD117" s="16">
        <v>0</v>
      </c>
      <c r="BE117" s="16">
        <v>0</v>
      </c>
      <c r="BF117" s="16">
        <v>0</v>
      </c>
      <c r="BG117" s="16">
        <v>0</v>
      </c>
      <c r="BH117" s="16">
        <v>0</v>
      </c>
      <c r="BI117" s="16">
        <v>0</v>
      </c>
      <c r="BJ117" s="16">
        <v>1.42735E-5</v>
      </c>
      <c r="BK117" s="16"/>
      <c r="BL117" s="16">
        <v>1649161</v>
      </c>
      <c r="BM117" s="61" t="s">
        <v>1285</v>
      </c>
    </row>
    <row r="118" spans="5:65" x14ac:dyDescent="0.25">
      <c r="E118" s="7">
        <f>COUNTIFS(tblBOneExport[ISIN],tblBOneExport[[#This Row],[ISIN]],tblBOneExport[LEVEL1],"Bonds")</f>
        <v>1</v>
      </c>
      <c r="F118">
        <v>4547</v>
      </c>
      <c r="G118" s="155">
        <v>42947</v>
      </c>
      <c r="H118" s="155">
        <v>42978</v>
      </c>
      <c r="I118" t="s">
        <v>1581</v>
      </c>
      <c r="J118">
        <v>1649381</v>
      </c>
      <c r="K118" s="18" t="s">
        <v>1582</v>
      </c>
      <c r="L118" t="s">
        <v>883</v>
      </c>
      <c r="M118" t="s">
        <v>879</v>
      </c>
      <c r="N118" t="s">
        <v>492</v>
      </c>
      <c r="O118" t="s">
        <v>372</v>
      </c>
      <c r="P118" t="s">
        <v>1276</v>
      </c>
      <c r="Q118" t="s">
        <v>1277</v>
      </c>
      <c r="R118" t="s">
        <v>1322</v>
      </c>
      <c r="S118" t="s">
        <v>1323</v>
      </c>
      <c r="T118" t="s">
        <v>1323</v>
      </c>
      <c r="U118" t="s">
        <v>1323</v>
      </c>
      <c r="V118" t="s">
        <v>1332</v>
      </c>
      <c r="W118" t="s">
        <v>493</v>
      </c>
      <c r="X118" t="s">
        <v>1282</v>
      </c>
      <c r="Y118" s="154">
        <v>46535</v>
      </c>
      <c r="Z118" s="154">
        <v>46535</v>
      </c>
      <c r="AA118" t="s">
        <v>1418</v>
      </c>
      <c r="AB118" t="s">
        <v>1419</v>
      </c>
      <c r="AC118">
        <v>1.2988641000000001E-3</v>
      </c>
      <c r="AD118" s="16">
        <v>1.7170795499999999E-2</v>
      </c>
      <c r="AE118" s="16">
        <v>2.22693E-5</v>
      </c>
      <c r="AF118" s="16">
        <v>0</v>
      </c>
      <c r="AG118" s="16">
        <v>0</v>
      </c>
      <c r="AH118" s="16">
        <v>0</v>
      </c>
      <c r="AI118" s="16">
        <v>2.2801E-6</v>
      </c>
      <c r="AJ118" s="16">
        <v>1.1808E-6</v>
      </c>
      <c r="AK118" s="16">
        <v>1.0993E-6</v>
      </c>
      <c r="AL118" s="16">
        <v>2.0256999999999999E-5</v>
      </c>
      <c r="AM118" s="16">
        <v>8.822E-7</v>
      </c>
      <c r="AN118" s="16">
        <v>-3.7450000000000002E-7</v>
      </c>
      <c r="AO118" s="16">
        <v>1.067E-7</v>
      </c>
      <c r="AP118" s="16">
        <v>0</v>
      </c>
      <c r="AQ118" s="16">
        <v>0</v>
      </c>
      <c r="AR118" s="16">
        <v>0</v>
      </c>
      <c r="AS118" s="16">
        <v>0</v>
      </c>
      <c r="AT118" s="16">
        <v>0</v>
      </c>
      <c r="AU118" s="16">
        <v>0</v>
      </c>
      <c r="AV118" s="16">
        <v>0</v>
      </c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0</v>
      </c>
      <c r="BD118" s="16">
        <v>0</v>
      </c>
      <c r="BE118" s="16">
        <v>0</v>
      </c>
      <c r="BF118" s="16">
        <v>0</v>
      </c>
      <c r="BG118" s="16">
        <v>0</v>
      </c>
      <c r="BH118" s="16">
        <v>0</v>
      </c>
      <c r="BI118" s="16">
        <v>0</v>
      </c>
      <c r="BJ118" s="16">
        <v>1.2995300000000001E-5</v>
      </c>
      <c r="BK118" s="16"/>
      <c r="BL118" s="16">
        <v>1649381</v>
      </c>
      <c r="BM118" s="61" t="s">
        <v>1285</v>
      </c>
    </row>
    <row r="119" spans="5:65" x14ac:dyDescent="0.25">
      <c r="E119" s="7">
        <f>COUNTIFS(tblBOneExport[ISIN],tblBOneExport[[#This Row],[ISIN]],tblBOneExport[LEVEL1],"Bonds")</f>
        <v>1</v>
      </c>
      <c r="F119">
        <v>4547</v>
      </c>
      <c r="G119" s="155">
        <v>42947</v>
      </c>
      <c r="H119" s="155">
        <v>42978</v>
      </c>
      <c r="I119" t="s">
        <v>1583</v>
      </c>
      <c r="J119">
        <v>1648591</v>
      </c>
      <c r="K119" s="18" t="s">
        <v>1584</v>
      </c>
      <c r="L119" t="s">
        <v>878</v>
      </c>
      <c r="M119" t="s">
        <v>879</v>
      </c>
      <c r="N119" t="s">
        <v>492</v>
      </c>
      <c r="O119" t="s">
        <v>372</v>
      </c>
      <c r="P119" t="s">
        <v>1276</v>
      </c>
      <c r="Q119" t="s">
        <v>1277</v>
      </c>
      <c r="R119" t="s">
        <v>1322</v>
      </c>
      <c r="S119" t="s">
        <v>1323</v>
      </c>
      <c r="T119" t="s">
        <v>1323</v>
      </c>
      <c r="U119" t="s">
        <v>1323</v>
      </c>
      <c r="V119" t="s">
        <v>1281</v>
      </c>
      <c r="W119" t="s">
        <v>493</v>
      </c>
      <c r="X119" t="s">
        <v>1282</v>
      </c>
      <c r="Y119" s="154">
        <v>43698</v>
      </c>
      <c r="Z119" s="154">
        <v>43698</v>
      </c>
      <c r="AA119" t="s">
        <v>1418</v>
      </c>
      <c r="AB119" t="s">
        <v>1419</v>
      </c>
      <c r="AC119">
        <v>6.5899830000000004E-4</v>
      </c>
      <c r="AD119" s="16">
        <v>2.4569372999999999E-3</v>
      </c>
      <c r="AE119" s="16">
        <v>1.6306999999999999E-6</v>
      </c>
      <c r="AF119" s="16">
        <v>0</v>
      </c>
      <c r="AG119" s="16">
        <v>0</v>
      </c>
      <c r="AH119" s="16">
        <v>0</v>
      </c>
      <c r="AI119" s="16">
        <v>5.2450000000000002E-7</v>
      </c>
      <c r="AJ119" s="16">
        <v>1.1969999999999999E-7</v>
      </c>
      <c r="AK119" s="16">
        <v>4.0480000000000002E-7</v>
      </c>
      <c r="AL119" s="16">
        <v>1.2142E-6</v>
      </c>
      <c r="AM119" s="16">
        <v>3.33E-8</v>
      </c>
      <c r="AN119" s="16">
        <v>1.9399999999999998E-8</v>
      </c>
      <c r="AO119" s="16">
        <v>-1.2739999999999999E-7</v>
      </c>
      <c r="AP119" s="16">
        <v>0</v>
      </c>
      <c r="AQ119" s="16">
        <v>0</v>
      </c>
      <c r="AR119" s="16">
        <v>0</v>
      </c>
      <c r="AS119" s="16">
        <v>0</v>
      </c>
      <c r="AT119" s="16">
        <v>0</v>
      </c>
      <c r="AU119" s="16">
        <v>0</v>
      </c>
      <c r="AV119" s="16">
        <v>0</v>
      </c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0</v>
      </c>
      <c r="BD119" s="16">
        <v>0</v>
      </c>
      <c r="BE119" s="16">
        <v>0</v>
      </c>
      <c r="BF119" s="16">
        <v>0</v>
      </c>
      <c r="BG119" s="16">
        <v>0</v>
      </c>
      <c r="BH119" s="16">
        <v>0</v>
      </c>
      <c r="BI119" s="16">
        <v>0</v>
      </c>
      <c r="BJ119" s="16">
        <v>4.5576000000000002E-6</v>
      </c>
      <c r="BK119" s="16"/>
      <c r="BL119" s="16">
        <v>1648591</v>
      </c>
      <c r="BM119" s="61" t="s">
        <v>1285</v>
      </c>
    </row>
    <row r="120" spans="5:65" x14ac:dyDescent="0.25">
      <c r="E120" s="7">
        <f>COUNTIFS(tblBOneExport[ISIN],tblBOneExport[[#This Row],[ISIN]],tblBOneExport[LEVEL1],"Bonds")</f>
        <v>1</v>
      </c>
      <c r="F120">
        <v>4547</v>
      </c>
      <c r="G120" s="155">
        <v>42947</v>
      </c>
      <c r="H120" s="155">
        <v>42978</v>
      </c>
      <c r="I120" t="s">
        <v>1585</v>
      </c>
      <c r="J120">
        <v>1647824</v>
      </c>
      <c r="K120" s="18" t="s">
        <v>1586</v>
      </c>
      <c r="L120" t="s">
        <v>716</v>
      </c>
      <c r="M120" t="s">
        <v>717</v>
      </c>
      <c r="N120" t="s">
        <v>492</v>
      </c>
      <c r="O120" t="s">
        <v>372</v>
      </c>
      <c r="P120" t="s">
        <v>1276</v>
      </c>
      <c r="Q120" t="s">
        <v>1277</v>
      </c>
      <c r="R120" t="s">
        <v>1322</v>
      </c>
      <c r="S120" t="s">
        <v>1358</v>
      </c>
      <c r="T120" t="s">
        <v>1358</v>
      </c>
      <c r="U120" t="s">
        <v>1358</v>
      </c>
      <c r="V120" t="s">
        <v>1288</v>
      </c>
      <c r="W120" t="s">
        <v>493</v>
      </c>
      <c r="X120" t="s">
        <v>1282</v>
      </c>
      <c r="Y120" s="154">
        <v>51393</v>
      </c>
      <c r="Z120" s="154">
        <v>51393</v>
      </c>
      <c r="AA120" t="s">
        <v>1294</v>
      </c>
      <c r="AB120" t="s">
        <v>1295</v>
      </c>
      <c r="AC120">
        <v>4.1852850000000004E-3</v>
      </c>
      <c r="AD120" s="16">
        <v>2.71603716E-2</v>
      </c>
      <c r="AE120" s="16">
        <v>1.127573E-4</v>
      </c>
      <c r="AF120" s="16">
        <v>0</v>
      </c>
      <c r="AG120" s="16">
        <v>0</v>
      </c>
      <c r="AH120" s="16">
        <v>0</v>
      </c>
      <c r="AI120" s="16">
        <v>1.16817E-5</v>
      </c>
      <c r="AJ120" s="16">
        <v>6.0020000000000003E-6</v>
      </c>
      <c r="AK120" s="16">
        <v>5.6795999999999998E-6</v>
      </c>
      <c r="AL120" s="16">
        <v>7.6228899999999998E-5</v>
      </c>
      <c r="AM120" s="16">
        <v>1.0963E-6</v>
      </c>
      <c r="AN120" s="16">
        <v>2.6834000000000001E-5</v>
      </c>
      <c r="AO120" s="16">
        <v>-1.9871999999999998E-6</v>
      </c>
      <c r="AP120" s="16">
        <v>0</v>
      </c>
      <c r="AQ120" s="16">
        <v>0</v>
      </c>
      <c r="AR120" s="16">
        <v>0</v>
      </c>
      <c r="AS120" s="16">
        <v>0</v>
      </c>
      <c r="AT120" s="16">
        <v>0</v>
      </c>
      <c r="AU120" s="16">
        <v>0</v>
      </c>
      <c r="AV120" s="16">
        <v>0</v>
      </c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0</v>
      </c>
      <c r="BD120" s="16">
        <v>0</v>
      </c>
      <c r="BE120" s="16">
        <v>0</v>
      </c>
      <c r="BF120" s="16">
        <v>0</v>
      </c>
      <c r="BG120" s="16">
        <v>0</v>
      </c>
      <c r="BH120" s="16">
        <v>0</v>
      </c>
      <c r="BI120" s="16">
        <v>0</v>
      </c>
      <c r="BJ120" s="16">
        <v>6.5912699999999997E-5</v>
      </c>
      <c r="BK120" s="16"/>
      <c r="BL120" s="16">
        <v>1647824</v>
      </c>
      <c r="BM120" s="61" t="s">
        <v>1285</v>
      </c>
    </row>
    <row r="121" spans="5:65" x14ac:dyDescent="0.25">
      <c r="E121" s="7">
        <f>COUNTIFS(tblBOneExport[ISIN],tblBOneExport[[#This Row],[ISIN]],tblBOneExport[LEVEL1],"Bonds")</f>
        <v>1</v>
      </c>
      <c r="F121">
        <v>4547</v>
      </c>
      <c r="G121" s="155">
        <v>42947</v>
      </c>
      <c r="H121" s="155">
        <v>42978</v>
      </c>
      <c r="I121" t="s">
        <v>1587</v>
      </c>
      <c r="J121">
        <v>1647825</v>
      </c>
      <c r="K121" s="18" t="s">
        <v>1588</v>
      </c>
      <c r="L121" t="s">
        <v>719</v>
      </c>
      <c r="M121" t="s">
        <v>717</v>
      </c>
      <c r="N121" t="s">
        <v>492</v>
      </c>
      <c r="O121" t="s">
        <v>372</v>
      </c>
      <c r="P121" t="s">
        <v>1276</v>
      </c>
      <c r="Q121" t="s">
        <v>1277</v>
      </c>
      <c r="R121" t="s">
        <v>1322</v>
      </c>
      <c r="S121" t="s">
        <v>1358</v>
      </c>
      <c r="T121" t="s">
        <v>1358</v>
      </c>
      <c r="U121" t="s">
        <v>1358</v>
      </c>
      <c r="V121" t="s">
        <v>1288</v>
      </c>
      <c r="W121" t="s">
        <v>493</v>
      </c>
      <c r="X121" t="s">
        <v>1282</v>
      </c>
      <c r="Y121" s="154">
        <v>45518</v>
      </c>
      <c r="Z121" s="154">
        <v>45518</v>
      </c>
      <c r="AA121" t="s">
        <v>1294</v>
      </c>
      <c r="AB121" t="s">
        <v>1295</v>
      </c>
      <c r="AC121">
        <v>1.8985250000000001E-3</v>
      </c>
      <c r="AD121" s="16">
        <v>1.19189108E-2</v>
      </c>
      <c r="AE121" s="16">
        <v>2.28718E-5</v>
      </c>
      <c r="AF121" s="16">
        <v>0</v>
      </c>
      <c r="AG121" s="16">
        <v>0</v>
      </c>
      <c r="AH121" s="16">
        <v>0</v>
      </c>
      <c r="AI121" s="16">
        <v>3.1802000000000001E-6</v>
      </c>
      <c r="AJ121" s="16">
        <v>1.1911999999999999E-6</v>
      </c>
      <c r="AK121" s="16">
        <v>1.9889999999999999E-6</v>
      </c>
      <c r="AL121" s="16">
        <v>1.9924599999999999E-5</v>
      </c>
      <c r="AM121" s="16">
        <v>1.1277E-6</v>
      </c>
      <c r="AN121" s="16">
        <v>-6.9490000000000001E-7</v>
      </c>
      <c r="AO121" s="16">
        <v>4.6199999999999998E-7</v>
      </c>
      <c r="AP121" s="16">
        <v>0</v>
      </c>
      <c r="AQ121" s="16">
        <v>0</v>
      </c>
      <c r="AR121" s="16">
        <v>0</v>
      </c>
      <c r="AS121" s="16">
        <v>0</v>
      </c>
      <c r="AT121" s="16">
        <v>0</v>
      </c>
      <c r="AU121" s="16">
        <v>0</v>
      </c>
      <c r="AV121" s="16">
        <v>0</v>
      </c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0</v>
      </c>
      <c r="BD121" s="16">
        <v>0</v>
      </c>
      <c r="BE121" s="16">
        <v>0</v>
      </c>
      <c r="BF121" s="16">
        <v>0</v>
      </c>
      <c r="BG121" s="16">
        <v>0</v>
      </c>
      <c r="BH121" s="16">
        <v>0</v>
      </c>
      <c r="BI121" s="16">
        <v>0</v>
      </c>
      <c r="BJ121" s="16">
        <v>2.2864400000000001E-5</v>
      </c>
      <c r="BK121" s="16"/>
      <c r="BL121" s="16">
        <v>1647825</v>
      </c>
      <c r="BM121" s="61" t="s">
        <v>1285</v>
      </c>
    </row>
    <row r="122" spans="5:65" x14ac:dyDescent="0.25">
      <c r="E122" s="7">
        <f>COUNTIFS(tblBOneExport[ISIN],tblBOneExport[[#This Row],[ISIN]],tblBOneExport[LEVEL1],"Bonds")</f>
        <v>1</v>
      </c>
      <c r="F122">
        <v>4547</v>
      </c>
      <c r="G122" s="155">
        <v>42947</v>
      </c>
      <c r="H122" s="155">
        <v>42978</v>
      </c>
      <c r="I122" t="s">
        <v>1589</v>
      </c>
      <c r="J122">
        <v>1647862</v>
      </c>
      <c r="K122" s="18" t="s">
        <v>1590</v>
      </c>
      <c r="L122" t="s">
        <v>1105</v>
      </c>
      <c r="M122" t="s">
        <v>1103</v>
      </c>
      <c r="N122" t="s">
        <v>492</v>
      </c>
      <c r="O122" t="s">
        <v>372</v>
      </c>
      <c r="P122" t="s">
        <v>1276</v>
      </c>
      <c r="Q122" t="s">
        <v>1277</v>
      </c>
      <c r="R122" t="s">
        <v>1322</v>
      </c>
      <c r="S122" t="s">
        <v>1358</v>
      </c>
      <c r="T122" t="s">
        <v>1358</v>
      </c>
      <c r="U122" t="s">
        <v>1358</v>
      </c>
      <c r="V122" t="s">
        <v>1332</v>
      </c>
      <c r="W122" t="s">
        <v>493</v>
      </c>
      <c r="X122" t="s">
        <v>1282</v>
      </c>
      <c r="Y122" s="154">
        <v>43374</v>
      </c>
      <c r="Z122" s="154">
        <v>43374</v>
      </c>
      <c r="AA122" t="s">
        <v>1359</v>
      </c>
      <c r="AB122" t="s">
        <v>1360</v>
      </c>
      <c r="AC122">
        <v>1.0078910999999999E-3</v>
      </c>
      <c r="AD122" s="16">
        <v>1.9521270999999999E-3</v>
      </c>
      <c r="AE122" s="16">
        <v>1.9796999999999999E-6</v>
      </c>
      <c r="AF122" s="16">
        <v>0</v>
      </c>
      <c r="AG122" s="16">
        <v>0</v>
      </c>
      <c r="AH122" s="16">
        <v>0</v>
      </c>
      <c r="AI122" s="16">
        <v>7.6440000000000004E-7</v>
      </c>
      <c r="AJ122" s="16">
        <v>1.836E-7</v>
      </c>
      <c r="AK122" s="16">
        <v>5.8080000000000001E-7</v>
      </c>
      <c r="AL122" s="16">
        <v>1.5625000000000001E-6</v>
      </c>
      <c r="AM122" s="16">
        <v>-3E-9</v>
      </c>
      <c r="AN122" s="16">
        <v>-3.3070000000000002E-7</v>
      </c>
      <c r="AO122" s="16">
        <v>-1.6400000000000001E-8</v>
      </c>
      <c r="AP122" s="16">
        <v>0</v>
      </c>
      <c r="AQ122" s="16">
        <v>0</v>
      </c>
      <c r="AR122" s="16">
        <v>0</v>
      </c>
      <c r="AS122" s="16">
        <v>0</v>
      </c>
      <c r="AT122" s="16">
        <v>0</v>
      </c>
      <c r="AU122" s="16">
        <v>0</v>
      </c>
      <c r="AV122" s="16">
        <v>0</v>
      </c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0</v>
      </c>
      <c r="BD122" s="16">
        <v>0</v>
      </c>
      <c r="BE122" s="16">
        <v>0</v>
      </c>
      <c r="BF122" s="16">
        <v>0</v>
      </c>
      <c r="BG122" s="16">
        <v>0</v>
      </c>
      <c r="BH122" s="16">
        <v>0</v>
      </c>
      <c r="BI122" s="16">
        <v>0</v>
      </c>
      <c r="BJ122" s="16">
        <v>6.8707000000000001E-6</v>
      </c>
      <c r="BK122" s="16"/>
      <c r="BL122" s="16">
        <v>1647862</v>
      </c>
      <c r="BM122" s="61" t="s">
        <v>1285</v>
      </c>
    </row>
    <row r="123" spans="5:65" x14ac:dyDescent="0.25">
      <c r="E123" s="7">
        <f>COUNTIFS(tblBOneExport[ISIN],tblBOneExport[[#This Row],[ISIN]],tblBOneExport[LEVEL1],"Bonds")</f>
        <v>1</v>
      </c>
      <c r="F123">
        <v>4547</v>
      </c>
      <c r="G123" s="155">
        <v>42947</v>
      </c>
      <c r="H123" s="155">
        <v>42978</v>
      </c>
      <c r="I123" t="s">
        <v>1591</v>
      </c>
      <c r="J123">
        <v>1647992</v>
      </c>
      <c r="K123" s="18" t="s">
        <v>1592</v>
      </c>
      <c r="L123" t="s">
        <v>594</v>
      </c>
      <c r="M123" t="s">
        <v>595</v>
      </c>
      <c r="N123" t="s">
        <v>492</v>
      </c>
      <c r="O123" t="s">
        <v>372</v>
      </c>
      <c r="P123" t="s">
        <v>1276</v>
      </c>
      <c r="Q123" t="s">
        <v>1277</v>
      </c>
      <c r="R123" t="s">
        <v>1278</v>
      </c>
      <c r="S123" t="s">
        <v>1306</v>
      </c>
      <c r="T123" t="s">
        <v>1307</v>
      </c>
      <c r="U123" t="s">
        <v>1307</v>
      </c>
      <c r="V123" t="s">
        <v>1332</v>
      </c>
      <c r="W123" t="s">
        <v>493</v>
      </c>
      <c r="X123" t="s">
        <v>1282</v>
      </c>
      <c r="Y123" s="154">
        <v>43010</v>
      </c>
      <c r="Z123" s="154">
        <v>43010</v>
      </c>
      <c r="AA123" t="s">
        <v>1294</v>
      </c>
      <c r="AB123" t="s">
        <v>1295</v>
      </c>
      <c r="AC123">
        <v>2.4242248999999999E-3</v>
      </c>
      <c r="AD123" s="16">
        <v>3.0189870000000001E-4</v>
      </c>
      <c r="AE123" s="16">
        <v>7.3549999999999999E-7</v>
      </c>
      <c r="AF123" s="16">
        <v>0</v>
      </c>
      <c r="AG123" s="16">
        <v>0</v>
      </c>
      <c r="AH123" s="16">
        <v>0</v>
      </c>
      <c r="AI123" s="16">
        <v>2.0777999999999998E-6</v>
      </c>
      <c r="AJ123" s="16">
        <v>2.7500000000000001E-7</v>
      </c>
      <c r="AK123" s="16">
        <v>1.8028999999999999E-6</v>
      </c>
      <c r="AL123" s="16">
        <v>-2.1900000000000001E-8</v>
      </c>
      <c r="AM123" s="16">
        <v>4.4600000000000002E-8</v>
      </c>
      <c r="AN123" s="16">
        <v>-1.1572999999999999E-6</v>
      </c>
      <c r="AO123" s="16">
        <v>-1.631E-7</v>
      </c>
      <c r="AP123" s="16">
        <v>0</v>
      </c>
      <c r="AQ123" s="16">
        <v>0</v>
      </c>
      <c r="AR123" s="16">
        <v>0</v>
      </c>
      <c r="AS123" s="16">
        <v>0</v>
      </c>
      <c r="AT123" s="16">
        <v>0</v>
      </c>
      <c r="AU123" s="16">
        <v>0</v>
      </c>
      <c r="AV123" s="16">
        <v>0</v>
      </c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0</v>
      </c>
      <c r="BD123" s="16">
        <v>0</v>
      </c>
      <c r="BE123" s="16">
        <v>0</v>
      </c>
      <c r="BF123" s="16">
        <v>0</v>
      </c>
      <c r="BG123" s="16">
        <v>0</v>
      </c>
      <c r="BH123" s="16">
        <v>0</v>
      </c>
      <c r="BI123" s="16">
        <v>0</v>
      </c>
      <c r="BJ123" s="16">
        <v>2.6917E-5</v>
      </c>
      <c r="BK123" s="16"/>
      <c r="BL123" s="16">
        <v>1647992</v>
      </c>
      <c r="BM123" s="61" t="s">
        <v>1285</v>
      </c>
    </row>
    <row r="124" spans="5:65" x14ac:dyDescent="0.25">
      <c r="E124" s="7">
        <f>COUNTIFS(tblBOneExport[ISIN],tblBOneExport[[#This Row],[ISIN]],tblBOneExport[LEVEL1],"Bonds")</f>
        <v>1</v>
      </c>
      <c r="F124">
        <v>4547</v>
      </c>
      <c r="G124" s="155">
        <v>42947</v>
      </c>
      <c r="H124" s="155">
        <v>42978</v>
      </c>
      <c r="I124" t="s">
        <v>1593</v>
      </c>
      <c r="J124">
        <v>1651017</v>
      </c>
      <c r="K124" s="18" t="s">
        <v>1594</v>
      </c>
      <c r="L124" t="s">
        <v>695</v>
      </c>
      <c r="M124" t="s">
        <v>691</v>
      </c>
      <c r="N124" t="s">
        <v>492</v>
      </c>
      <c r="O124" t="s">
        <v>372</v>
      </c>
      <c r="P124" t="s">
        <v>1276</v>
      </c>
      <c r="Q124" t="s">
        <v>1277</v>
      </c>
      <c r="R124" t="s">
        <v>1322</v>
      </c>
      <c r="S124" t="s">
        <v>1358</v>
      </c>
      <c r="T124" t="s">
        <v>1358</v>
      </c>
      <c r="U124" t="s">
        <v>1358</v>
      </c>
      <c r="V124" t="s">
        <v>1288</v>
      </c>
      <c r="W124" t="s">
        <v>493</v>
      </c>
      <c r="X124" t="s">
        <v>1282</v>
      </c>
      <c r="Y124" s="154">
        <v>49991</v>
      </c>
      <c r="Z124" s="154">
        <v>49991</v>
      </c>
      <c r="AA124" t="s">
        <v>1359</v>
      </c>
      <c r="AB124" t="s">
        <v>1360</v>
      </c>
      <c r="AC124">
        <v>2.7547586000000002E-3</v>
      </c>
      <c r="AD124" s="16">
        <v>2.3702179100000002E-2</v>
      </c>
      <c r="AE124" s="16">
        <v>6.4942800000000004E-5</v>
      </c>
      <c r="AF124" s="16">
        <v>0</v>
      </c>
      <c r="AG124" s="16">
        <v>0</v>
      </c>
      <c r="AH124" s="16">
        <v>0</v>
      </c>
      <c r="AI124" s="16">
        <v>6.1971999999999997E-6</v>
      </c>
      <c r="AJ124" s="16">
        <v>3.7529000000000001E-6</v>
      </c>
      <c r="AK124" s="16">
        <v>2.4443999999999998E-6</v>
      </c>
      <c r="AL124" s="16">
        <v>3.2109300000000001E-5</v>
      </c>
      <c r="AM124" s="16">
        <v>1.0471999999999999E-6</v>
      </c>
      <c r="AN124" s="16">
        <v>2.71905E-5</v>
      </c>
      <c r="AO124" s="16">
        <v>-5.5430000000000003E-7</v>
      </c>
      <c r="AP124" s="16">
        <v>0</v>
      </c>
      <c r="AQ124" s="16">
        <v>0</v>
      </c>
      <c r="AR124" s="16">
        <v>0</v>
      </c>
      <c r="AS124" s="16">
        <v>0</v>
      </c>
      <c r="AT124" s="16">
        <v>0</v>
      </c>
      <c r="AU124" s="16">
        <v>0</v>
      </c>
      <c r="AV124" s="16">
        <v>0</v>
      </c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0</v>
      </c>
      <c r="BD124" s="16">
        <v>0</v>
      </c>
      <c r="BE124" s="16">
        <v>0</v>
      </c>
      <c r="BF124" s="16">
        <v>0</v>
      </c>
      <c r="BG124" s="16">
        <v>0</v>
      </c>
      <c r="BH124" s="16">
        <v>0</v>
      </c>
      <c r="BI124" s="16">
        <v>0</v>
      </c>
      <c r="BJ124" s="16">
        <v>2.6773900000000001E-5</v>
      </c>
      <c r="BK124" s="16"/>
      <c r="BL124" s="16">
        <v>1651017</v>
      </c>
      <c r="BM124" s="61" t="s">
        <v>1285</v>
      </c>
    </row>
    <row r="125" spans="5:65" x14ac:dyDescent="0.25">
      <c r="E125" s="7">
        <f>COUNTIFS(tblBOneExport[ISIN],tblBOneExport[[#This Row],[ISIN]],tblBOneExport[LEVEL1],"Bonds")</f>
        <v>1</v>
      </c>
      <c r="F125">
        <v>4547</v>
      </c>
      <c r="G125" s="155">
        <v>42947</v>
      </c>
      <c r="H125" s="155">
        <v>42978</v>
      </c>
      <c r="I125" t="s">
        <v>1595</v>
      </c>
      <c r="J125">
        <v>1651303</v>
      </c>
      <c r="K125" s="18" t="s">
        <v>1596</v>
      </c>
      <c r="L125" t="s">
        <v>1130</v>
      </c>
      <c r="M125" t="s">
        <v>691</v>
      </c>
      <c r="N125" t="s">
        <v>492</v>
      </c>
      <c r="O125" t="s">
        <v>372</v>
      </c>
      <c r="P125" t="s">
        <v>1276</v>
      </c>
      <c r="Q125" t="s">
        <v>1277</v>
      </c>
      <c r="R125" t="s">
        <v>1322</v>
      </c>
      <c r="S125" t="s">
        <v>1358</v>
      </c>
      <c r="T125" t="s">
        <v>1358</v>
      </c>
      <c r="U125" t="s">
        <v>1358</v>
      </c>
      <c r="V125" t="s">
        <v>1288</v>
      </c>
      <c r="W125" t="s">
        <v>493</v>
      </c>
      <c r="X125" t="s">
        <v>1282</v>
      </c>
      <c r="Y125" s="154">
        <v>48164</v>
      </c>
      <c r="Z125" s="154">
        <v>48164</v>
      </c>
      <c r="AA125" t="s">
        <v>1359</v>
      </c>
      <c r="AB125" t="s">
        <v>1360</v>
      </c>
      <c r="AC125">
        <v>4.9535608000000004E-3</v>
      </c>
      <c r="AD125" s="16">
        <v>2.0688014000000001E-2</v>
      </c>
      <c r="AE125" s="16">
        <v>1.020996E-4</v>
      </c>
      <c r="AF125" s="16">
        <v>0</v>
      </c>
      <c r="AG125" s="16">
        <v>0</v>
      </c>
      <c r="AH125" s="16">
        <v>0</v>
      </c>
      <c r="AI125" s="16">
        <v>1.00227E-5</v>
      </c>
      <c r="AJ125" s="16">
        <v>6.0101000000000003E-6</v>
      </c>
      <c r="AK125" s="16">
        <v>4.0126000000000003E-6</v>
      </c>
      <c r="AL125" s="16">
        <v>9.1088000000000006E-5</v>
      </c>
      <c r="AM125" s="16">
        <v>1.626E-6</v>
      </c>
      <c r="AN125" s="16">
        <v>2.6717000000000002E-6</v>
      </c>
      <c r="AO125" s="16">
        <v>-1.6829E-6</v>
      </c>
      <c r="AP125" s="16">
        <v>0</v>
      </c>
      <c r="AQ125" s="16">
        <v>0</v>
      </c>
      <c r="AR125" s="16">
        <v>0</v>
      </c>
      <c r="AS125" s="16">
        <v>0</v>
      </c>
      <c r="AT125" s="16">
        <v>0</v>
      </c>
      <c r="AU125" s="16">
        <v>0</v>
      </c>
      <c r="AV125" s="16">
        <v>0</v>
      </c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0</v>
      </c>
      <c r="BD125" s="16">
        <v>0</v>
      </c>
      <c r="BE125" s="16">
        <v>0</v>
      </c>
      <c r="BF125" s="16">
        <v>0</v>
      </c>
      <c r="BG125" s="16">
        <v>0</v>
      </c>
      <c r="BH125" s="16">
        <v>0</v>
      </c>
      <c r="BI125" s="16">
        <v>0</v>
      </c>
      <c r="BJ125" s="16">
        <v>4.6989500000000001E-5</v>
      </c>
      <c r="BK125" s="16"/>
      <c r="BL125" s="16">
        <v>1651303</v>
      </c>
      <c r="BM125" s="61" t="s">
        <v>1285</v>
      </c>
    </row>
    <row r="126" spans="5:65" x14ac:dyDescent="0.25">
      <c r="E126" s="7">
        <f>COUNTIFS(tblBOneExport[ISIN],tblBOneExport[[#This Row],[ISIN]],tblBOneExport[LEVEL1],"Bonds")</f>
        <v>1</v>
      </c>
      <c r="F126">
        <v>4547</v>
      </c>
      <c r="G126" s="155">
        <v>42947</v>
      </c>
      <c r="H126" s="155">
        <v>42978</v>
      </c>
      <c r="I126" t="s">
        <v>1597</v>
      </c>
      <c r="J126">
        <v>1651351</v>
      </c>
      <c r="K126" s="18" t="s">
        <v>1598</v>
      </c>
      <c r="L126" t="s">
        <v>832</v>
      </c>
      <c r="M126" t="s">
        <v>828</v>
      </c>
      <c r="N126" t="s">
        <v>492</v>
      </c>
      <c r="O126" t="s">
        <v>372</v>
      </c>
      <c r="P126" t="s">
        <v>1276</v>
      </c>
      <c r="Q126" t="s">
        <v>1277</v>
      </c>
      <c r="R126" t="s">
        <v>1278</v>
      </c>
      <c r="S126" t="s">
        <v>1348</v>
      </c>
      <c r="T126" t="s">
        <v>1349</v>
      </c>
      <c r="U126" t="s">
        <v>1349</v>
      </c>
      <c r="V126" t="s">
        <v>1281</v>
      </c>
      <c r="W126" t="s">
        <v>493</v>
      </c>
      <c r="X126" t="s">
        <v>1282</v>
      </c>
      <c r="Y126" s="154">
        <v>46359</v>
      </c>
      <c r="Z126" s="154">
        <v>46359</v>
      </c>
      <c r="AA126" t="s">
        <v>1541</v>
      </c>
      <c r="AB126" t="s">
        <v>1542</v>
      </c>
      <c r="AC126">
        <v>4.0137254000000002E-3</v>
      </c>
      <c r="AD126" s="16">
        <v>1.4044252300000001E-2</v>
      </c>
      <c r="AE126" s="16">
        <v>5.6422100000000003E-5</v>
      </c>
      <c r="AF126" s="16">
        <v>0</v>
      </c>
      <c r="AG126" s="16">
        <v>0</v>
      </c>
      <c r="AH126" s="16">
        <v>0</v>
      </c>
      <c r="AI126" s="16">
        <v>7.3011999999999997E-6</v>
      </c>
      <c r="AJ126" s="16">
        <v>3.4765000000000001E-6</v>
      </c>
      <c r="AK126" s="16">
        <v>3.8247E-6</v>
      </c>
      <c r="AL126" s="16">
        <v>5.7119E-5</v>
      </c>
      <c r="AM126" s="16">
        <v>2.5465000000000001E-6</v>
      </c>
      <c r="AN126" s="16">
        <v>-7.5398000000000002E-6</v>
      </c>
      <c r="AO126" s="16">
        <v>-4.5830000000000002E-7</v>
      </c>
      <c r="AP126" s="16">
        <v>0</v>
      </c>
      <c r="AQ126" s="16">
        <v>0</v>
      </c>
      <c r="AR126" s="16">
        <v>0</v>
      </c>
      <c r="AS126" s="16">
        <v>0</v>
      </c>
      <c r="AT126" s="16">
        <v>0</v>
      </c>
      <c r="AU126" s="16">
        <v>0</v>
      </c>
      <c r="AV126" s="16">
        <v>0</v>
      </c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0</v>
      </c>
      <c r="BD126" s="16">
        <v>0</v>
      </c>
      <c r="BE126" s="16">
        <v>0</v>
      </c>
      <c r="BF126" s="16">
        <v>0</v>
      </c>
      <c r="BG126" s="16">
        <v>0</v>
      </c>
      <c r="BH126" s="16">
        <v>0</v>
      </c>
      <c r="BI126" s="16">
        <v>0</v>
      </c>
      <c r="BJ126" s="16">
        <v>4.53852E-5</v>
      </c>
      <c r="BK126" s="16"/>
      <c r="BL126" s="16">
        <v>1651351</v>
      </c>
      <c r="BM126" s="61" t="s">
        <v>1285</v>
      </c>
    </row>
    <row r="127" spans="5:65" x14ac:dyDescent="0.25">
      <c r="E127" s="7">
        <f>COUNTIFS(tblBOneExport[ISIN],tblBOneExport[[#This Row],[ISIN]],tblBOneExport[LEVEL1],"Bonds")</f>
        <v>1</v>
      </c>
      <c r="F127">
        <v>4547</v>
      </c>
      <c r="G127" s="155">
        <v>42947</v>
      </c>
      <c r="H127" s="155">
        <v>42978</v>
      </c>
      <c r="I127" t="s">
        <v>1599</v>
      </c>
      <c r="J127">
        <v>1647911</v>
      </c>
      <c r="K127" s="18" t="s">
        <v>1600</v>
      </c>
      <c r="L127" t="s">
        <v>946</v>
      </c>
      <c r="M127" t="s">
        <v>947</v>
      </c>
      <c r="N127" t="s">
        <v>492</v>
      </c>
      <c r="O127" t="s">
        <v>372</v>
      </c>
      <c r="P127" t="s">
        <v>1276</v>
      </c>
      <c r="Q127" t="s">
        <v>1277</v>
      </c>
      <c r="R127" t="s">
        <v>1278</v>
      </c>
      <c r="S127" t="s">
        <v>1306</v>
      </c>
      <c r="T127" t="s">
        <v>1349</v>
      </c>
      <c r="U127" t="s">
        <v>1349</v>
      </c>
      <c r="V127" t="s">
        <v>1293</v>
      </c>
      <c r="W127" t="s">
        <v>493</v>
      </c>
      <c r="X127" t="s">
        <v>1282</v>
      </c>
      <c r="Y127" s="154">
        <v>44740</v>
      </c>
      <c r="Z127" s="154">
        <v>44740</v>
      </c>
      <c r="AA127" t="s">
        <v>1359</v>
      </c>
      <c r="AB127" t="s">
        <v>1360</v>
      </c>
      <c r="AC127">
        <v>5.6055658999999997E-3</v>
      </c>
      <c r="AD127" s="16">
        <v>6.5503532999999997E-3</v>
      </c>
      <c r="AE127" s="16">
        <v>3.6924400000000002E-5</v>
      </c>
      <c r="AF127" s="16">
        <v>0</v>
      </c>
      <c r="AG127" s="16">
        <v>0</v>
      </c>
      <c r="AH127" s="16">
        <v>0</v>
      </c>
      <c r="AI127" s="16">
        <v>5.0727999999999999E-6</v>
      </c>
      <c r="AJ127" s="16">
        <v>2.2520000000000002E-6</v>
      </c>
      <c r="AK127" s="16">
        <v>2.8209E-6</v>
      </c>
      <c r="AL127" s="16">
        <v>3.9983800000000002E-5</v>
      </c>
      <c r="AM127" s="16">
        <v>3.9689999999999996E-6</v>
      </c>
      <c r="AN127" s="16">
        <v>-9.4236999999999992E-6</v>
      </c>
      <c r="AO127" s="16">
        <v>1.2915E-6</v>
      </c>
      <c r="AP127" s="16">
        <v>0</v>
      </c>
      <c r="AQ127" s="16">
        <v>0</v>
      </c>
      <c r="AR127" s="16">
        <v>0</v>
      </c>
      <c r="AS127" s="16">
        <v>0</v>
      </c>
      <c r="AT127" s="16">
        <v>0</v>
      </c>
      <c r="AU127" s="16">
        <v>0</v>
      </c>
      <c r="AV127" s="16">
        <v>0</v>
      </c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0</v>
      </c>
      <c r="BD127" s="16">
        <v>0</v>
      </c>
      <c r="BE127" s="16">
        <v>0</v>
      </c>
      <c r="BF127" s="16">
        <v>0</v>
      </c>
      <c r="BG127" s="16">
        <v>0</v>
      </c>
      <c r="BH127" s="16">
        <v>0</v>
      </c>
      <c r="BI127" s="16">
        <v>0</v>
      </c>
      <c r="BJ127" s="16">
        <v>3.4045799999999999E-5</v>
      </c>
      <c r="BK127" s="16"/>
      <c r="BL127" s="16">
        <v>1647911</v>
      </c>
      <c r="BM127" s="61" t="s">
        <v>1285</v>
      </c>
    </row>
    <row r="128" spans="5:65" x14ac:dyDescent="0.25">
      <c r="E128" s="7">
        <f>COUNTIFS(tblBOneExport[ISIN],tblBOneExport[[#This Row],[ISIN]],tblBOneExport[LEVEL1],"Bonds")</f>
        <v>1</v>
      </c>
      <c r="F128">
        <v>4547</v>
      </c>
      <c r="G128" s="155">
        <v>42947</v>
      </c>
      <c r="H128" s="155">
        <v>42978</v>
      </c>
      <c r="I128" t="s">
        <v>1601</v>
      </c>
      <c r="J128">
        <v>1640435</v>
      </c>
      <c r="K128" s="18" t="s">
        <v>1602</v>
      </c>
      <c r="L128" t="s">
        <v>724</v>
      </c>
      <c r="M128" t="s">
        <v>725</v>
      </c>
      <c r="N128" t="s">
        <v>492</v>
      </c>
      <c r="O128" t="s">
        <v>372</v>
      </c>
      <c r="P128" t="s">
        <v>1276</v>
      </c>
      <c r="Q128" t="s">
        <v>1330</v>
      </c>
      <c r="R128" t="s">
        <v>1331</v>
      </c>
      <c r="S128" t="s">
        <v>1331</v>
      </c>
      <c r="T128" t="s">
        <v>1331</v>
      </c>
      <c r="U128" t="s">
        <v>1331</v>
      </c>
      <c r="V128" t="s">
        <v>1332</v>
      </c>
      <c r="W128" t="s">
        <v>493</v>
      </c>
      <c r="X128" t="s">
        <v>1282</v>
      </c>
      <c r="Y128" s="154">
        <v>43895</v>
      </c>
      <c r="Z128" s="154">
        <v>43895</v>
      </c>
      <c r="AA128" t="s">
        <v>1603</v>
      </c>
      <c r="AB128" t="s">
        <v>1604</v>
      </c>
      <c r="AC128">
        <v>7.8879212000000001E-3</v>
      </c>
      <c r="AD128" s="16">
        <v>2.813851E-3</v>
      </c>
      <c r="AE128" s="16">
        <v>2.2356400000000002E-5</v>
      </c>
      <c r="AF128" s="16">
        <v>0</v>
      </c>
      <c r="AG128" s="16">
        <v>0</v>
      </c>
      <c r="AH128" s="16">
        <v>0</v>
      </c>
      <c r="AI128" s="16">
        <v>7.6274E-6</v>
      </c>
      <c r="AJ128" s="16">
        <v>1.5456000000000001E-6</v>
      </c>
      <c r="AK128" s="16">
        <v>6.0817999999999999E-6</v>
      </c>
      <c r="AL128" s="16">
        <v>2.0413900000000001E-5</v>
      </c>
      <c r="AM128" s="16">
        <v>5.3320000000000004E-7</v>
      </c>
      <c r="AN128" s="16">
        <v>-4.459E-6</v>
      </c>
      <c r="AO128" s="16">
        <v>-1.226E-6</v>
      </c>
      <c r="AP128" s="16">
        <v>0</v>
      </c>
      <c r="AQ128" s="16">
        <v>0</v>
      </c>
      <c r="AR128" s="16">
        <v>0</v>
      </c>
      <c r="AS128" s="16">
        <v>0</v>
      </c>
      <c r="AT128" s="16">
        <v>0</v>
      </c>
      <c r="AU128" s="16">
        <v>0</v>
      </c>
      <c r="AV128" s="16">
        <v>0</v>
      </c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0</v>
      </c>
      <c r="BD128" s="16">
        <v>0</v>
      </c>
      <c r="BE128" s="16">
        <v>0</v>
      </c>
      <c r="BF128" s="16">
        <v>0</v>
      </c>
      <c r="BG128" s="16">
        <v>0</v>
      </c>
      <c r="BH128" s="16">
        <v>0</v>
      </c>
      <c r="BI128" s="16">
        <v>0</v>
      </c>
      <c r="BJ128" s="16">
        <v>7.0990100000000003E-5</v>
      </c>
      <c r="BK128" s="16"/>
      <c r="BL128" s="16">
        <v>1640435</v>
      </c>
      <c r="BM128" s="61" t="s">
        <v>1285</v>
      </c>
    </row>
    <row r="129" spans="5:65" x14ac:dyDescent="0.25">
      <c r="E129" s="7">
        <f>COUNTIFS(tblBOneExport[ISIN],tblBOneExport[[#This Row],[ISIN]],tblBOneExport[LEVEL1],"Bonds")</f>
        <v>1</v>
      </c>
      <c r="F129">
        <v>4547</v>
      </c>
      <c r="G129" s="155">
        <v>42947</v>
      </c>
      <c r="H129" s="155">
        <v>42978</v>
      </c>
      <c r="I129" t="s">
        <v>1605</v>
      </c>
      <c r="J129">
        <v>1651060</v>
      </c>
      <c r="K129" s="18" t="s">
        <v>1606</v>
      </c>
      <c r="L129" t="s">
        <v>805</v>
      </c>
      <c r="M129" t="s">
        <v>806</v>
      </c>
      <c r="N129" t="s">
        <v>492</v>
      </c>
      <c r="O129" t="s">
        <v>372</v>
      </c>
      <c r="P129" t="s">
        <v>1276</v>
      </c>
      <c r="Q129" t="s">
        <v>1277</v>
      </c>
      <c r="R129" t="s">
        <v>1278</v>
      </c>
      <c r="S129" t="s">
        <v>1348</v>
      </c>
      <c r="T129" t="s">
        <v>1349</v>
      </c>
      <c r="U129" t="s">
        <v>1349</v>
      </c>
      <c r="V129" t="s">
        <v>1288</v>
      </c>
      <c r="W129" t="s">
        <v>493</v>
      </c>
      <c r="X129" t="s">
        <v>1282</v>
      </c>
      <c r="Y129" s="154">
        <v>43007</v>
      </c>
      <c r="Z129" s="154">
        <v>43007</v>
      </c>
      <c r="AA129" t="s">
        <v>1359</v>
      </c>
      <c r="AB129" t="s">
        <v>1360</v>
      </c>
      <c r="AC129">
        <v>2.6099063E-3</v>
      </c>
      <c r="AD129" s="16">
        <v>4.515597E-4</v>
      </c>
      <c r="AE129" s="16">
        <v>1.1843E-6</v>
      </c>
      <c r="AF129" s="16">
        <v>0</v>
      </c>
      <c r="AG129" s="16">
        <v>0</v>
      </c>
      <c r="AH129" s="16">
        <v>0</v>
      </c>
      <c r="AI129" s="16">
        <v>2.7688999999999999E-6</v>
      </c>
      <c r="AJ129" s="16">
        <v>2.9540000000000001E-7</v>
      </c>
      <c r="AK129" s="16">
        <v>2.4735000000000001E-6</v>
      </c>
      <c r="AL129" s="16">
        <v>-2.6259999999999998E-7</v>
      </c>
      <c r="AM129" s="16">
        <v>4.43E-8</v>
      </c>
      <c r="AN129" s="16">
        <v>-1.5053E-6</v>
      </c>
      <c r="AO129" s="16">
        <v>1.832E-7</v>
      </c>
      <c r="AP129" s="16">
        <v>0</v>
      </c>
      <c r="AQ129" s="16">
        <v>0</v>
      </c>
      <c r="AR129" s="16">
        <v>0</v>
      </c>
      <c r="AS129" s="16">
        <v>0</v>
      </c>
      <c r="AT129" s="16">
        <v>0</v>
      </c>
      <c r="AU129" s="16">
        <v>0</v>
      </c>
      <c r="AV129" s="16">
        <v>0</v>
      </c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0</v>
      </c>
      <c r="BD129" s="16">
        <v>0</v>
      </c>
      <c r="BE129" s="16">
        <v>0</v>
      </c>
      <c r="BF129" s="16">
        <v>0</v>
      </c>
      <c r="BG129" s="16">
        <v>0</v>
      </c>
      <c r="BH129" s="16">
        <v>0</v>
      </c>
      <c r="BI129" s="16">
        <v>0</v>
      </c>
      <c r="BJ129" s="16">
        <v>3.7919100000000001E-5</v>
      </c>
      <c r="BK129" s="16"/>
      <c r="BL129" s="16">
        <v>1651060</v>
      </c>
      <c r="BM129" s="61" t="s">
        <v>1285</v>
      </c>
    </row>
    <row r="130" spans="5:65" x14ac:dyDescent="0.25">
      <c r="E130" s="7">
        <f>COUNTIFS(tblBOneExport[ISIN],tblBOneExport[[#This Row],[ISIN]],tblBOneExport[LEVEL1],"Bonds")</f>
        <v>1</v>
      </c>
      <c r="F130">
        <v>4547</v>
      </c>
      <c r="G130" s="155">
        <v>42947</v>
      </c>
      <c r="H130" s="155">
        <v>42978</v>
      </c>
      <c r="I130" t="s">
        <v>1607</v>
      </c>
      <c r="J130">
        <v>1651573</v>
      </c>
      <c r="K130" s="18" t="s">
        <v>1608</v>
      </c>
      <c r="L130" t="s">
        <v>1251</v>
      </c>
      <c r="M130" t="s">
        <v>1247</v>
      </c>
      <c r="N130" t="s">
        <v>492</v>
      </c>
      <c r="O130" t="s">
        <v>372</v>
      </c>
      <c r="P130" t="s">
        <v>1276</v>
      </c>
      <c r="Q130" t="s">
        <v>1277</v>
      </c>
      <c r="R130" t="s">
        <v>1322</v>
      </c>
      <c r="S130" t="s">
        <v>1326</v>
      </c>
      <c r="T130" t="s">
        <v>1326</v>
      </c>
      <c r="U130" t="s">
        <v>1326</v>
      </c>
      <c r="V130" t="s">
        <v>1332</v>
      </c>
      <c r="W130" t="s">
        <v>493</v>
      </c>
      <c r="X130" t="s">
        <v>1282</v>
      </c>
      <c r="Y130" s="154">
        <v>47571</v>
      </c>
      <c r="Z130" s="154">
        <v>47571</v>
      </c>
      <c r="AA130" t="s">
        <v>1359</v>
      </c>
      <c r="AB130" t="s">
        <v>1360</v>
      </c>
      <c r="AC130">
        <v>6.6623319000000004E-3</v>
      </c>
      <c r="AD130" s="16">
        <v>2.0279042300000001E-2</v>
      </c>
      <c r="AE130" s="16">
        <v>1.3463559999999999E-4</v>
      </c>
      <c r="AF130" s="16">
        <v>0</v>
      </c>
      <c r="AG130" s="16">
        <v>0</v>
      </c>
      <c r="AH130" s="16">
        <v>0</v>
      </c>
      <c r="AI130" s="16">
        <v>1.2675400000000001E-5</v>
      </c>
      <c r="AJ130" s="16">
        <v>7.7443999999999999E-6</v>
      </c>
      <c r="AK130" s="16">
        <v>4.9309999999999999E-6</v>
      </c>
      <c r="AL130" s="16">
        <v>1.202235E-4</v>
      </c>
      <c r="AM130" s="16">
        <v>2.0659E-6</v>
      </c>
      <c r="AN130" s="16">
        <v>-9.0400000000000002E-8</v>
      </c>
      <c r="AO130" s="16">
        <v>1.8271E-6</v>
      </c>
      <c r="AP130" s="16">
        <v>0</v>
      </c>
      <c r="AQ130" s="16">
        <v>0</v>
      </c>
      <c r="AR130" s="16">
        <v>0</v>
      </c>
      <c r="AS130" s="16">
        <v>0</v>
      </c>
      <c r="AT130" s="16">
        <v>0</v>
      </c>
      <c r="AU130" s="16">
        <v>0</v>
      </c>
      <c r="AV130" s="16">
        <v>0</v>
      </c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0</v>
      </c>
      <c r="BD130" s="16">
        <v>0</v>
      </c>
      <c r="BE130" s="16">
        <v>0</v>
      </c>
      <c r="BF130" s="16">
        <v>0</v>
      </c>
      <c r="BG130" s="16">
        <v>0</v>
      </c>
      <c r="BH130" s="16">
        <v>0</v>
      </c>
      <c r="BI130" s="16">
        <v>0</v>
      </c>
      <c r="BJ130" s="16">
        <v>5.8512199999999999E-5</v>
      </c>
      <c r="BK130" s="16"/>
      <c r="BL130" s="16">
        <v>1651573</v>
      </c>
      <c r="BM130" s="61" t="s">
        <v>1285</v>
      </c>
    </row>
    <row r="131" spans="5:65" x14ac:dyDescent="0.25">
      <c r="E131" s="7">
        <f>COUNTIFS(tblBOneExport[ISIN],tblBOneExport[[#This Row],[ISIN]],tblBOneExport[LEVEL1],"Bonds")</f>
        <v>1</v>
      </c>
      <c r="F131">
        <v>4547</v>
      </c>
      <c r="G131" s="155">
        <v>42947</v>
      </c>
      <c r="H131" s="155">
        <v>42978</v>
      </c>
      <c r="I131" t="s">
        <v>1609</v>
      </c>
      <c r="J131">
        <v>1647752</v>
      </c>
      <c r="K131" s="18" t="s">
        <v>1610</v>
      </c>
      <c r="L131" t="s">
        <v>668</v>
      </c>
      <c r="M131" t="s">
        <v>669</v>
      </c>
      <c r="N131" t="s">
        <v>492</v>
      </c>
      <c r="O131" t="s">
        <v>372</v>
      </c>
      <c r="P131" t="s">
        <v>1276</v>
      </c>
      <c r="Q131" t="s">
        <v>1330</v>
      </c>
      <c r="R131" t="s">
        <v>1331</v>
      </c>
      <c r="S131" t="s">
        <v>1331</v>
      </c>
      <c r="T131" t="s">
        <v>1331</v>
      </c>
      <c r="U131" t="s">
        <v>1331</v>
      </c>
      <c r="V131" t="s">
        <v>1315</v>
      </c>
      <c r="W131" t="s">
        <v>493</v>
      </c>
      <c r="X131" t="s">
        <v>1282</v>
      </c>
      <c r="Y131" s="154">
        <v>51235</v>
      </c>
      <c r="Z131" s="154">
        <v>51235</v>
      </c>
      <c r="AA131" t="s">
        <v>1611</v>
      </c>
      <c r="AB131" t="s">
        <v>1612</v>
      </c>
      <c r="AC131">
        <v>6.5089270000000005E-4</v>
      </c>
      <c r="AD131" s="16">
        <v>2.1362973699999999E-2</v>
      </c>
      <c r="AE131" s="16">
        <v>1.38471E-5</v>
      </c>
      <c r="AF131" s="16">
        <v>0</v>
      </c>
      <c r="AG131" s="16">
        <v>0</v>
      </c>
      <c r="AH131" s="16">
        <v>0</v>
      </c>
      <c r="AI131" s="16">
        <v>1.5871E-6</v>
      </c>
      <c r="AJ131" s="16">
        <v>9.3190000000000003E-7</v>
      </c>
      <c r="AK131" s="16">
        <v>6.5519999999999999E-7</v>
      </c>
      <c r="AL131" s="16">
        <v>1.15624E-5</v>
      </c>
      <c r="AM131" s="16">
        <v>1.761E-7</v>
      </c>
      <c r="AN131" s="16">
        <v>7.0480000000000001E-7</v>
      </c>
      <c r="AO131" s="16">
        <v>-7.2E-9</v>
      </c>
      <c r="AP131" s="16">
        <v>0</v>
      </c>
      <c r="AQ131" s="16">
        <v>0</v>
      </c>
      <c r="AR131" s="16">
        <v>0</v>
      </c>
      <c r="AS131" s="16">
        <v>0</v>
      </c>
      <c r="AT131" s="16">
        <v>0</v>
      </c>
      <c r="AU131" s="16">
        <v>0</v>
      </c>
      <c r="AV131" s="16">
        <v>0</v>
      </c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0</v>
      </c>
      <c r="BD131" s="16">
        <v>0</v>
      </c>
      <c r="BE131" s="16">
        <v>0</v>
      </c>
      <c r="BF131" s="16">
        <v>0</v>
      </c>
      <c r="BG131" s="16">
        <v>0</v>
      </c>
      <c r="BH131" s="16">
        <v>0</v>
      </c>
      <c r="BI131" s="16">
        <v>0</v>
      </c>
      <c r="BJ131" s="16">
        <v>7.5453000000000004E-6</v>
      </c>
      <c r="BK131" s="16"/>
      <c r="BL131" s="16">
        <v>1647752</v>
      </c>
      <c r="BM131" s="61" t="s">
        <v>1285</v>
      </c>
    </row>
    <row r="132" spans="5:65" x14ac:dyDescent="0.25">
      <c r="E132" s="7">
        <f>COUNTIFS(tblBOneExport[ISIN],tblBOneExport[[#This Row],[ISIN]],tblBOneExport[LEVEL1],"Bonds")</f>
        <v>1</v>
      </c>
      <c r="F132">
        <v>4547</v>
      </c>
      <c r="G132" s="155">
        <v>42947</v>
      </c>
      <c r="H132" s="155">
        <v>42978</v>
      </c>
      <c r="I132" t="s">
        <v>1613</v>
      </c>
      <c r="J132">
        <v>1648180</v>
      </c>
      <c r="K132" s="18" t="s">
        <v>1614</v>
      </c>
      <c r="L132" t="s">
        <v>1045</v>
      </c>
      <c r="M132" t="s">
        <v>1043</v>
      </c>
      <c r="N132" t="s">
        <v>492</v>
      </c>
      <c r="O132" t="s">
        <v>372</v>
      </c>
      <c r="P132" t="s">
        <v>1276</v>
      </c>
      <c r="Q132" t="s">
        <v>1277</v>
      </c>
      <c r="R132" t="s">
        <v>1278</v>
      </c>
      <c r="S132" t="s">
        <v>1348</v>
      </c>
      <c r="T132" t="s">
        <v>1615</v>
      </c>
      <c r="U132" t="s">
        <v>1615</v>
      </c>
      <c r="V132" t="s">
        <v>1288</v>
      </c>
      <c r="W132" t="s">
        <v>493</v>
      </c>
      <c r="X132" t="s">
        <v>1282</v>
      </c>
      <c r="Y132" s="154">
        <v>44124</v>
      </c>
      <c r="Z132" s="154">
        <v>44124</v>
      </c>
      <c r="AA132" t="s">
        <v>1541</v>
      </c>
      <c r="AB132" t="s">
        <v>1542</v>
      </c>
      <c r="AC132">
        <v>1.7754044999999999E-3</v>
      </c>
      <c r="AD132" s="16">
        <v>4.6369302999999997E-3</v>
      </c>
      <c r="AE132" s="16">
        <v>8.2851999999999999E-6</v>
      </c>
      <c r="AF132" s="16">
        <v>0</v>
      </c>
      <c r="AG132" s="16">
        <v>0</v>
      </c>
      <c r="AH132" s="16">
        <v>0</v>
      </c>
      <c r="AI132" s="16">
        <v>2.0727000000000001E-6</v>
      </c>
      <c r="AJ132" s="16">
        <v>3.8659999999999998E-7</v>
      </c>
      <c r="AK132" s="16">
        <v>1.6861E-6</v>
      </c>
      <c r="AL132" s="16">
        <v>6.2469999999999997E-6</v>
      </c>
      <c r="AM132" s="16">
        <v>2.6839999999999999E-7</v>
      </c>
      <c r="AN132" s="16">
        <v>1.9399999999999999E-7</v>
      </c>
      <c r="AO132" s="16">
        <v>-2.2849999999999999E-7</v>
      </c>
      <c r="AP132" s="16">
        <v>0</v>
      </c>
      <c r="AQ132" s="16">
        <v>0</v>
      </c>
      <c r="AR132" s="16">
        <v>0</v>
      </c>
      <c r="AS132" s="16">
        <v>0</v>
      </c>
      <c r="AT132" s="16">
        <v>0</v>
      </c>
      <c r="AU132" s="16">
        <v>0</v>
      </c>
      <c r="AV132" s="16">
        <v>0</v>
      </c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0</v>
      </c>
      <c r="BD132" s="16">
        <v>0</v>
      </c>
      <c r="BE132" s="16">
        <v>0</v>
      </c>
      <c r="BF132" s="16">
        <v>0</v>
      </c>
      <c r="BG132" s="16">
        <v>0</v>
      </c>
      <c r="BH132" s="16">
        <v>0</v>
      </c>
      <c r="BI132" s="16">
        <v>0</v>
      </c>
      <c r="BJ132" s="16">
        <v>1.96113E-5</v>
      </c>
      <c r="BK132" s="16"/>
      <c r="BL132" s="16">
        <v>1648180</v>
      </c>
      <c r="BM132" s="61" t="s">
        <v>1285</v>
      </c>
    </row>
    <row r="133" spans="5:65" x14ac:dyDescent="0.25">
      <c r="E133" s="7">
        <f>COUNTIFS(tblBOneExport[ISIN],tblBOneExport[[#This Row],[ISIN]],tblBOneExport[LEVEL1],"Bonds")</f>
        <v>1</v>
      </c>
      <c r="F133">
        <v>4547</v>
      </c>
      <c r="G133" s="155">
        <v>42947</v>
      </c>
      <c r="H133" s="155">
        <v>42978</v>
      </c>
      <c r="I133" t="s">
        <v>1616</v>
      </c>
      <c r="J133">
        <v>1648286</v>
      </c>
      <c r="K133" s="18" t="s">
        <v>1617</v>
      </c>
      <c r="L133" t="s">
        <v>520</v>
      </c>
      <c r="M133" t="s">
        <v>518</v>
      </c>
      <c r="N133" t="s">
        <v>492</v>
      </c>
      <c r="O133" t="s">
        <v>372</v>
      </c>
      <c r="P133" t="s">
        <v>1276</v>
      </c>
      <c r="Q133" t="s">
        <v>1277</v>
      </c>
      <c r="R133" t="s">
        <v>1278</v>
      </c>
      <c r="S133" t="s">
        <v>1312</v>
      </c>
      <c r="T133" t="s">
        <v>1313</v>
      </c>
      <c r="U133" t="s">
        <v>1618</v>
      </c>
      <c r="V133" t="s">
        <v>1281</v>
      </c>
      <c r="W133" t="s">
        <v>493</v>
      </c>
      <c r="X133" t="s">
        <v>1282</v>
      </c>
      <c r="Y133" s="154">
        <v>47662</v>
      </c>
      <c r="Z133" s="154">
        <v>47662</v>
      </c>
      <c r="AA133" t="s">
        <v>1619</v>
      </c>
      <c r="AB133" t="s">
        <v>1620</v>
      </c>
      <c r="AC133">
        <v>3.7886832999999998E-3</v>
      </c>
      <c r="AD133" s="16">
        <v>2.4051966300000002E-2</v>
      </c>
      <c r="AE133" s="16">
        <v>9.0649900000000001E-5</v>
      </c>
      <c r="AF133" s="16">
        <v>0</v>
      </c>
      <c r="AG133" s="16">
        <v>0</v>
      </c>
      <c r="AH133" s="16">
        <v>0</v>
      </c>
      <c r="AI133" s="16">
        <v>9.3507000000000001E-6</v>
      </c>
      <c r="AJ133" s="16">
        <v>4.4043000000000003E-6</v>
      </c>
      <c r="AK133" s="16">
        <v>4.9465E-6</v>
      </c>
      <c r="AL133" s="16">
        <v>6.8486799999999996E-5</v>
      </c>
      <c r="AM133" s="16">
        <v>1.1838E-6</v>
      </c>
      <c r="AN133" s="16">
        <v>1.5392699999999999E-5</v>
      </c>
      <c r="AO133" s="16">
        <v>-2.5801999999999999E-6</v>
      </c>
      <c r="AP133" s="16">
        <v>0</v>
      </c>
      <c r="AQ133" s="16">
        <v>0</v>
      </c>
      <c r="AR133" s="16">
        <v>0</v>
      </c>
      <c r="AS133" s="16">
        <v>0</v>
      </c>
      <c r="AT133" s="16">
        <v>0</v>
      </c>
      <c r="AU133" s="16">
        <v>0</v>
      </c>
      <c r="AV133" s="16">
        <v>0</v>
      </c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0</v>
      </c>
      <c r="BD133" s="16">
        <v>0</v>
      </c>
      <c r="BE133" s="16">
        <v>0</v>
      </c>
      <c r="BF133" s="16">
        <v>0</v>
      </c>
      <c r="BG133" s="16">
        <v>0</v>
      </c>
      <c r="BH133" s="16">
        <v>0</v>
      </c>
      <c r="BI133" s="16">
        <v>0</v>
      </c>
      <c r="BJ133" s="16">
        <v>5.7402199999999997E-5</v>
      </c>
      <c r="BK133" s="16"/>
      <c r="BL133" s="16">
        <v>1648286</v>
      </c>
      <c r="BM133" s="61" t="s">
        <v>1285</v>
      </c>
    </row>
    <row r="134" spans="5:65" x14ac:dyDescent="0.25">
      <c r="E134" s="7">
        <f>COUNTIFS(tblBOneExport[ISIN],tblBOneExport[[#This Row],[ISIN]],tblBOneExport[LEVEL1],"Bonds")</f>
        <v>1</v>
      </c>
      <c r="F134">
        <v>4547</v>
      </c>
      <c r="G134" s="155">
        <v>42947</v>
      </c>
      <c r="H134" s="155">
        <v>42978</v>
      </c>
      <c r="I134" t="s">
        <v>1621</v>
      </c>
      <c r="J134">
        <v>1651270</v>
      </c>
      <c r="K134" s="18" t="s">
        <v>1622</v>
      </c>
      <c r="L134" t="s">
        <v>811</v>
      </c>
      <c r="M134" t="s">
        <v>812</v>
      </c>
      <c r="N134" t="s">
        <v>492</v>
      </c>
      <c r="O134" t="s">
        <v>372</v>
      </c>
      <c r="P134" t="s">
        <v>1276</v>
      </c>
      <c r="Q134" t="s">
        <v>1277</v>
      </c>
      <c r="R134" t="s">
        <v>1278</v>
      </c>
      <c r="S134" t="s">
        <v>1348</v>
      </c>
      <c r="T134" t="s">
        <v>1615</v>
      </c>
      <c r="U134" t="s">
        <v>1615</v>
      </c>
      <c r="V134" t="s">
        <v>1288</v>
      </c>
      <c r="W134" t="s">
        <v>493</v>
      </c>
      <c r="X134" t="s">
        <v>1282</v>
      </c>
      <c r="Y134" s="154">
        <v>46221</v>
      </c>
      <c r="Z134" s="154">
        <v>49517</v>
      </c>
      <c r="AA134" t="s">
        <v>1359</v>
      </c>
      <c r="AB134" t="s">
        <v>1360</v>
      </c>
      <c r="AC134">
        <v>6.3419306999999998E-3</v>
      </c>
      <c r="AD134" s="16">
        <v>1.18066465E-2</v>
      </c>
      <c r="AE134" s="16">
        <v>7.5045700000000006E-5</v>
      </c>
      <c r="AF134" s="16">
        <v>0</v>
      </c>
      <c r="AG134" s="16">
        <v>0</v>
      </c>
      <c r="AH134" s="16">
        <v>0</v>
      </c>
      <c r="AI134" s="16">
        <v>1.39428E-5</v>
      </c>
      <c r="AJ134" s="16">
        <v>8.3966000000000002E-6</v>
      </c>
      <c r="AK134" s="16">
        <v>5.5462000000000004E-6</v>
      </c>
      <c r="AL134" s="16">
        <v>5.4561000000000002E-5</v>
      </c>
      <c r="AM134" s="16">
        <v>1.3762000000000001E-6</v>
      </c>
      <c r="AN134" s="16">
        <v>5.1829E-6</v>
      </c>
      <c r="AO134" s="16">
        <v>1.3591E-6</v>
      </c>
      <c r="AP134" s="16">
        <v>0</v>
      </c>
      <c r="AQ134" s="16">
        <v>0</v>
      </c>
      <c r="AR134" s="16">
        <v>0</v>
      </c>
      <c r="AS134" s="16">
        <v>0</v>
      </c>
      <c r="AT134" s="16">
        <v>0</v>
      </c>
      <c r="AU134" s="16">
        <v>0</v>
      </c>
      <c r="AV134" s="16">
        <v>0</v>
      </c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0</v>
      </c>
      <c r="BD134" s="16">
        <v>0</v>
      </c>
      <c r="BE134" s="16">
        <v>0</v>
      </c>
      <c r="BF134" s="16">
        <v>0</v>
      </c>
      <c r="BG134" s="16">
        <v>0</v>
      </c>
      <c r="BH134" s="16">
        <v>0</v>
      </c>
      <c r="BI134" s="16">
        <v>0</v>
      </c>
      <c r="BJ134" s="16">
        <v>6.4290500000000004E-5</v>
      </c>
      <c r="BK134" s="16"/>
      <c r="BL134" s="16">
        <v>1651270</v>
      </c>
      <c r="BM134" s="61" t="s">
        <v>1285</v>
      </c>
    </row>
    <row r="135" spans="5:65" x14ac:dyDescent="0.25">
      <c r="E135" s="7">
        <f>COUNTIFS(tblBOneExport[ISIN],tblBOneExport[[#This Row],[ISIN]],tblBOneExport[LEVEL1],"Bonds")</f>
        <v>1</v>
      </c>
      <c r="F135">
        <v>4547</v>
      </c>
      <c r="G135" s="155">
        <v>42947</v>
      </c>
      <c r="H135" s="155">
        <v>42978</v>
      </c>
      <c r="I135" t="s">
        <v>1623</v>
      </c>
      <c r="J135">
        <v>1651269</v>
      </c>
      <c r="K135" s="18" t="s">
        <v>1624</v>
      </c>
      <c r="L135" t="s">
        <v>814</v>
      </c>
      <c r="M135" t="s">
        <v>812</v>
      </c>
      <c r="N135" t="s">
        <v>492</v>
      </c>
      <c r="O135" t="s">
        <v>372</v>
      </c>
      <c r="P135" t="s">
        <v>1276</v>
      </c>
      <c r="Q135" t="s">
        <v>1277</v>
      </c>
      <c r="R135" t="s">
        <v>1278</v>
      </c>
      <c r="S135" t="s">
        <v>1348</v>
      </c>
      <c r="T135" t="s">
        <v>1615</v>
      </c>
      <c r="U135" t="s">
        <v>1615</v>
      </c>
      <c r="V135" t="s">
        <v>1288</v>
      </c>
      <c r="W135" t="s">
        <v>493</v>
      </c>
      <c r="X135" t="s">
        <v>1282</v>
      </c>
      <c r="Y135" s="154">
        <v>44039</v>
      </c>
      <c r="Z135" s="154">
        <v>44039</v>
      </c>
      <c r="AA135" t="s">
        <v>1359</v>
      </c>
      <c r="AB135" t="s">
        <v>1360</v>
      </c>
      <c r="AC135">
        <v>9.4971020000000005E-4</v>
      </c>
      <c r="AD135" s="16">
        <v>4.5646124999999997E-3</v>
      </c>
      <c r="AE135" s="16">
        <v>4.3588999999999999E-6</v>
      </c>
      <c r="AF135" s="16">
        <v>0</v>
      </c>
      <c r="AG135" s="16">
        <v>0</v>
      </c>
      <c r="AH135" s="16">
        <v>0</v>
      </c>
      <c r="AI135" s="16">
        <v>1.1275E-6</v>
      </c>
      <c r="AJ135" s="16">
        <v>1.962E-7</v>
      </c>
      <c r="AK135" s="16">
        <v>9.3129999999999998E-7</v>
      </c>
      <c r="AL135" s="16">
        <v>3.0581999999999998E-6</v>
      </c>
      <c r="AM135" s="16">
        <v>7.4200000000000003E-8</v>
      </c>
      <c r="AN135" s="16">
        <v>2.5199999999999998E-7</v>
      </c>
      <c r="AO135" s="16">
        <v>-7.8800000000000004E-8</v>
      </c>
      <c r="AP135" s="16">
        <v>0</v>
      </c>
      <c r="AQ135" s="16">
        <v>0</v>
      </c>
      <c r="AR135" s="16">
        <v>0</v>
      </c>
      <c r="AS135" s="16">
        <v>0</v>
      </c>
      <c r="AT135" s="16">
        <v>0</v>
      </c>
      <c r="AU135" s="16">
        <v>0</v>
      </c>
      <c r="AV135" s="16">
        <v>0</v>
      </c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0</v>
      </c>
      <c r="BD135" s="16">
        <v>0</v>
      </c>
      <c r="BE135" s="16">
        <v>0</v>
      </c>
      <c r="BF135" s="16">
        <v>0</v>
      </c>
      <c r="BG135" s="16">
        <v>0</v>
      </c>
      <c r="BH135" s="16">
        <v>0</v>
      </c>
      <c r="BI135" s="16">
        <v>0</v>
      </c>
      <c r="BJ135" s="16">
        <v>1.0775799999999999E-5</v>
      </c>
      <c r="BK135" s="16"/>
      <c r="BL135" s="16">
        <v>1651269</v>
      </c>
      <c r="BM135" s="61" t="s">
        <v>1285</v>
      </c>
    </row>
    <row r="136" spans="5:65" x14ac:dyDescent="0.25">
      <c r="E136" s="7">
        <f>COUNTIFS(tblBOneExport[ISIN],tblBOneExport[[#This Row],[ISIN]],tblBOneExport[LEVEL1],"Bonds")</f>
        <v>1</v>
      </c>
      <c r="F136">
        <v>4547</v>
      </c>
      <c r="G136" s="155">
        <v>42947</v>
      </c>
      <c r="H136" s="155">
        <v>42978</v>
      </c>
      <c r="I136" t="s">
        <v>1625</v>
      </c>
      <c r="J136">
        <v>1677910</v>
      </c>
      <c r="K136" s="18" t="s">
        <v>1626</v>
      </c>
      <c r="L136" t="s">
        <v>868</v>
      </c>
      <c r="M136" t="s">
        <v>869</v>
      </c>
      <c r="N136" t="s">
        <v>492</v>
      </c>
      <c r="O136" t="s">
        <v>372</v>
      </c>
      <c r="P136" t="s">
        <v>1276</v>
      </c>
      <c r="Q136" t="s">
        <v>1277</v>
      </c>
      <c r="R136" t="s">
        <v>1278</v>
      </c>
      <c r="S136" t="s">
        <v>1306</v>
      </c>
      <c r="T136" t="s">
        <v>1422</v>
      </c>
      <c r="U136" t="s">
        <v>1422</v>
      </c>
      <c r="V136" t="s">
        <v>1288</v>
      </c>
      <c r="W136" t="s">
        <v>493</v>
      </c>
      <c r="X136" t="s">
        <v>1282</v>
      </c>
      <c r="Y136" s="154">
        <v>45678</v>
      </c>
      <c r="Z136" s="154">
        <v>45678</v>
      </c>
      <c r="AA136" t="s">
        <v>1359</v>
      </c>
      <c r="AB136" t="s">
        <v>1360</v>
      </c>
      <c r="AC136">
        <v>4.3781406000000002E-3</v>
      </c>
      <c r="AD136" s="16">
        <v>1.1709382900000001E-2</v>
      </c>
      <c r="AE136" s="16">
        <v>5.1367199999999998E-5</v>
      </c>
      <c r="AF136" s="16">
        <v>0</v>
      </c>
      <c r="AG136" s="16">
        <v>0</v>
      </c>
      <c r="AH136" s="16">
        <v>0</v>
      </c>
      <c r="AI136" s="16">
        <v>1.01906E-5</v>
      </c>
      <c r="AJ136" s="16">
        <v>2.9125999999999999E-6</v>
      </c>
      <c r="AK136" s="16">
        <v>7.2780999999999998E-6</v>
      </c>
      <c r="AL136" s="16">
        <v>4.9505700000000003E-5</v>
      </c>
      <c r="AM136" s="16">
        <v>2.6744000000000002E-6</v>
      </c>
      <c r="AN136" s="16">
        <v>-8.1179000000000007E-6</v>
      </c>
      <c r="AO136" s="16">
        <v>-2.1120000000000001E-7</v>
      </c>
      <c r="AP136" s="16">
        <v>0</v>
      </c>
      <c r="AQ136" s="16">
        <v>0</v>
      </c>
      <c r="AR136" s="16">
        <v>0</v>
      </c>
      <c r="AS136" s="16">
        <v>0</v>
      </c>
      <c r="AT136" s="16">
        <v>0</v>
      </c>
      <c r="AU136" s="16">
        <v>0</v>
      </c>
      <c r="AV136" s="16">
        <v>0</v>
      </c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0</v>
      </c>
      <c r="BD136" s="16">
        <v>0</v>
      </c>
      <c r="BE136" s="16">
        <v>0</v>
      </c>
      <c r="BF136" s="16">
        <v>0</v>
      </c>
      <c r="BG136" s="16">
        <v>0</v>
      </c>
      <c r="BH136" s="16">
        <v>0</v>
      </c>
      <c r="BI136" s="16">
        <v>0</v>
      </c>
      <c r="BJ136" s="16">
        <v>8.66352E-5</v>
      </c>
      <c r="BK136" s="16"/>
      <c r="BL136" s="16">
        <v>1677910</v>
      </c>
      <c r="BM136" s="61" t="s">
        <v>1285</v>
      </c>
    </row>
    <row r="137" spans="5:65" x14ac:dyDescent="0.25">
      <c r="E137" s="7">
        <f>COUNTIFS(tblBOneExport[ISIN],tblBOneExport[[#This Row],[ISIN]],tblBOneExport[LEVEL1],"Bonds")</f>
        <v>1</v>
      </c>
      <c r="F137">
        <v>4547</v>
      </c>
      <c r="G137" s="155">
        <v>42947</v>
      </c>
      <c r="H137" s="155">
        <v>42978</v>
      </c>
      <c r="I137" t="s">
        <v>1627</v>
      </c>
      <c r="J137">
        <v>1651569</v>
      </c>
      <c r="K137" s="18" t="s">
        <v>1628</v>
      </c>
      <c r="L137" t="s">
        <v>1156</v>
      </c>
      <c r="M137" t="s">
        <v>1157</v>
      </c>
      <c r="N137" t="s">
        <v>492</v>
      </c>
      <c r="O137" t="s">
        <v>372</v>
      </c>
      <c r="P137" t="s">
        <v>1276</v>
      </c>
      <c r="Q137" t="s">
        <v>1330</v>
      </c>
      <c r="R137" t="s">
        <v>1331</v>
      </c>
      <c r="S137" t="s">
        <v>1331</v>
      </c>
      <c r="T137" t="s">
        <v>1331</v>
      </c>
      <c r="U137" t="s">
        <v>1331</v>
      </c>
      <c r="V137" t="s">
        <v>1353</v>
      </c>
      <c r="W137" t="s">
        <v>493</v>
      </c>
      <c r="X137" t="s">
        <v>1282</v>
      </c>
      <c r="Y137" s="154">
        <v>51343</v>
      </c>
      <c r="Z137" s="154">
        <v>51343</v>
      </c>
      <c r="AA137" t="s">
        <v>1629</v>
      </c>
      <c r="AB137" t="s">
        <v>1630</v>
      </c>
      <c r="AC137">
        <v>1.3963678300000001E-2</v>
      </c>
      <c r="AD137" s="16">
        <v>3.0063711699999999E-2</v>
      </c>
      <c r="AE137" s="16">
        <v>4.1616039999999997E-4</v>
      </c>
      <c r="AF137" s="16">
        <v>0</v>
      </c>
      <c r="AG137" s="16">
        <v>0</v>
      </c>
      <c r="AH137" s="16">
        <v>0</v>
      </c>
      <c r="AI137" s="16">
        <v>2.7835699999999998E-5</v>
      </c>
      <c r="AJ137" s="16">
        <v>2.0171899999999999E-5</v>
      </c>
      <c r="AK137" s="16">
        <v>7.6637000000000008E-6</v>
      </c>
      <c r="AL137" s="16">
        <v>2.7442690000000001E-4</v>
      </c>
      <c r="AM137" s="16">
        <v>4.0401999999999999E-6</v>
      </c>
      <c r="AN137" s="16">
        <v>1.108392E-4</v>
      </c>
      <c r="AO137" s="16">
        <v>3.0585999999999998E-6</v>
      </c>
      <c r="AP137" s="16">
        <v>0</v>
      </c>
      <c r="AQ137" s="16">
        <v>0</v>
      </c>
      <c r="AR137" s="16">
        <v>0</v>
      </c>
      <c r="AS137" s="16">
        <v>0</v>
      </c>
      <c r="AT137" s="16">
        <v>0</v>
      </c>
      <c r="AU137" s="16">
        <v>0</v>
      </c>
      <c r="AV137" s="16">
        <v>0</v>
      </c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0</v>
      </c>
      <c r="BD137" s="16">
        <v>0</v>
      </c>
      <c r="BE137" s="16">
        <v>0</v>
      </c>
      <c r="BF137" s="16">
        <v>0</v>
      </c>
      <c r="BG137" s="16">
        <v>0</v>
      </c>
      <c r="BH137" s="16">
        <v>0</v>
      </c>
      <c r="BI137" s="16">
        <v>0</v>
      </c>
      <c r="BJ137" s="16">
        <v>8.3975900000000003E-5</v>
      </c>
      <c r="BK137" s="16"/>
      <c r="BL137" s="16">
        <v>1651569</v>
      </c>
      <c r="BM137" s="61" t="s">
        <v>1285</v>
      </c>
    </row>
    <row r="138" spans="5:65" x14ac:dyDescent="0.25">
      <c r="E138" s="7">
        <f>COUNTIFS(tblBOneExport[ISIN],tblBOneExport[[#This Row],[ISIN]],tblBOneExport[LEVEL1],"Bonds")</f>
        <v>1</v>
      </c>
      <c r="F138">
        <v>4547</v>
      </c>
      <c r="G138" s="155">
        <v>42947</v>
      </c>
      <c r="H138" s="155">
        <v>42978</v>
      </c>
      <c r="I138" t="s">
        <v>1631</v>
      </c>
      <c r="J138">
        <v>1646714</v>
      </c>
      <c r="K138" s="18" t="s">
        <v>1632</v>
      </c>
      <c r="L138" t="s">
        <v>949</v>
      </c>
      <c r="M138" t="s">
        <v>947</v>
      </c>
      <c r="N138" t="s">
        <v>492</v>
      </c>
      <c r="O138" t="s">
        <v>372</v>
      </c>
      <c r="P138" t="s">
        <v>1276</v>
      </c>
      <c r="Q138" t="s">
        <v>1277</v>
      </c>
      <c r="R138" t="s">
        <v>1278</v>
      </c>
      <c r="S138" t="s">
        <v>1306</v>
      </c>
      <c r="T138" t="s">
        <v>1349</v>
      </c>
      <c r="U138" t="s">
        <v>1349</v>
      </c>
      <c r="V138" t="s">
        <v>1332</v>
      </c>
      <c r="W138" t="s">
        <v>493</v>
      </c>
      <c r="X138" t="s">
        <v>1282</v>
      </c>
      <c r="Y138" s="154">
        <v>47816</v>
      </c>
      <c r="Z138" s="154">
        <v>47816</v>
      </c>
      <c r="AA138" t="s">
        <v>1359</v>
      </c>
      <c r="AB138" t="s">
        <v>1360</v>
      </c>
      <c r="AC138">
        <v>4.8862119000000004E-3</v>
      </c>
      <c r="AD138" s="16">
        <v>1.9680295399999999E-2</v>
      </c>
      <c r="AE138" s="16">
        <v>9.5869400000000001E-5</v>
      </c>
      <c r="AF138" s="16">
        <v>0</v>
      </c>
      <c r="AG138" s="16">
        <v>0</v>
      </c>
      <c r="AH138" s="16">
        <v>0</v>
      </c>
      <c r="AI138" s="16">
        <v>9.0619000000000004E-6</v>
      </c>
      <c r="AJ138" s="16">
        <v>5.789E-6</v>
      </c>
      <c r="AK138" s="16">
        <v>3.2729E-6</v>
      </c>
      <c r="AL138" s="16">
        <v>9.1367500000000002E-5</v>
      </c>
      <c r="AM138" s="16">
        <v>1.5936000000000001E-6</v>
      </c>
      <c r="AN138" s="16">
        <v>-3.7911999999999998E-6</v>
      </c>
      <c r="AO138" s="16">
        <v>-7.6879999999999995E-7</v>
      </c>
      <c r="AP138" s="16">
        <v>0</v>
      </c>
      <c r="AQ138" s="16">
        <v>0</v>
      </c>
      <c r="AR138" s="16">
        <v>0</v>
      </c>
      <c r="AS138" s="16">
        <v>0</v>
      </c>
      <c r="AT138" s="16">
        <v>0</v>
      </c>
      <c r="AU138" s="16">
        <v>0</v>
      </c>
      <c r="AV138" s="16">
        <v>0</v>
      </c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0</v>
      </c>
      <c r="BD138" s="16">
        <v>0</v>
      </c>
      <c r="BE138" s="16">
        <v>0</v>
      </c>
      <c r="BF138" s="16">
        <v>0</v>
      </c>
      <c r="BG138" s="16">
        <v>0</v>
      </c>
      <c r="BH138" s="16">
        <v>0</v>
      </c>
      <c r="BI138" s="16">
        <v>0</v>
      </c>
      <c r="BJ138" s="16">
        <v>3.8609100000000003E-5</v>
      </c>
      <c r="BK138" s="16"/>
      <c r="BL138" s="16">
        <v>1646714</v>
      </c>
      <c r="BM138" s="61" t="s">
        <v>1285</v>
      </c>
    </row>
    <row r="139" spans="5:65" x14ac:dyDescent="0.25">
      <c r="E139" s="7">
        <f>COUNTIFS(tblBOneExport[ISIN],tblBOneExport[[#This Row],[ISIN]],tblBOneExport[LEVEL1],"Bonds")</f>
        <v>1</v>
      </c>
      <c r="F139">
        <v>4547</v>
      </c>
      <c r="G139" s="155">
        <v>42947</v>
      </c>
      <c r="H139" s="155">
        <v>42978</v>
      </c>
      <c r="I139" t="s">
        <v>1633</v>
      </c>
      <c r="J139">
        <v>1645540</v>
      </c>
      <c r="K139" s="18" t="s">
        <v>1634</v>
      </c>
      <c r="L139" t="s">
        <v>584</v>
      </c>
      <c r="M139" t="s">
        <v>585</v>
      </c>
      <c r="N139" t="s">
        <v>492</v>
      </c>
      <c r="O139" t="s">
        <v>372</v>
      </c>
      <c r="P139" t="s">
        <v>1276</v>
      </c>
      <c r="Q139" t="s">
        <v>1277</v>
      </c>
      <c r="R139" t="s">
        <v>1278</v>
      </c>
      <c r="S139" t="s">
        <v>1635</v>
      </c>
      <c r="T139" t="s">
        <v>1636</v>
      </c>
      <c r="U139" t="s">
        <v>1636</v>
      </c>
      <c r="V139" t="s">
        <v>1332</v>
      </c>
      <c r="W139" t="s">
        <v>493</v>
      </c>
      <c r="X139" t="s">
        <v>1282</v>
      </c>
      <c r="Y139" s="154">
        <v>45992</v>
      </c>
      <c r="Z139" s="154">
        <v>45992</v>
      </c>
      <c r="AA139" t="s">
        <v>1359</v>
      </c>
      <c r="AB139" t="s">
        <v>1360</v>
      </c>
      <c r="AC139">
        <v>1.9461719000000001E-3</v>
      </c>
      <c r="AD139" s="16">
        <v>1.2971786799999999E-2</v>
      </c>
      <c r="AE139" s="16">
        <v>2.52854E-5</v>
      </c>
      <c r="AF139" s="16">
        <v>0</v>
      </c>
      <c r="AG139" s="16">
        <v>0</v>
      </c>
      <c r="AH139" s="16">
        <v>0</v>
      </c>
      <c r="AI139" s="16">
        <v>2.9175E-6</v>
      </c>
      <c r="AJ139" s="16">
        <v>1.4839999999999999E-6</v>
      </c>
      <c r="AK139" s="16">
        <v>1.4334999999999999E-6</v>
      </c>
      <c r="AL139" s="16">
        <v>2.6546500000000001E-5</v>
      </c>
      <c r="AM139" s="16">
        <v>1.5258000000000001E-6</v>
      </c>
      <c r="AN139" s="16">
        <v>-5.1246E-6</v>
      </c>
      <c r="AO139" s="16">
        <v>9.4600000000000003E-7</v>
      </c>
      <c r="AP139" s="16">
        <v>0</v>
      </c>
      <c r="AQ139" s="16">
        <v>0</v>
      </c>
      <c r="AR139" s="16">
        <v>0</v>
      </c>
      <c r="AS139" s="16">
        <v>0</v>
      </c>
      <c r="AT139" s="16">
        <v>0</v>
      </c>
      <c r="AU139" s="16">
        <v>0</v>
      </c>
      <c r="AV139" s="16">
        <v>0</v>
      </c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0</v>
      </c>
      <c r="BD139" s="16">
        <v>0</v>
      </c>
      <c r="BE139" s="16">
        <v>0</v>
      </c>
      <c r="BF139" s="16">
        <v>0</v>
      </c>
      <c r="BG139" s="16">
        <v>0</v>
      </c>
      <c r="BH139" s="16">
        <v>0</v>
      </c>
      <c r="BI139" s="16">
        <v>0</v>
      </c>
      <c r="BJ139" s="16">
        <v>1.71469E-5</v>
      </c>
      <c r="BK139" s="16"/>
      <c r="BL139" s="16">
        <v>1645540</v>
      </c>
      <c r="BM139" s="61" t="s">
        <v>1285</v>
      </c>
    </row>
    <row r="140" spans="5:65" x14ac:dyDescent="0.25">
      <c r="E140" s="7">
        <f>COUNTIFS(tblBOneExport[ISIN],tblBOneExport[[#This Row],[ISIN]],tblBOneExport[LEVEL1],"Bonds")</f>
        <v>1</v>
      </c>
      <c r="F140">
        <v>4547</v>
      </c>
      <c r="G140" s="155">
        <v>42947</v>
      </c>
      <c r="H140" s="155">
        <v>42978</v>
      </c>
      <c r="I140" t="s">
        <v>1637</v>
      </c>
      <c r="J140">
        <v>1645760</v>
      </c>
      <c r="K140" s="18" t="s">
        <v>1638</v>
      </c>
      <c r="L140" t="s">
        <v>1053</v>
      </c>
      <c r="M140" t="s">
        <v>1051</v>
      </c>
      <c r="N140" t="s">
        <v>492</v>
      </c>
      <c r="O140" t="s">
        <v>372</v>
      </c>
      <c r="P140" t="s">
        <v>1276</v>
      </c>
      <c r="Q140" t="s">
        <v>1277</v>
      </c>
      <c r="R140" t="s">
        <v>1322</v>
      </c>
      <c r="S140" t="s">
        <v>1358</v>
      </c>
      <c r="T140" t="s">
        <v>1358</v>
      </c>
      <c r="U140" t="s">
        <v>1358</v>
      </c>
      <c r="V140" t="s">
        <v>1288</v>
      </c>
      <c r="W140" t="s">
        <v>493</v>
      </c>
      <c r="X140" t="s">
        <v>1282</v>
      </c>
      <c r="Y140" s="154">
        <v>45786</v>
      </c>
      <c r="Z140" s="154">
        <v>45786</v>
      </c>
      <c r="AA140" t="s">
        <v>1359</v>
      </c>
      <c r="AB140" t="s">
        <v>1360</v>
      </c>
      <c r="AC140">
        <v>1.5267948E-3</v>
      </c>
      <c r="AD140" s="16">
        <v>1.2049196700000001E-2</v>
      </c>
      <c r="AE140" s="16">
        <v>1.8428899999999999E-5</v>
      </c>
      <c r="AF140" s="16">
        <v>0</v>
      </c>
      <c r="AG140" s="16">
        <v>0</v>
      </c>
      <c r="AH140" s="16">
        <v>0</v>
      </c>
      <c r="AI140" s="16">
        <v>2.3257E-6</v>
      </c>
      <c r="AJ140" s="16">
        <v>1.071E-6</v>
      </c>
      <c r="AK140" s="16">
        <v>1.2546E-6</v>
      </c>
      <c r="AL140" s="16">
        <v>1.90105E-5</v>
      </c>
      <c r="AM140" s="16">
        <v>9.9659999999999991E-7</v>
      </c>
      <c r="AN140" s="16">
        <v>-3.4435999999999999E-6</v>
      </c>
      <c r="AO140" s="16">
        <v>5.3629999999999995E-7</v>
      </c>
      <c r="AP140" s="16">
        <v>0</v>
      </c>
      <c r="AQ140" s="16">
        <v>0</v>
      </c>
      <c r="AR140" s="16">
        <v>0</v>
      </c>
      <c r="AS140" s="16">
        <v>0</v>
      </c>
      <c r="AT140" s="16">
        <v>0</v>
      </c>
      <c r="AU140" s="16">
        <v>0</v>
      </c>
      <c r="AV140" s="16">
        <v>0</v>
      </c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0</v>
      </c>
      <c r="BD140" s="16">
        <v>0</v>
      </c>
      <c r="BE140" s="16">
        <v>0</v>
      </c>
      <c r="BF140" s="16">
        <v>0</v>
      </c>
      <c r="BG140" s="16">
        <v>0</v>
      </c>
      <c r="BH140" s="16">
        <v>0</v>
      </c>
      <c r="BI140" s="16">
        <v>0</v>
      </c>
      <c r="BJ140" s="16">
        <v>1.4945E-5</v>
      </c>
      <c r="BK140" s="16"/>
      <c r="BL140" s="16">
        <v>1645760</v>
      </c>
      <c r="BM140" s="61" t="s">
        <v>1285</v>
      </c>
    </row>
    <row r="141" spans="5:65" x14ac:dyDescent="0.25">
      <c r="E141" s="7">
        <f>COUNTIFS(tblBOneExport[ISIN],tblBOneExport[[#This Row],[ISIN]],tblBOneExport[LEVEL1],"Bonds")</f>
        <v>1</v>
      </c>
      <c r="F141">
        <v>4547</v>
      </c>
      <c r="G141" s="155">
        <v>42947</v>
      </c>
      <c r="H141" s="155">
        <v>42978</v>
      </c>
      <c r="I141" t="s">
        <v>1639</v>
      </c>
      <c r="J141">
        <v>1645762</v>
      </c>
      <c r="K141" s="18" t="s">
        <v>1640</v>
      </c>
      <c r="L141" t="s">
        <v>1055</v>
      </c>
      <c r="M141" t="s">
        <v>1051</v>
      </c>
      <c r="N141" t="s">
        <v>492</v>
      </c>
      <c r="O141" t="s">
        <v>372</v>
      </c>
      <c r="P141" t="s">
        <v>1276</v>
      </c>
      <c r="Q141" t="s">
        <v>1277</v>
      </c>
      <c r="R141" t="s">
        <v>1322</v>
      </c>
      <c r="S141" t="s">
        <v>1358</v>
      </c>
      <c r="T141" t="s">
        <v>1358</v>
      </c>
      <c r="U141" t="s">
        <v>1358</v>
      </c>
      <c r="V141" t="s">
        <v>1288</v>
      </c>
      <c r="W141" t="s">
        <v>493</v>
      </c>
      <c r="X141" t="s">
        <v>1282</v>
      </c>
      <c r="Y141" s="154">
        <v>51480</v>
      </c>
      <c r="Z141" s="154">
        <v>51480</v>
      </c>
      <c r="AA141" t="s">
        <v>1359</v>
      </c>
      <c r="AB141" t="s">
        <v>1360</v>
      </c>
      <c r="AC141">
        <v>4.7376223999999996E-3</v>
      </c>
      <c r="AD141" s="16">
        <v>2.3084052899999999E-2</v>
      </c>
      <c r="AE141" s="16">
        <v>1.087033E-4</v>
      </c>
      <c r="AF141" s="16">
        <v>0</v>
      </c>
      <c r="AG141" s="16">
        <v>0</v>
      </c>
      <c r="AH141" s="16">
        <v>0</v>
      </c>
      <c r="AI141" s="16">
        <v>1.11508E-5</v>
      </c>
      <c r="AJ141" s="16">
        <v>6.849E-6</v>
      </c>
      <c r="AK141" s="16">
        <v>4.3018E-6</v>
      </c>
      <c r="AL141" s="16">
        <v>9.1384400000000005E-5</v>
      </c>
      <c r="AM141" s="16">
        <v>1.2779000000000001E-6</v>
      </c>
      <c r="AN141" s="16">
        <v>2.0686E-6</v>
      </c>
      <c r="AO141" s="16">
        <v>4.0995000000000003E-6</v>
      </c>
      <c r="AP141" s="16">
        <v>0</v>
      </c>
      <c r="AQ141" s="16">
        <v>0</v>
      </c>
      <c r="AR141" s="16">
        <v>0</v>
      </c>
      <c r="AS141" s="16">
        <v>0</v>
      </c>
      <c r="AT141" s="16">
        <v>0</v>
      </c>
      <c r="AU141" s="16">
        <v>0</v>
      </c>
      <c r="AV141" s="16">
        <v>0</v>
      </c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0</v>
      </c>
      <c r="BD141" s="16">
        <v>0</v>
      </c>
      <c r="BE141" s="16">
        <v>0</v>
      </c>
      <c r="BF141" s="16">
        <v>0</v>
      </c>
      <c r="BG141" s="16">
        <v>0</v>
      </c>
      <c r="BH141" s="16">
        <v>0</v>
      </c>
      <c r="BI141" s="16">
        <v>0</v>
      </c>
      <c r="BJ141" s="16">
        <v>5.0370300000000001E-5</v>
      </c>
      <c r="BK141" s="16"/>
      <c r="BL141" s="16">
        <v>1645762</v>
      </c>
      <c r="BM141" s="61" t="s">
        <v>1285</v>
      </c>
    </row>
    <row r="142" spans="5:65" x14ac:dyDescent="0.25">
      <c r="E142" s="7">
        <f>COUNTIFS(tblBOneExport[ISIN],tblBOneExport[[#This Row],[ISIN]],tblBOneExport[LEVEL1],"Bonds")</f>
        <v>1</v>
      </c>
      <c r="F142">
        <v>4547</v>
      </c>
      <c r="G142" s="155">
        <v>42947</v>
      </c>
      <c r="H142" s="155">
        <v>42978</v>
      </c>
      <c r="I142" t="s">
        <v>1641</v>
      </c>
      <c r="J142">
        <v>1644949</v>
      </c>
      <c r="K142" s="18" t="s">
        <v>1642</v>
      </c>
      <c r="L142" t="s">
        <v>1180</v>
      </c>
      <c r="M142" t="s">
        <v>1181</v>
      </c>
      <c r="N142" t="s">
        <v>492</v>
      </c>
      <c r="O142" t="s">
        <v>372</v>
      </c>
      <c r="P142" t="s">
        <v>1276</v>
      </c>
      <c r="Q142" t="s">
        <v>1277</v>
      </c>
      <c r="R142" t="s">
        <v>1278</v>
      </c>
      <c r="S142" t="s">
        <v>1635</v>
      </c>
      <c r="T142" t="s">
        <v>1636</v>
      </c>
      <c r="U142" t="s">
        <v>1636</v>
      </c>
      <c r="V142" t="s">
        <v>1293</v>
      </c>
      <c r="W142" t="s">
        <v>493</v>
      </c>
      <c r="X142" t="s">
        <v>1282</v>
      </c>
      <c r="Y142" s="154">
        <v>43448</v>
      </c>
      <c r="Z142" s="154">
        <v>43448</v>
      </c>
      <c r="AA142" t="s">
        <v>1316</v>
      </c>
      <c r="AB142" t="s">
        <v>1317</v>
      </c>
      <c r="AC142">
        <v>1.4812915E-3</v>
      </c>
      <c r="AD142" s="16">
        <v>2.5232745E-3</v>
      </c>
      <c r="AE142" s="16">
        <v>3.7635999999999998E-6</v>
      </c>
      <c r="AF142" s="16">
        <v>0</v>
      </c>
      <c r="AG142" s="16">
        <v>0</v>
      </c>
      <c r="AH142" s="16">
        <v>0</v>
      </c>
      <c r="AI142" s="16">
        <v>9.2920000000000004E-7</v>
      </c>
      <c r="AJ142" s="16">
        <v>2.6950000000000002E-7</v>
      </c>
      <c r="AK142" s="16">
        <v>6.5970000000000001E-7</v>
      </c>
      <c r="AL142" s="16">
        <v>2.5295000000000001E-6</v>
      </c>
      <c r="AM142" s="16">
        <v>-5.2000000000000002E-9</v>
      </c>
      <c r="AN142" s="16">
        <v>5.454E-7</v>
      </c>
      <c r="AO142" s="16">
        <v>-2.4040000000000001E-7</v>
      </c>
      <c r="AP142" s="16">
        <v>0</v>
      </c>
      <c r="AQ142" s="16">
        <v>0</v>
      </c>
      <c r="AR142" s="16">
        <v>0</v>
      </c>
      <c r="AS142" s="16">
        <v>0</v>
      </c>
      <c r="AT142" s="16">
        <v>0</v>
      </c>
      <c r="AU142" s="16">
        <v>0</v>
      </c>
      <c r="AV142" s="16">
        <v>0</v>
      </c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0</v>
      </c>
      <c r="BD142" s="16">
        <v>0</v>
      </c>
      <c r="BE142" s="16">
        <v>0</v>
      </c>
      <c r="BF142" s="16">
        <v>0</v>
      </c>
      <c r="BG142" s="16">
        <v>0</v>
      </c>
      <c r="BH142" s="16">
        <v>0</v>
      </c>
      <c r="BI142" s="16">
        <v>0</v>
      </c>
      <c r="BJ142" s="16">
        <v>7.2734999999999999E-6</v>
      </c>
      <c r="BK142" s="16"/>
      <c r="BL142" s="16">
        <v>1644949</v>
      </c>
      <c r="BM142" s="61" t="s">
        <v>1285</v>
      </c>
    </row>
    <row r="143" spans="5:65" x14ac:dyDescent="0.25">
      <c r="E143" s="7">
        <f>COUNTIFS(tblBOneExport[ISIN],tblBOneExport[[#This Row],[ISIN]],tblBOneExport[LEVEL1],"Bonds")</f>
        <v>1</v>
      </c>
      <c r="F143">
        <v>4547</v>
      </c>
      <c r="G143" s="155">
        <v>42947</v>
      </c>
      <c r="H143" s="155">
        <v>42978</v>
      </c>
      <c r="I143" t="s">
        <v>1643</v>
      </c>
      <c r="J143">
        <v>1645337</v>
      </c>
      <c r="K143" s="18" t="s">
        <v>1644</v>
      </c>
      <c r="L143" t="s">
        <v>746</v>
      </c>
      <c r="M143" t="s">
        <v>747</v>
      </c>
      <c r="N143" t="s">
        <v>492</v>
      </c>
      <c r="O143" t="s">
        <v>372</v>
      </c>
      <c r="P143" t="s">
        <v>1276</v>
      </c>
      <c r="Q143" t="s">
        <v>1277</v>
      </c>
      <c r="R143" t="s">
        <v>1278</v>
      </c>
      <c r="S143" t="s">
        <v>1306</v>
      </c>
      <c r="T143" t="s">
        <v>1349</v>
      </c>
      <c r="U143" t="s">
        <v>1349</v>
      </c>
      <c r="V143" t="s">
        <v>1288</v>
      </c>
      <c r="W143" t="s">
        <v>493</v>
      </c>
      <c r="X143" t="s">
        <v>1282</v>
      </c>
      <c r="Y143" s="154">
        <v>43427</v>
      </c>
      <c r="Z143" s="154">
        <v>43427</v>
      </c>
      <c r="AA143" t="s">
        <v>1359</v>
      </c>
      <c r="AB143" t="s">
        <v>1360</v>
      </c>
      <c r="AC143">
        <v>3.3803593E-3</v>
      </c>
      <c r="AD143" s="16">
        <v>2.2798470999999998E-3</v>
      </c>
      <c r="AE143" s="16">
        <v>7.7556000000000008E-6</v>
      </c>
      <c r="AF143" s="16">
        <v>0</v>
      </c>
      <c r="AG143" s="16">
        <v>0</v>
      </c>
      <c r="AH143" s="16">
        <v>0</v>
      </c>
      <c r="AI143" s="16">
        <v>2.7097999999999999E-6</v>
      </c>
      <c r="AJ143" s="16">
        <v>6.1429999999999999E-7</v>
      </c>
      <c r="AK143" s="16">
        <v>2.0955000000000001E-6</v>
      </c>
      <c r="AL143" s="16">
        <v>5.6065999999999998E-6</v>
      </c>
      <c r="AM143" s="16">
        <v>-1.13E-8</v>
      </c>
      <c r="AN143" s="16">
        <v>-2.1759999999999999E-7</v>
      </c>
      <c r="AO143" s="16">
        <v>-3.431E-7</v>
      </c>
      <c r="AP143" s="16">
        <v>0</v>
      </c>
      <c r="AQ143" s="16">
        <v>0</v>
      </c>
      <c r="AR143" s="16">
        <v>0</v>
      </c>
      <c r="AS143" s="16">
        <v>0</v>
      </c>
      <c r="AT143" s="16">
        <v>0</v>
      </c>
      <c r="AU143" s="16">
        <v>0</v>
      </c>
      <c r="AV143" s="16">
        <v>0</v>
      </c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0</v>
      </c>
      <c r="BD143" s="16">
        <v>0</v>
      </c>
      <c r="BE143" s="16">
        <v>0</v>
      </c>
      <c r="BF143" s="16">
        <v>0</v>
      </c>
      <c r="BG143" s="16">
        <v>0</v>
      </c>
      <c r="BH143" s="16">
        <v>0</v>
      </c>
      <c r="BI143" s="16">
        <v>0</v>
      </c>
      <c r="BJ143" s="16">
        <v>2.4065300000000001E-5</v>
      </c>
      <c r="BK143" s="16"/>
      <c r="BL143" s="16">
        <v>1645337</v>
      </c>
      <c r="BM143" s="61" t="s">
        <v>1285</v>
      </c>
    </row>
    <row r="144" spans="5:65" x14ac:dyDescent="0.25">
      <c r="E144" s="7">
        <f>COUNTIFS(tblBOneExport[ISIN],tblBOneExport[[#This Row],[ISIN]],tblBOneExport[LEVEL1],"Bonds")</f>
        <v>1</v>
      </c>
      <c r="F144">
        <v>4547</v>
      </c>
      <c r="G144" s="155">
        <v>42947</v>
      </c>
      <c r="H144" s="155">
        <v>42978</v>
      </c>
      <c r="I144" t="s">
        <v>1645</v>
      </c>
      <c r="J144">
        <v>1646049</v>
      </c>
      <c r="K144" s="18" t="s">
        <v>1646</v>
      </c>
      <c r="L144" t="s">
        <v>1171</v>
      </c>
      <c r="M144" t="s">
        <v>1165</v>
      </c>
      <c r="N144" t="s">
        <v>492</v>
      </c>
      <c r="O144" t="s">
        <v>372</v>
      </c>
      <c r="P144" t="s">
        <v>1276</v>
      </c>
      <c r="Q144" t="s">
        <v>1277</v>
      </c>
      <c r="R144" t="s">
        <v>1322</v>
      </c>
      <c r="S144" t="s">
        <v>1323</v>
      </c>
      <c r="T144" t="s">
        <v>1323</v>
      </c>
      <c r="U144" t="s">
        <v>1323</v>
      </c>
      <c r="V144" t="s">
        <v>1315</v>
      </c>
      <c r="W144" t="s">
        <v>493</v>
      </c>
      <c r="X144" t="s">
        <v>1282</v>
      </c>
      <c r="Y144" s="154">
        <v>51543</v>
      </c>
      <c r="Z144" s="154">
        <v>51543</v>
      </c>
      <c r="AA144" t="s">
        <v>1418</v>
      </c>
      <c r="AB144" t="s">
        <v>1419</v>
      </c>
      <c r="AC144">
        <v>2.5602937000000002E-3</v>
      </c>
      <c r="AD144" s="16">
        <v>1.41422938E-2</v>
      </c>
      <c r="AE144" s="16">
        <v>3.6249199999999998E-5</v>
      </c>
      <c r="AF144" s="16">
        <v>0</v>
      </c>
      <c r="AG144" s="16">
        <v>0</v>
      </c>
      <c r="AH144" s="16">
        <v>0</v>
      </c>
      <c r="AI144" s="16">
        <v>6.2295000000000002E-6</v>
      </c>
      <c r="AJ144" s="16">
        <v>3.7050000000000001E-6</v>
      </c>
      <c r="AK144" s="16">
        <v>2.5245000000000001E-6</v>
      </c>
      <c r="AL144" s="16">
        <v>5.2446800000000001E-5</v>
      </c>
      <c r="AM144" s="16">
        <v>7.1210000000000003E-7</v>
      </c>
      <c r="AN144" s="16">
        <v>-2.4535199999999998E-5</v>
      </c>
      <c r="AO144" s="16">
        <v>2.108E-6</v>
      </c>
      <c r="AP144" s="16">
        <v>0</v>
      </c>
      <c r="AQ144" s="16">
        <v>0</v>
      </c>
      <c r="AR144" s="16">
        <v>0</v>
      </c>
      <c r="AS144" s="16">
        <v>0</v>
      </c>
      <c r="AT144" s="16">
        <v>0</v>
      </c>
      <c r="AU144" s="16">
        <v>0</v>
      </c>
      <c r="AV144" s="16">
        <v>0</v>
      </c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0</v>
      </c>
      <c r="BD144" s="16">
        <v>0</v>
      </c>
      <c r="BE144" s="16">
        <v>0</v>
      </c>
      <c r="BF144" s="16">
        <v>0</v>
      </c>
      <c r="BG144" s="16">
        <v>0</v>
      </c>
      <c r="BH144" s="16">
        <v>0</v>
      </c>
      <c r="BI144" s="16">
        <v>0</v>
      </c>
      <c r="BJ144" s="16">
        <v>2.9816999999999999E-5</v>
      </c>
      <c r="BK144" s="16"/>
      <c r="BL144" s="16">
        <v>1646049</v>
      </c>
      <c r="BM144" s="61" t="s">
        <v>1285</v>
      </c>
    </row>
    <row r="145" spans="5:65" x14ac:dyDescent="0.25">
      <c r="E145" s="7">
        <f>COUNTIFS(tblBOneExport[ISIN],tblBOneExport[[#This Row],[ISIN]],tblBOneExport[LEVEL1],"Bonds")</f>
        <v>1</v>
      </c>
      <c r="F145">
        <v>4547</v>
      </c>
      <c r="G145" s="155">
        <v>42947</v>
      </c>
      <c r="H145" s="155">
        <v>42978</v>
      </c>
      <c r="I145" t="s">
        <v>1647</v>
      </c>
      <c r="J145">
        <v>1646732</v>
      </c>
      <c r="K145" s="18" t="s">
        <v>1648</v>
      </c>
      <c r="L145" t="s">
        <v>1184</v>
      </c>
      <c r="M145" t="s">
        <v>1185</v>
      </c>
      <c r="N145" t="s">
        <v>492</v>
      </c>
      <c r="O145" t="s">
        <v>372</v>
      </c>
      <c r="P145" t="s">
        <v>1276</v>
      </c>
      <c r="Q145" t="s">
        <v>1277</v>
      </c>
      <c r="R145" t="s">
        <v>1278</v>
      </c>
      <c r="S145" t="s">
        <v>1306</v>
      </c>
      <c r="T145" t="s">
        <v>1307</v>
      </c>
      <c r="U145" t="s">
        <v>1307</v>
      </c>
      <c r="V145" t="s">
        <v>1408</v>
      </c>
      <c r="W145" t="s">
        <v>493</v>
      </c>
      <c r="X145" t="s">
        <v>1282</v>
      </c>
      <c r="Y145" s="154">
        <v>43076</v>
      </c>
      <c r="Z145" s="154">
        <v>43076</v>
      </c>
      <c r="AA145" t="s">
        <v>1649</v>
      </c>
      <c r="AB145" t="s">
        <v>1650</v>
      </c>
      <c r="AC145">
        <v>7.1983590000000003E-4</v>
      </c>
      <c r="AD145" s="16">
        <v>3.0567160000000002E-4</v>
      </c>
      <c r="AE145" s="16">
        <v>2.213E-7</v>
      </c>
      <c r="AF145" s="16">
        <v>0</v>
      </c>
      <c r="AG145" s="16">
        <v>0</v>
      </c>
      <c r="AH145" s="16">
        <v>0</v>
      </c>
      <c r="AI145" s="16">
        <v>4.4140000000000002E-7</v>
      </c>
      <c r="AJ145" s="16">
        <v>1.02E-7</v>
      </c>
      <c r="AK145" s="16">
        <v>3.3939999999999998E-7</v>
      </c>
      <c r="AL145" s="16">
        <v>-3.2800000000000003E-8</v>
      </c>
      <c r="AM145" s="16">
        <v>2.8200000000000001E-8</v>
      </c>
      <c r="AN145" s="16">
        <v>-4.5690000000000002E-7</v>
      </c>
      <c r="AO145" s="16">
        <v>2.6959999999999998E-7</v>
      </c>
      <c r="AP145" s="16">
        <v>0</v>
      </c>
      <c r="AQ145" s="16">
        <v>0</v>
      </c>
      <c r="AR145" s="16">
        <v>0</v>
      </c>
      <c r="AS145" s="16">
        <v>0</v>
      </c>
      <c r="AT145" s="16">
        <v>0</v>
      </c>
      <c r="AU145" s="16">
        <v>0</v>
      </c>
      <c r="AV145" s="16">
        <v>0</v>
      </c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0</v>
      </c>
      <c r="BD145" s="16">
        <v>0</v>
      </c>
      <c r="BE145" s="16">
        <v>0</v>
      </c>
      <c r="BF145" s="16">
        <v>0</v>
      </c>
      <c r="BG145" s="16">
        <v>0</v>
      </c>
      <c r="BH145" s="16">
        <v>0</v>
      </c>
      <c r="BI145" s="16">
        <v>0</v>
      </c>
      <c r="BJ145" s="16">
        <v>4.9644999999999996E-6</v>
      </c>
      <c r="BK145" s="16"/>
      <c r="BL145" s="16">
        <v>1646732</v>
      </c>
      <c r="BM145" s="61" t="s">
        <v>1285</v>
      </c>
    </row>
    <row r="146" spans="5:65" x14ac:dyDescent="0.25">
      <c r="E146" s="7">
        <f>COUNTIFS(tblBOneExport[ISIN],tblBOneExport[[#This Row],[ISIN]],tblBOneExport[LEVEL1],"Bonds")</f>
        <v>1</v>
      </c>
      <c r="F146">
        <v>4547</v>
      </c>
      <c r="G146" s="155">
        <v>42947</v>
      </c>
      <c r="H146" s="155">
        <v>42978</v>
      </c>
      <c r="I146" t="s">
        <v>1651</v>
      </c>
      <c r="J146">
        <v>1645169</v>
      </c>
      <c r="K146" s="18" t="s">
        <v>1652</v>
      </c>
      <c r="L146" t="s">
        <v>766</v>
      </c>
      <c r="M146" t="s">
        <v>767</v>
      </c>
      <c r="N146" t="s">
        <v>492</v>
      </c>
      <c r="O146" t="s">
        <v>372</v>
      </c>
      <c r="P146" t="s">
        <v>1276</v>
      </c>
      <c r="Q146" t="s">
        <v>1277</v>
      </c>
      <c r="R146" t="s">
        <v>1278</v>
      </c>
      <c r="S146" t="s">
        <v>1348</v>
      </c>
      <c r="T146" t="s">
        <v>1349</v>
      </c>
      <c r="U146" t="s">
        <v>1349</v>
      </c>
      <c r="V146" t="s">
        <v>1315</v>
      </c>
      <c r="W146" t="s">
        <v>493</v>
      </c>
      <c r="X146" t="s">
        <v>1282</v>
      </c>
      <c r="Y146" s="154">
        <v>51562</v>
      </c>
      <c r="Z146" s="154">
        <v>51562</v>
      </c>
      <c r="AA146" t="s">
        <v>1541</v>
      </c>
      <c r="AB146" t="s">
        <v>1542</v>
      </c>
      <c r="AC146">
        <v>3.4109263E-3</v>
      </c>
      <c r="AD146" s="16">
        <v>2.2696816599999999E-2</v>
      </c>
      <c r="AE146" s="16">
        <v>7.7101700000000001E-5</v>
      </c>
      <c r="AF146" s="16">
        <v>0</v>
      </c>
      <c r="AG146" s="16">
        <v>0</v>
      </c>
      <c r="AH146" s="16">
        <v>0</v>
      </c>
      <c r="AI146" s="16">
        <v>8.3869999999999995E-6</v>
      </c>
      <c r="AJ146" s="16">
        <v>4.9388E-6</v>
      </c>
      <c r="AK146" s="16">
        <v>3.4481999999999999E-6</v>
      </c>
      <c r="AL146" s="16">
        <v>6.8092500000000006E-5</v>
      </c>
      <c r="AM146" s="16">
        <v>9.2070000000000003E-7</v>
      </c>
      <c r="AN146" s="16">
        <v>-1.7991000000000001E-6</v>
      </c>
      <c r="AO146" s="16">
        <v>2.4213999999999998E-6</v>
      </c>
      <c r="AP146" s="16">
        <v>0</v>
      </c>
      <c r="AQ146" s="16">
        <v>0</v>
      </c>
      <c r="AR146" s="16">
        <v>0</v>
      </c>
      <c r="AS146" s="16">
        <v>0</v>
      </c>
      <c r="AT146" s="16">
        <v>0</v>
      </c>
      <c r="AU146" s="16">
        <v>0</v>
      </c>
      <c r="AV146" s="16">
        <v>0</v>
      </c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0</v>
      </c>
      <c r="BD146" s="16">
        <v>0</v>
      </c>
      <c r="BE146" s="16">
        <v>0</v>
      </c>
      <c r="BF146" s="16">
        <v>0</v>
      </c>
      <c r="BG146" s="16">
        <v>0</v>
      </c>
      <c r="BH146" s="16">
        <v>0</v>
      </c>
      <c r="BI146" s="16">
        <v>0</v>
      </c>
      <c r="BJ146" s="16">
        <v>4.0172900000000003E-5</v>
      </c>
      <c r="BK146" s="16"/>
      <c r="BL146" s="16">
        <v>1645169</v>
      </c>
      <c r="BM146" s="61" t="s">
        <v>1285</v>
      </c>
    </row>
    <row r="147" spans="5:65" x14ac:dyDescent="0.25">
      <c r="E147" s="7">
        <f>COUNTIFS(tblBOneExport[ISIN],tblBOneExport[[#This Row],[ISIN]],tblBOneExport[LEVEL1],"Bonds")</f>
        <v>1</v>
      </c>
      <c r="F147">
        <v>4547</v>
      </c>
      <c r="G147" s="155">
        <v>42947</v>
      </c>
      <c r="H147" s="155">
        <v>42978</v>
      </c>
      <c r="I147" t="s">
        <v>1653</v>
      </c>
      <c r="J147">
        <v>1645900</v>
      </c>
      <c r="K147" s="18" t="s">
        <v>1654</v>
      </c>
      <c r="L147" t="s">
        <v>602</v>
      </c>
      <c r="M147" t="s">
        <v>603</v>
      </c>
      <c r="N147" t="s">
        <v>492</v>
      </c>
      <c r="O147" t="s">
        <v>372</v>
      </c>
      <c r="P147" t="s">
        <v>1276</v>
      </c>
      <c r="Q147" t="s">
        <v>1277</v>
      </c>
      <c r="R147" t="s">
        <v>1278</v>
      </c>
      <c r="S147" t="s">
        <v>1635</v>
      </c>
      <c r="T147" t="s">
        <v>1636</v>
      </c>
      <c r="U147" t="s">
        <v>1636</v>
      </c>
      <c r="V147" t="s">
        <v>1332</v>
      </c>
      <c r="W147" t="s">
        <v>493</v>
      </c>
      <c r="X147" t="s">
        <v>1282</v>
      </c>
      <c r="Y147" s="154">
        <v>43444</v>
      </c>
      <c r="Z147" s="154">
        <v>43444</v>
      </c>
      <c r="AA147" t="s">
        <v>1359</v>
      </c>
      <c r="AB147" t="s">
        <v>1360</v>
      </c>
      <c r="AC147">
        <v>1.2433453E-3</v>
      </c>
      <c r="AD147" s="16">
        <v>2.3144988000000002E-3</v>
      </c>
      <c r="AE147" s="16">
        <v>2.8986999999999999E-6</v>
      </c>
      <c r="AF147" s="16">
        <v>0</v>
      </c>
      <c r="AG147" s="16">
        <v>0</v>
      </c>
      <c r="AH147" s="16">
        <v>0</v>
      </c>
      <c r="AI147" s="16">
        <v>8.6820000000000001E-7</v>
      </c>
      <c r="AJ147" s="16">
        <v>2.2609999999999999E-7</v>
      </c>
      <c r="AK147" s="16">
        <v>6.4209999999999996E-7</v>
      </c>
      <c r="AL147" s="16">
        <v>2.1069999999999999E-6</v>
      </c>
      <c r="AM147" s="16">
        <v>-4.2999999999999996E-9</v>
      </c>
      <c r="AN147" s="16">
        <v>1.3610000000000001E-7</v>
      </c>
      <c r="AO147" s="16">
        <v>-2.125E-7</v>
      </c>
      <c r="AP147" s="16">
        <v>0</v>
      </c>
      <c r="AQ147" s="16">
        <v>0</v>
      </c>
      <c r="AR147" s="16">
        <v>0</v>
      </c>
      <c r="AS147" s="16">
        <v>0</v>
      </c>
      <c r="AT147" s="16">
        <v>0</v>
      </c>
      <c r="AU147" s="16">
        <v>0</v>
      </c>
      <c r="AV147" s="16">
        <v>0</v>
      </c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0</v>
      </c>
      <c r="BD147" s="16">
        <v>0</v>
      </c>
      <c r="BE147" s="16">
        <v>0</v>
      </c>
      <c r="BF147" s="16">
        <v>0</v>
      </c>
      <c r="BG147" s="16">
        <v>0</v>
      </c>
      <c r="BH147" s="16">
        <v>0</v>
      </c>
      <c r="BI147" s="16">
        <v>0</v>
      </c>
      <c r="BJ147" s="16">
        <v>7.4286000000000003E-6</v>
      </c>
      <c r="BK147" s="16"/>
      <c r="BL147" s="16">
        <v>1645900</v>
      </c>
      <c r="BM147" s="61" t="s">
        <v>1285</v>
      </c>
    </row>
    <row r="148" spans="5:65" x14ac:dyDescent="0.25">
      <c r="E148" s="7">
        <f>COUNTIFS(tblBOneExport[ISIN],tblBOneExport[[#This Row],[ISIN]],tblBOneExport[LEVEL1],"Bonds")</f>
        <v>1</v>
      </c>
      <c r="F148">
        <v>4547</v>
      </c>
      <c r="G148" s="155">
        <v>42947</v>
      </c>
      <c r="H148" s="155">
        <v>42978</v>
      </c>
      <c r="I148" t="s">
        <v>1655</v>
      </c>
      <c r="J148">
        <v>1644667</v>
      </c>
      <c r="K148" s="18" t="s">
        <v>1656</v>
      </c>
      <c r="L148" t="s">
        <v>864</v>
      </c>
      <c r="M148" t="s">
        <v>865</v>
      </c>
      <c r="N148" t="s">
        <v>492</v>
      </c>
      <c r="O148" t="s">
        <v>372</v>
      </c>
      <c r="P148" t="s">
        <v>1276</v>
      </c>
      <c r="Q148" t="s">
        <v>1330</v>
      </c>
      <c r="R148" t="s">
        <v>1331</v>
      </c>
      <c r="S148" t="s">
        <v>1331</v>
      </c>
      <c r="T148" t="s">
        <v>1331</v>
      </c>
      <c r="U148" t="s">
        <v>1331</v>
      </c>
      <c r="V148" t="s">
        <v>1303</v>
      </c>
      <c r="W148" t="s">
        <v>493</v>
      </c>
      <c r="X148" t="s">
        <v>1282</v>
      </c>
      <c r="Y148" s="154">
        <v>46095</v>
      </c>
      <c r="Z148" s="154">
        <v>46095</v>
      </c>
      <c r="AA148" t="s">
        <v>1418</v>
      </c>
      <c r="AB148" t="s">
        <v>1419</v>
      </c>
      <c r="AC148">
        <v>1.6039366E-3</v>
      </c>
      <c r="AD148" s="16">
        <v>2.0592516299999999E-2</v>
      </c>
      <c r="AE148" s="16">
        <v>3.2983900000000001E-5</v>
      </c>
      <c r="AF148" s="16">
        <v>0</v>
      </c>
      <c r="AG148" s="16">
        <v>0</v>
      </c>
      <c r="AH148" s="16">
        <v>0</v>
      </c>
      <c r="AI148" s="16">
        <v>3.0997000000000002E-6</v>
      </c>
      <c r="AJ148" s="16">
        <v>1.268E-6</v>
      </c>
      <c r="AK148" s="16">
        <v>1.8317E-6</v>
      </c>
      <c r="AL148" s="16">
        <v>2.1671900000000002E-5</v>
      </c>
      <c r="AM148" s="16">
        <v>1.2454E-6</v>
      </c>
      <c r="AN148" s="16">
        <v>6.9531999999999998E-6</v>
      </c>
      <c r="AO148" s="16">
        <v>1.2590999999999999E-6</v>
      </c>
      <c r="AP148" s="16">
        <v>0</v>
      </c>
      <c r="AQ148" s="16">
        <v>0</v>
      </c>
      <c r="AR148" s="16">
        <v>0</v>
      </c>
      <c r="AS148" s="16">
        <v>0</v>
      </c>
      <c r="AT148" s="16">
        <v>0</v>
      </c>
      <c r="AU148" s="16">
        <v>0</v>
      </c>
      <c r="AV148" s="16">
        <v>0</v>
      </c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0</v>
      </c>
      <c r="BD148" s="16">
        <v>0</v>
      </c>
      <c r="BE148" s="16">
        <v>0</v>
      </c>
      <c r="BF148" s="16">
        <v>0</v>
      </c>
      <c r="BG148" s="16">
        <v>0</v>
      </c>
      <c r="BH148" s="16">
        <v>0</v>
      </c>
      <c r="BI148" s="16">
        <v>0</v>
      </c>
      <c r="BJ148" s="16">
        <v>2.04117E-5</v>
      </c>
      <c r="BK148" s="16"/>
      <c r="BL148" s="16">
        <v>1644667</v>
      </c>
      <c r="BM148" s="61" t="s">
        <v>1285</v>
      </c>
    </row>
    <row r="149" spans="5:65" x14ac:dyDescent="0.25">
      <c r="E149" s="7">
        <f>COUNTIFS(tblBOneExport[ISIN],tblBOneExport[[#This Row],[ISIN]],tblBOneExport[LEVEL1],"Bonds")</f>
        <v>1</v>
      </c>
      <c r="F149">
        <v>4547</v>
      </c>
      <c r="G149" s="155">
        <v>42947</v>
      </c>
      <c r="H149" s="155">
        <v>42978</v>
      </c>
      <c r="I149" t="s">
        <v>1657</v>
      </c>
      <c r="J149">
        <v>1644611</v>
      </c>
      <c r="K149" s="18" t="s">
        <v>1658</v>
      </c>
      <c r="L149" t="s">
        <v>834</v>
      </c>
      <c r="M149" t="s">
        <v>828</v>
      </c>
      <c r="N149" t="s">
        <v>492</v>
      </c>
      <c r="O149" t="s">
        <v>372</v>
      </c>
      <c r="P149" t="s">
        <v>1276</v>
      </c>
      <c r="Q149" t="s">
        <v>1277</v>
      </c>
      <c r="R149" t="s">
        <v>1278</v>
      </c>
      <c r="S149" t="s">
        <v>1348</v>
      </c>
      <c r="T149" t="s">
        <v>1349</v>
      </c>
      <c r="U149" t="s">
        <v>1349</v>
      </c>
      <c r="V149" t="s">
        <v>1332</v>
      </c>
      <c r="W149" t="s">
        <v>493</v>
      </c>
      <c r="X149" t="s">
        <v>1282</v>
      </c>
      <c r="Y149" s="154">
        <v>51634</v>
      </c>
      <c r="Z149" s="154">
        <v>51634</v>
      </c>
      <c r="AA149" t="s">
        <v>1541</v>
      </c>
      <c r="AB149" t="s">
        <v>1542</v>
      </c>
      <c r="AC149">
        <v>2.6437725000000001E-3</v>
      </c>
      <c r="AD149" s="16">
        <v>2.3412830799999999E-2</v>
      </c>
      <c r="AE149" s="16">
        <v>6.1593499999999999E-5</v>
      </c>
      <c r="AF149" s="16">
        <v>0</v>
      </c>
      <c r="AG149" s="16">
        <v>0</v>
      </c>
      <c r="AH149" s="16">
        <v>0</v>
      </c>
      <c r="AI149" s="16">
        <v>6.4691999999999998E-6</v>
      </c>
      <c r="AJ149" s="16">
        <v>3.8384000000000004E-6</v>
      </c>
      <c r="AK149" s="16">
        <v>2.6307999999999999E-6</v>
      </c>
      <c r="AL149" s="16">
        <v>5.58642E-5</v>
      </c>
      <c r="AM149" s="16">
        <v>7.3760000000000004E-7</v>
      </c>
      <c r="AN149" s="16">
        <v>5.7700000000000001E-8</v>
      </c>
      <c r="AO149" s="16">
        <v>-7.976E-7</v>
      </c>
      <c r="AP149" s="16">
        <v>0</v>
      </c>
      <c r="AQ149" s="16">
        <v>0</v>
      </c>
      <c r="AR149" s="16">
        <v>0</v>
      </c>
      <c r="AS149" s="16">
        <v>0</v>
      </c>
      <c r="AT149" s="16">
        <v>0</v>
      </c>
      <c r="AU149" s="16">
        <v>0</v>
      </c>
      <c r="AV149" s="16">
        <v>0</v>
      </c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0</v>
      </c>
      <c r="BD149" s="16">
        <v>0</v>
      </c>
      <c r="BE149" s="16">
        <v>0</v>
      </c>
      <c r="BF149" s="16">
        <v>0</v>
      </c>
      <c r="BG149" s="16">
        <v>0</v>
      </c>
      <c r="BH149" s="16">
        <v>0</v>
      </c>
      <c r="BI149" s="16">
        <v>0</v>
      </c>
      <c r="BJ149" s="16">
        <v>3.0857E-5</v>
      </c>
      <c r="BK149" s="16"/>
      <c r="BL149" s="16">
        <v>1644611</v>
      </c>
      <c r="BM149" s="61" t="s">
        <v>1285</v>
      </c>
    </row>
    <row r="150" spans="5:65" x14ac:dyDescent="0.25">
      <c r="E150" s="7">
        <f>COUNTIFS(tblBOneExport[ISIN],tblBOneExport[[#This Row],[ISIN]],tblBOneExport[LEVEL1],"Bonds")</f>
        <v>1</v>
      </c>
      <c r="F150">
        <v>4547</v>
      </c>
      <c r="G150" s="155">
        <v>42947</v>
      </c>
      <c r="H150" s="155">
        <v>42978</v>
      </c>
      <c r="I150" t="s">
        <v>1659</v>
      </c>
      <c r="J150">
        <v>1653335</v>
      </c>
      <c r="K150" s="18" t="s">
        <v>1660</v>
      </c>
      <c r="L150" t="s">
        <v>1057</v>
      </c>
      <c r="M150" t="s">
        <v>1051</v>
      </c>
      <c r="N150" t="s">
        <v>492</v>
      </c>
      <c r="O150" t="s">
        <v>372</v>
      </c>
      <c r="P150" t="s">
        <v>1276</v>
      </c>
      <c r="Q150" t="s">
        <v>1277</v>
      </c>
      <c r="R150" t="s">
        <v>1322</v>
      </c>
      <c r="S150" t="s">
        <v>1358</v>
      </c>
      <c r="T150" t="s">
        <v>1358</v>
      </c>
      <c r="U150" t="s">
        <v>1358</v>
      </c>
      <c r="V150" t="s">
        <v>1288</v>
      </c>
      <c r="W150" t="s">
        <v>493</v>
      </c>
      <c r="X150" t="s">
        <v>1282</v>
      </c>
      <c r="Y150" s="154">
        <v>48320</v>
      </c>
      <c r="Z150" s="154">
        <v>48320</v>
      </c>
      <c r="AA150" t="s">
        <v>1359</v>
      </c>
      <c r="AB150" t="s">
        <v>1360</v>
      </c>
      <c r="AC150">
        <v>1.4699308E-3</v>
      </c>
      <c r="AD150" s="16">
        <v>1.9289678899999999E-2</v>
      </c>
      <c r="AE150" s="16">
        <v>2.8269600000000001E-5</v>
      </c>
      <c r="AF150" s="16">
        <v>0</v>
      </c>
      <c r="AG150" s="16">
        <v>0</v>
      </c>
      <c r="AH150" s="16">
        <v>0</v>
      </c>
      <c r="AI150" s="16">
        <v>3.1487999999999998E-6</v>
      </c>
      <c r="AJ150" s="16">
        <v>1.8014E-6</v>
      </c>
      <c r="AK150" s="16">
        <v>1.3475E-6</v>
      </c>
      <c r="AL150" s="16">
        <v>2.8249700000000002E-5</v>
      </c>
      <c r="AM150" s="16">
        <v>5.0920000000000003E-7</v>
      </c>
      <c r="AN150" s="16">
        <v>-4.8486999999999998E-6</v>
      </c>
      <c r="AO150" s="16">
        <v>1.7198E-6</v>
      </c>
      <c r="AP150" s="16">
        <v>0</v>
      </c>
      <c r="AQ150" s="16">
        <v>0</v>
      </c>
      <c r="AR150" s="16">
        <v>0</v>
      </c>
      <c r="AS150" s="16">
        <v>0</v>
      </c>
      <c r="AT150" s="16">
        <v>0</v>
      </c>
      <c r="AU150" s="16">
        <v>0</v>
      </c>
      <c r="AV150" s="16">
        <v>0</v>
      </c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0</v>
      </c>
      <c r="BD150" s="16">
        <v>0</v>
      </c>
      <c r="BE150" s="16">
        <v>0</v>
      </c>
      <c r="BF150" s="16">
        <v>0</v>
      </c>
      <c r="BG150" s="16">
        <v>0</v>
      </c>
      <c r="BH150" s="16">
        <v>0</v>
      </c>
      <c r="BI150" s="16">
        <v>0</v>
      </c>
      <c r="BJ150" s="16">
        <v>1.61054E-5</v>
      </c>
      <c r="BK150" s="16"/>
      <c r="BL150" s="16">
        <v>1653335</v>
      </c>
      <c r="BM150" s="61" t="s">
        <v>1285</v>
      </c>
    </row>
    <row r="151" spans="5:65" x14ac:dyDescent="0.25">
      <c r="E151" s="7">
        <f>COUNTIFS(tblBOneExport[ISIN],tblBOneExport[[#This Row],[ISIN]],tblBOneExport[LEVEL1],"Bonds")</f>
        <v>1</v>
      </c>
      <c r="F151">
        <v>4547</v>
      </c>
      <c r="G151" s="155">
        <v>42947</v>
      </c>
      <c r="H151" s="155">
        <v>42978</v>
      </c>
      <c r="I151" t="s">
        <v>1661</v>
      </c>
      <c r="J151">
        <v>1653315</v>
      </c>
      <c r="K151" s="18" t="s">
        <v>1662</v>
      </c>
      <c r="L151" t="s">
        <v>992</v>
      </c>
      <c r="M151" t="s">
        <v>993</v>
      </c>
      <c r="N151" t="s">
        <v>492</v>
      </c>
      <c r="O151" t="s">
        <v>372</v>
      </c>
      <c r="P151" t="s">
        <v>1276</v>
      </c>
      <c r="Q151" t="s">
        <v>1277</v>
      </c>
      <c r="R151" t="s">
        <v>1278</v>
      </c>
      <c r="S151" t="s">
        <v>1306</v>
      </c>
      <c r="T151" t="s">
        <v>1422</v>
      </c>
      <c r="U151" t="s">
        <v>1422</v>
      </c>
      <c r="V151" t="s">
        <v>1288</v>
      </c>
      <c r="W151" t="s">
        <v>493</v>
      </c>
      <c r="X151" t="s">
        <v>1282</v>
      </c>
      <c r="Y151" s="154">
        <v>44495</v>
      </c>
      <c r="Z151" s="154">
        <v>44495</v>
      </c>
      <c r="AA151" t="s">
        <v>1359</v>
      </c>
      <c r="AB151" t="s">
        <v>1360</v>
      </c>
      <c r="AC151">
        <v>3.0374307000000001E-3</v>
      </c>
      <c r="AD151" s="16">
        <v>7.3004912000000002E-3</v>
      </c>
      <c r="AE151" s="16">
        <v>2.22785E-5</v>
      </c>
      <c r="AF151" s="16">
        <v>0</v>
      </c>
      <c r="AG151" s="16">
        <v>0</v>
      </c>
      <c r="AH151" s="16">
        <v>0</v>
      </c>
      <c r="AI151" s="16">
        <v>4.2845999999999996E-6</v>
      </c>
      <c r="AJ151" s="16">
        <v>8.8579999999999995E-7</v>
      </c>
      <c r="AK151" s="16">
        <v>3.3988E-6</v>
      </c>
      <c r="AL151" s="16">
        <v>1.6612E-5</v>
      </c>
      <c r="AM151" s="16">
        <v>1.824E-6</v>
      </c>
      <c r="AN151" s="16">
        <v>3.6984999999999998E-6</v>
      </c>
      <c r="AO151" s="16">
        <v>-2.3166E-6</v>
      </c>
      <c r="AP151" s="16">
        <v>0</v>
      </c>
      <c r="AQ151" s="16">
        <v>0</v>
      </c>
      <c r="AR151" s="16">
        <v>0</v>
      </c>
      <c r="AS151" s="16">
        <v>0</v>
      </c>
      <c r="AT151" s="16">
        <v>0</v>
      </c>
      <c r="AU151" s="16">
        <v>0</v>
      </c>
      <c r="AV151" s="16">
        <v>0</v>
      </c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0</v>
      </c>
      <c r="BD151" s="16">
        <v>0</v>
      </c>
      <c r="BE151" s="16">
        <v>0</v>
      </c>
      <c r="BF151" s="16">
        <v>0</v>
      </c>
      <c r="BG151" s="16">
        <v>0</v>
      </c>
      <c r="BH151" s="16">
        <v>0</v>
      </c>
      <c r="BI151" s="16">
        <v>0</v>
      </c>
      <c r="BJ151" s="16">
        <v>3.9158400000000001E-5</v>
      </c>
      <c r="BK151" s="16"/>
      <c r="BL151" s="16">
        <v>1653315</v>
      </c>
      <c r="BM151" s="61" t="s">
        <v>1285</v>
      </c>
    </row>
    <row r="152" spans="5:65" x14ac:dyDescent="0.25">
      <c r="E152" s="7">
        <f>COUNTIFS(tblBOneExport[ISIN],tblBOneExport[[#This Row],[ISIN]],tblBOneExport[LEVEL1],"Bonds")</f>
        <v>1</v>
      </c>
      <c r="F152">
        <v>4547</v>
      </c>
      <c r="G152" s="155">
        <v>42947</v>
      </c>
      <c r="H152" s="155">
        <v>42978</v>
      </c>
      <c r="I152" t="s">
        <v>1663</v>
      </c>
      <c r="J152">
        <v>1665084</v>
      </c>
      <c r="K152" s="18" t="s">
        <v>1664</v>
      </c>
      <c r="L152" t="s">
        <v>1042</v>
      </c>
      <c r="M152" t="s">
        <v>1043</v>
      </c>
      <c r="N152" t="s">
        <v>492</v>
      </c>
      <c r="O152" t="s">
        <v>372</v>
      </c>
      <c r="P152" t="s">
        <v>1276</v>
      </c>
      <c r="Q152" t="s">
        <v>1277</v>
      </c>
      <c r="R152" t="s">
        <v>1278</v>
      </c>
      <c r="S152" t="s">
        <v>1348</v>
      </c>
      <c r="T152" t="s">
        <v>1615</v>
      </c>
      <c r="U152" t="s">
        <v>1615</v>
      </c>
      <c r="V152" t="s">
        <v>1288</v>
      </c>
      <c r="W152" t="s">
        <v>493</v>
      </c>
      <c r="X152" t="s">
        <v>1282</v>
      </c>
      <c r="Y152" s="154">
        <v>43575</v>
      </c>
      <c r="Z152" s="154">
        <v>43575</v>
      </c>
      <c r="AA152" t="s">
        <v>1541</v>
      </c>
      <c r="AB152" t="s">
        <v>1542</v>
      </c>
      <c r="AC152">
        <v>2.5181429999999999E-4</v>
      </c>
      <c r="AD152" s="16">
        <v>2.4739961E-3</v>
      </c>
      <c r="AE152" s="16">
        <v>6.2760000000000003E-7</v>
      </c>
      <c r="AF152" s="16">
        <v>0</v>
      </c>
      <c r="AG152" s="16">
        <v>0</v>
      </c>
      <c r="AH152" s="16">
        <v>0</v>
      </c>
      <c r="AI152" s="16">
        <v>2.6249999999999997E-7</v>
      </c>
      <c r="AJ152" s="16">
        <v>4.5400000000000003E-8</v>
      </c>
      <c r="AK152" s="16">
        <v>2.1710000000000001E-7</v>
      </c>
      <c r="AL152" s="16">
        <v>4.5320000000000001E-7</v>
      </c>
      <c r="AM152" s="16">
        <v>-1.0999999999999999E-9</v>
      </c>
      <c r="AN152" s="16">
        <v>-1.0560000000000001E-7</v>
      </c>
      <c r="AO152" s="16">
        <v>1.7500000000000001E-8</v>
      </c>
      <c r="AP152" s="16">
        <v>0</v>
      </c>
      <c r="AQ152" s="16">
        <v>0</v>
      </c>
      <c r="AR152" s="16">
        <v>0</v>
      </c>
      <c r="AS152" s="16">
        <v>0</v>
      </c>
      <c r="AT152" s="16">
        <v>0</v>
      </c>
      <c r="AU152" s="16">
        <v>0</v>
      </c>
      <c r="AV152" s="16">
        <v>0</v>
      </c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0</v>
      </c>
      <c r="BD152" s="16">
        <v>0</v>
      </c>
      <c r="BE152" s="16">
        <v>0</v>
      </c>
      <c r="BF152" s="16">
        <v>0</v>
      </c>
      <c r="BG152" s="16">
        <v>0</v>
      </c>
      <c r="BH152" s="16">
        <v>0</v>
      </c>
      <c r="BI152" s="16">
        <v>0</v>
      </c>
      <c r="BJ152" s="16">
        <v>2.5675E-6</v>
      </c>
      <c r="BK152" s="16"/>
      <c r="BL152" s="16">
        <v>1665084</v>
      </c>
      <c r="BM152" s="61" t="s">
        <v>1285</v>
      </c>
    </row>
    <row r="153" spans="5:65" x14ac:dyDescent="0.25">
      <c r="E153" s="7">
        <f>COUNTIFS(tblBOneExport[ISIN],tblBOneExport[[#This Row],[ISIN]],tblBOneExport[LEVEL1],"Bonds")</f>
        <v>1</v>
      </c>
      <c r="F153">
        <v>4547</v>
      </c>
      <c r="G153" s="155">
        <v>42947</v>
      </c>
      <c r="H153" s="155">
        <v>42978</v>
      </c>
      <c r="I153" t="s">
        <v>1665</v>
      </c>
      <c r="J153">
        <v>1665720</v>
      </c>
      <c r="K153" s="18" t="s">
        <v>1666</v>
      </c>
      <c r="L153" t="s">
        <v>846</v>
      </c>
      <c r="M153" t="s">
        <v>847</v>
      </c>
      <c r="N153" t="s">
        <v>492</v>
      </c>
      <c r="O153" t="s">
        <v>372</v>
      </c>
      <c r="P153" t="s">
        <v>1276</v>
      </c>
      <c r="Q153" t="s">
        <v>1277</v>
      </c>
      <c r="R153" t="s">
        <v>1322</v>
      </c>
      <c r="S153" t="s">
        <v>1358</v>
      </c>
      <c r="T153" t="s">
        <v>1358</v>
      </c>
      <c r="U153" t="s">
        <v>1358</v>
      </c>
      <c r="V153" t="s">
        <v>1288</v>
      </c>
      <c r="W153" t="s">
        <v>493</v>
      </c>
      <c r="X153" t="s">
        <v>1282</v>
      </c>
      <c r="Y153" s="154">
        <v>46220</v>
      </c>
      <c r="Z153" s="154">
        <v>46220</v>
      </c>
      <c r="AA153" t="s">
        <v>1359</v>
      </c>
      <c r="AB153" t="s">
        <v>1360</v>
      </c>
      <c r="AC153">
        <v>2.2789211999999998E-3</v>
      </c>
      <c r="AD153" s="16">
        <v>1.6123312099999999E-2</v>
      </c>
      <c r="AE153" s="16">
        <v>3.67198E-5</v>
      </c>
      <c r="AF153" s="16">
        <v>0</v>
      </c>
      <c r="AG153" s="16">
        <v>0</v>
      </c>
      <c r="AH153" s="16">
        <v>0</v>
      </c>
      <c r="AI153" s="16">
        <v>4.0111999999999998E-6</v>
      </c>
      <c r="AJ153" s="16">
        <v>1.8945E-6</v>
      </c>
      <c r="AK153" s="16">
        <v>2.1167E-6</v>
      </c>
      <c r="AL153" s="16">
        <v>3.28939E-5</v>
      </c>
      <c r="AM153" s="16">
        <v>1.9041999999999999E-6</v>
      </c>
      <c r="AN153" s="16">
        <v>-1.3708000000000001E-6</v>
      </c>
      <c r="AO153" s="16">
        <v>1.1854999999999999E-6</v>
      </c>
      <c r="AP153" s="16">
        <v>0</v>
      </c>
      <c r="AQ153" s="16">
        <v>0</v>
      </c>
      <c r="AR153" s="16">
        <v>0</v>
      </c>
      <c r="AS153" s="16">
        <v>0</v>
      </c>
      <c r="AT153" s="16">
        <v>0</v>
      </c>
      <c r="AU153" s="16">
        <v>0</v>
      </c>
      <c r="AV153" s="16">
        <v>0</v>
      </c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0</v>
      </c>
      <c r="BD153" s="16">
        <v>0</v>
      </c>
      <c r="BE153" s="16">
        <v>0</v>
      </c>
      <c r="BF153" s="16">
        <v>0</v>
      </c>
      <c r="BG153" s="16">
        <v>0</v>
      </c>
      <c r="BH153" s="16">
        <v>0</v>
      </c>
      <c r="BI153" s="16">
        <v>0</v>
      </c>
      <c r="BJ153" s="16">
        <v>2.50056E-5</v>
      </c>
      <c r="BK153" s="16"/>
      <c r="BL153" s="16">
        <v>1665720</v>
      </c>
      <c r="BM153" s="61" t="s">
        <v>1285</v>
      </c>
    </row>
    <row r="154" spans="5:65" x14ac:dyDescent="0.25">
      <c r="E154" s="7">
        <f>COUNTIFS(tblBOneExport[ISIN],tblBOneExport[[#This Row],[ISIN]],tblBOneExport[LEVEL1],"Bonds")</f>
        <v>1</v>
      </c>
      <c r="F154">
        <v>4547</v>
      </c>
      <c r="G154" s="155">
        <v>42947</v>
      </c>
      <c r="H154" s="155">
        <v>42978</v>
      </c>
      <c r="I154" t="s">
        <v>1667</v>
      </c>
      <c r="J154">
        <v>1668459</v>
      </c>
      <c r="K154" s="18" t="s">
        <v>1668</v>
      </c>
      <c r="L154" t="s">
        <v>697</v>
      </c>
      <c r="M154" t="s">
        <v>691</v>
      </c>
      <c r="N154" t="s">
        <v>492</v>
      </c>
      <c r="O154" t="s">
        <v>372</v>
      </c>
      <c r="P154" t="s">
        <v>1276</v>
      </c>
      <c r="Q154" t="s">
        <v>1277</v>
      </c>
      <c r="R154" t="s">
        <v>1322</v>
      </c>
      <c r="S154" t="s">
        <v>1358</v>
      </c>
      <c r="T154" t="s">
        <v>1358</v>
      </c>
      <c r="U154" t="s">
        <v>1358</v>
      </c>
      <c r="V154" t="s">
        <v>1288</v>
      </c>
      <c r="W154" t="s">
        <v>493</v>
      </c>
      <c r="X154" t="s">
        <v>1282</v>
      </c>
      <c r="Y154" s="154">
        <v>44469</v>
      </c>
      <c r="Z154" s="154">
        <v>44469</v>
      </c>
      <c r="AA154" t="s">
        <v>1359</v>
      </c>
      <c r="AB154" t="s">
        <v>1360</v>
      </c>
      <c r="AC154">
        <v>1.3736993E-3</v>
      </c>
      <c r="AD154" s="16">
        <v>5.2364322999999997E-3</v>
      </c>
      <c r="AE154" s="16">
        <v>7.2328999999999998E-6</v>
      </c>
      <c r="AF154" s="16">
        <v>0</v>
      </c>
      <c r="AG154" s="16">
        <v>0</v>
      </c>
      <c r="AH154" s="16">
        <v>0</v>
      </c>
      <c r="AI154" s="16">
        <v>1.3176999999999999E-6</v>
      </c>
      <c r="AJ154" s="16">
        <v>3.8700000000000001E-7</v>
      </c>
      <c r="AK154" s="16">
        <v>9.3070000000000004E-7</v>
      </c>
      <c r="AL154" s="16">
        <v>7.4178000000000004E-6</v>
      </c>
      <c r="AM154" s="16">
        <v>8.2399999999999997E-7</v>
      </c>
      <c r="AN154" s="16">
        <v>-1.4839000000000001E-6</v>
      </c>
      <c r="AO154" s="16">
        <v>-1.8699999999999999E-8</v>
      </c>
      <c r="AP154" s="16">
        <v>0</v>
      </c>
      <c r="AQ154" s="16">
        <v>0</v>
      </c>
      <c r="AR154" s="16">
        <v>0</v>
      </c>
      <c r="AS154" s="16">
        <v>0</v>
      </c>
      <c r="AT154" s="16">
        <v>0</v>
      </c>
      <c r="AU154" s="16">
        <v>0</v>
      </c>
      <c r="AV154" s="16">
        <v>0</v>
      </c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0</v>
      </c>
      <c r="BD154" s="16">
        <v>0</v>
      </c>
      <c r="BE154" s="16">
        <v>0</v>
      </c>
      <c r="BF154" s="16">
        <v>0</v>
      </c>
      <c r="BG154" s="16">
        <v>0</v>
      </c>
      <c r="BH154" s="16">
        <v>0</v>
      </c>
      <c r="BI154" s="16">
        <v>0</v>
      </c>
      <c r="BJ154" s="16">
        <v>1.09779E-5</v>
      </c>
      <c r="BK154" s="16"/>
      <c r="BL154" s="16">
        <v>1668459</v>
      </c>
      <c r="BM154" s="61" t="s">
        <v>1285</v>
      </c>
    </row>
    <row r="155" spans="5:65" x14ac:dyDescent="0.25">
      <c r="E155" s="7">
        <f>COUNTIFS(tblBOneExport[ISIN],tblBOneExport[[#This Row],[ISIN]],tblBOneExport[LEVEL1],"Bonds")</f>
        <v>1</v>
      </c>
      <c r="F155">
        <v>4547</v>
      </c>
      <c r="G155" s="155">
        <v>42947</v>
      </c>
      <c r="H155" s="155">
        <v>42978</v>
      </c>
      <c r="I155" t="s">
        <v>1669</v>
      </c>
      <c r="J155">
        <v>1669526</v>
      </c>
      <c r="K155" s="18" t="s">
        <v>1670</v>
      </c>
      <c r="L155" t="s">
        <v>522</v>
      </c>
      <c r="M155" t="s">
        <v>518</v>
      </c>
      <c r="N155" t="s">
        <v>492</v>
      </c>
      <c r="O155" t="s">
        <v>372</v>
      </c>
      <c r="P155" t="s">
        <v>1276</v>
      </c>
      <c r="Q155" t="s">
        <v>1277</v>
      </c>
      <c r="R155" t="s">
        <v>1278</v>
      </c>
      <c r="S155" t="s">
        <v>1312</v>
      </c>
      <c r="T155" t="s">
        <v>1313</v>
      </c>
      <c r="U155" t="s">
        <v>1618</v>
      </c>
      <c r="V155" t="s">
        <v>1281</v>
      </c>
      <c r="W155" t="s">
        <v>493</v>
      </c>
      <c r="X155" t="s">
        <v>1282</v>
      </c>
      <c r="Y155" s="154">
        <v>46322</v>
      </c>
      <c r="Z155" s="154">
        <v>46322</v>
      </c>
      <c r="AA155" t="s">
        <v>1619</v>
      </c>
      <c r="AB155" t="s">
        <v>1620</v>
      </c>
      <c r="AC155">
        <v>4.2381531999999998E-3</v>
      </c>
      <c r="AD155" s="16">
        <v>1.6964730099999999E-2</v>
      </c>
      <c r="AE155" s="16">
        <v>7.1794799999999999E-5</v>
      </c>
      <c r="AF155" s="16">
        <v>0</v>
      </c>
      <c r="AG155" s="16">
        <v>0</v>
      </c>
      <c r="AH155" s="16">
        <v>0</v>
      </c>
      <c r="AI155" s="16">
        <v>8.2739000000000005E-6</v>
      </c>
      <c r="AJ155" s="16">
        <v>3.6275E-6</v>
      </c>
      <c r="AK155" s="16">
        <v>4.6464000000000001E-6</v>
      </c>
      <c r="AL155" s="16">
        <v>6.1596900000000007E-5</v>
      </c>
      <c r="AM155" s="16">
        <v>2.7653E-6</v>
      </c>
      <c r="AN155" s="16">
        <v>3.5109999999999999E-6</v>
      </c>
      <c r="AO155" s="16">
        <v>-1.587E-6</v>
      </c>
      <c r="AP155" s="16">
        <v>0</v>
      </c>
      <c r="AQ155" s="16">
        <v>0</v>
      </c>
      <c r="AR155" s="16">
        <v>0</v>
      </c>
      <c r="AS155" s="16">
        <v>0</v>
      </c>
      <c r="AT155" s="16">
        <v>0</v>
      </c>
      <c r="AU155" s="16">
        <v>0</v>
      </c>
      <c r="AV155" s="16">
        <v>0</v>
      </c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0</v>
      </c>
      <c r="BD155" s="16">
        <v>0</v>
      </c>
      <c r="BE155" s="16">
        <v>0</v>
      </c>
      <c r="BF155" s="16">
        <v>0</v>
      </c>
      <c r="BG155" s="16">
        <v>0</v>
      </c>
      <c r="BH155" s="16">
        <v>0</v>
      </c>
      <c r="BI155" s="16">
        <v>0</v>
      </c>
      <c r="BJ155" s="16">
        <v>5.4845300000000002E-5</v>
      </c>
      <c r="BK155" s="16"/>
      <c r="BL155" s="16">
        <v>1669526</v>
      </c>
      <c r="BM155" s="61" t="s">
        <v>1285</v>
      </c>
    </row>
    <row r="156" spans="5:65" x14ac:dyDescent="0.25">
      <c r="E156" s="7">
        <f>COUNTIFS(tblBOneExport[ISIN],tblBOneExport[[#This Row],[ISIN]],tblBOneExport[LEVEL1],"Bonds")</f>
        <v>1</v>
      </c>
      <c r="F156">
        <v>4547</v>
      </c>
      <c r="G156" s="155">
        <v>42947</v>
      </c>
      <c r="H156" s="155">
        <v>42978</v>
      </c>
      <c r="I156" t="s">
        <v>1671</v>
      </c>
      <c r="J156">
        <v>1669719</v>
      </c>
      <c r="K156" s="18" t="s">
        <v>1672</v>
      </c>
      <c r="L156" t="s">
        <v>1249</v>
      </c>
      <c r="M156" t="s">
        <v>1247</v>
      </c>
      <c r="N156" t="s">
        <v>492</v>
      </c>
      <c r="O156" t="s">
        <v>372</v>
      </c>
      <c r="P156" t="s">
        <v>1276</v>
      </c>
      <c r="Q156" t="s">
        <v>1277</v>
      </c>
      <c r="R156" t="s">
        <v>1322</v>
      </c>
      <c r="S156" t="s">
        <v>1326</v>
      </c>
      <c r="T156" t="s">
        <v>1326</v>
      </c>
      <c r="U156" t="s">
        <v>1326</v>
      </c>
      <c r="V156" t="s">
        <v>1281</v>
      </c>
      <c r="W156" t="s">
        <v>493</v>
      </c>
      <c r="X156" t="s">
        <v>1282</v>
      </c>
      <c r="Y156" s="154">
        <v>46819</v>
      </c>
      <c r="Z156" s="154">
        <v>46819</v>
      </c>
      <c r="AA156" t="s">
        <v>1359</v>
      </c>
      <c r="AB156" t="s">
        <v>1360</v>
      </c>
      <c r="AC156">
        <v>1.204526E-3</v>
      </c>
      <c r="AD156" s="16">
        <v>2.0144868699999999E-2</v>
      </c>
      <c r="AE156" s="16">
        <v>2.41819E-5</v>
      </c>
      <c r="AF156" s="16">
        <v>0</v>
      </c>
      <c r="AG156" s="16">
        <v>0</v>
      </c>
      <c r="AH156" s="16">
        <v>0</v>
      </c>
      <c r="AI156" s="16">
        <v>2.1054000000000002E-6</v>
      </c>
      <c r="AJ156" s="16">
        <v>1.1909999999999999E-6</v>
      </c>
      <c r="AK156" s="16">
        <v>9.1429999999999997E-7</v>
      </c>
      <c r="AL156" s="16">
        <v>2.0805299999999999E-5</v>
      </c>
      <c r="AM156" s="16">
        <v>1.1066999999999999E-6</v>
      </c>
      <c r="AN156" s="16">
        <v>3.1699999999999999E-7</v>
      </c>
      <c r="AO156" s="16">
        <v>9.541999999999999E-7</v>
      </c>
      <c r="AP156" s="16">
        <v>0</v>
      </c>
      <c r="AQ156" s="16">
        <v>0</v>
      </c>
      <c r="AR156" s="16">
        <v>0</v>
      </c>
      <c r="AS156" s="16">
        <v>0</v>
      </c>
      <c r="AT156" s="16">
        <v>0</v>
      </c>
      <c r="AU156" s="16">
        <v>0</v>
      </c>
      <c r="AV156" s="16">
        <v>0</v>
      </c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0</v>
      </c>
      <c r="BD156" s="16">
        <v>0</v>
      </c>
      <c r="BE156" s="16">
        <v>0</v>
      </c>
      <c r="BF156" s="16">
        <v>0</v>
      </c>
      <c r="BG156" s="16">
        <v>0</v>
      </c>
      <c r="BH156" s="16">
        <v>0</v>
      </c>
      <c r="BI156" s="16">
        <v>0</v>
      </c>
      <c r="BJ156" s="16">
        <v>1.0720899999999999E-5</v>
      </c>
      <c r="BK156" s="16"/>
      <c r="BL156" s="16">
        <v>1669719</v>
      </c>
      <c r="BM156" s="61" t="s">
        <v>1285</v>
      </c>
    </row>
    <row r="157" spans="5:65" x14ac:dyDescent="0.25">
      <c r="E157" s="7">
        <f>COUNTIFS(tblBOneExport[ISIN],tblBOneExport[[#This Row],[ISIN]],tblBOneExport[LEVEL1],"Bonds")</f>
        <v>1</v>
      </c>
      <c r="F157">
        <v>4547</v>
      </c>
      <c r="G157" s="155">
        <v>42947</v>
      </c>
      <c r="H157" s="155">
        <v>42978</v>
      </c>
      <c r="I157" t="s">
        <v>1673</v>
      </c>
      <c r="J157">
        <v>1669714</v>
      </c>
      <c r="K157" s="18" t="s">
        <v>1674</v>
      </c>
      <c r="L157" t="s">
        <v>1246</v>
      </c>
      <c r="M157" t="s">
        <v>1247</v>
      </c>
      <c r="N157" t="s">
        <v>492</v>
      </c>
      <c r="O157" t="s">
        <v>372</v>
      </c>
      <c r="P157" t="s">
        <v>1276</v>
      </c>
      <c r="Q157" t="s">
        <v>1277</v>
      </c>
      <c r="R157" t="s">
        <v>1322</v>
      </c>
      <c r="S157" t="s">
        <v>1326</v>
      </c>
      <c r="T157" t="s">
        <v>1326</v>
      </c>
      <c r="U157" t="s">
        <v>1326</v>
      </c>
      <c r="V157" t="s">
        <v>1332</v>
      </c>
      <c r="W157" t="s">
        <v>493</v>
      </c>
      <c r="X157" t="s">
        <v>1282</v>
      </c>
      <c r="Y157" s="154">
        <v>45273</v>
      </c>
      <c r="Z157" s="154">
        <v>45273</v>
      </c>
      <c r="AA157" t="s">
        <v>1359</v>
      </c>
      <c r="AB157" t="s">
        <v>1360</v>
      </c>
      <c r="AC157">
        <v>6.6041371999999996E-3</v>
      </c>
      <c r="AD157" s="16">
        <v>1.08117558E-2</v>
      </c>
      <c r="AE157" s="16">
        <v>7.1598099999999995E-5</v>
      </c>
      <c r="AF157" s="16">
        <v>0</v>
      </c>
      <c r="AG157" s="16">
        <v>0</v>
      </c>
      <c r="AH157" s="16">
        <v>0</v>
      </c>
      <c r="AI157" s="16">
        <v>8.4788999999999994E-6</v>
      </c>
      <c r="AJ157" s="16">
        <v>3.7050000000000001E-6</v>
      </c>
      <c r="AK157" s="16">
        <v>4.7737999999999999E-6</v>
      </c>
      <c r="AL157" s="16">
        <v>5.3767300000000003E-5</v>
      </c>
      <c r="AM157" s="16">
        <v>3.7000000000000002E-6</v>
      </c>
      <c r="AN157" s="16">
        <v>1.22619E-5</v>
      </c>
      <c r="AO157" s="16">
        <v>-2.9098999999999999E-6</v>
      </c>
      <c r="AP157" s="16">
        <v>0</v>
      </c>
      <c r="AQ157" s="16">
        <v>0</v>
      </c>
      <c r="AR157" s="16">
        <v>0</v>
      </c>
      <c r="AS157" s="16">
        <v>0</v>
      </c>
      <c r="AT157" s="16">
        <v>0</v>
      </c>
      <c r="AU157" s="16">
        <v>0</v>
      </c>
      <c r="AV157" s="16">
        <v>0</v>
      </c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0</v>
      </c>
      <c r="BD157" s="16">
        <v>0</v>
      </c>
      <c r="BE157" s="16">
        <v>0</v>
      </c>
      <c r="BF157" s="16">
        <v>0</v>
      </c>
      <c r="BG157" s="16">
        <v>0</v>
      </c>
      <c r="BH157" s="16">
        <v>0</v>
      </c>
      <c r="BI157" s="16">
        <v>0</v>
      </c>
      <c r="BJ157" s="16">
        <v>5.3344100000000003E-5</v>
      </c>
      <c r="BK157" s="16"/>
      <c r="BL157" s="16">
        <v>1669714</v>
      </c>
      <c r="BM157" s="61" t="s">
        <v>1285</v>
      </c>
    </row>
    <row r="158" spans="5:65" x14ac:dyDescent="0.25">
      <c r="E158" s="7">
        <f>COUNTIFS(tblBOneExport[ISIN],tblBOneExport[[#This Row],[ISIN]],tblBOneExport[LEVEL1],"Bonds")</f>
        <v>1</v>
      </c>
      <c r="F158">
        <v>4547</v>
      </c>
      <c r="G158" s="155">
        <v>42947</v>
      </c>
      <c r="H158" s="155">
        <v>42978</v>
      </c>
      <c r="I158" t="s">
        <v>1675</v>
      </c>
      <c r="J158">
        <v>1673945</v>
      </c>
      <c r="K158" s="18" t="s">
        <v>1676</v>
      </c>
      <c r="L158" t="s">
        <v>501</v>
      </c>
      <c r="M158" t="s">
        <v>502</v>
      </c>
      <c r="N158" t="s">
        <v>492</v>
      </c>
      <c r="O158" t="s">
        <v>372</v>
      </c>
      <c r="P158" t="s">
        <v>1276</v>
      </c>
      <c r="Q158" t="s">
        <v>1277</v>
      </c>
      <c r="R158" t="s">
        <v>1278</v>
      </c>
      <c r="S158" t="s">
        <v>1348</v>
      </c>
      <c r="T158" t="s">
        <v>1349</v>
      </c>
      <c r="U158" t="s">
        <v>1349</v>
      </c>
      <c r="V158" t="s">
        <v>1288</v>
      </c>
      <c r="W158" t="s">
        <v>493</v>
      </c>
      <c r="X158" t="s">
        <v>1282</v>
      </c>
      <c r="Y158" s="154">
        <v>46370</v>
      </c>
      <c r="Z158" s="154">
        <v>46370</v>
      </c>
      <c r="AA158" t="s">
        <v>1359</v>
      </c>
      <c r="AB158" t="s">
        <v>1360</v>
      </c>
      <c r="AC158">
        <v>6.3139536E-3</v>
      </c>
      <c r="AD158" s="16">
        <v>1.5658196999999999E-2</v>
      </c>
      <c r="AE158" s="16">
        <v>9.8828500000000004E-5</v>
      </c>
      <c r="AF158" s="16">
        <v>0</v>
      </c>
      <c r="AG158" s="16">
        <v>0</v>
      </c>
      <c r="AH158" s="16">
        <v>0</v>
      </c>
      <c r="AI158" s="16">
        <v>1.43214E-5</v>
      </c>
      <c r="AJ158" s="16">
        <v>5.4558999999999997E-6</v>
      </c>
      <c r="AK158" s="16">
        <v>8.8655000000000001E-6</v>
      </c>
      <c r="AL158" s="16">
        <v>9.2442199999999994E-5</v>
      </c>
      <c r="AM158" s="16">
        <v>4.1122000000000002E-6</v>
      </c>
      <c r="AN158" s="16">
        <v>-3.7463E-6</v>
      </c>
      <c r="AO158" s="16">
        <v>-4.1887999999999996E-6</v>
      </c>
      <c r="AP158" s="16">
        <v>0</v>
      </c>
      <c r="AQ158" s="16">
        <v>0</v>
      </c>
      <c r="AR158" s="16">
        <v>0</v>
      </c>
      <c r="AS158" s="16">
        <v>0</v>
      </c>
      <c r="AT158" s="16">
        <v>0</v>
      </c>
      <c r="AU158" s="16">
        <v>0</v>
      </c>
      <c r="AV158" s="16">
        <v>0</v>
      </c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0</v>
      </c>
      <c r="BD158" s="16">
        <v>0</v>
      </c>
      <c r="BE158" s="16">
        <v>0</v>
      </c>
      <c r="BF158" s="16">
        <v>0</v>
      </c>
      <c r="BG158" s="16">
        <v>0</v>
      </c>
      <c r="BH158" s="16">
        <v>0</v>
      </c>
      <c r="BI158" s="16">
        <v>0</v>
      </c>
      <c r="BJ158" s="16">
        <v>1.034513E-4</v>
      </c>
      <c r="BK158" s="16"/>
      <c r="BL158" s="16">
        <v>1673945</v>
      </c>
      <c r="BM158" s="61" t="s">
        <v>1285</v>
      </c>
    </row>
    <row r="159" spans="5:65" x14ac:dyDescent="0.25">
      <c r="E159" s="7">
        <f>COUNTIFS(tblBOneExport[ISIN],tblBOneExport[[#This Row],[ISIN]],tblBOneExport[LEVEL1],"Bonds")</f>
        <v>1</v>
      </c>
      <c r="F159">
        <v>4547</v>
      </c>
      <c r="G159" s="155">
        <v>42947</v>
      </c>
      <c r="H159" s="155">
        <v>42978</v>
      </c>
      <c r="I159" t="s">
        <v>1677</v>
      </c>
      <c r="J159">
        <v>1674711</v>
      </c>
      <c r="K159" s="18" t="s">
        <v>1678</v>
      </c>
      <c r="L159" t="s">
        <v>671</v>
      </c>
      <c r="M159" t="s">
        <v>669</v>
      </c>
      <c r="N159" t="s">
        <v>492</v>
      </c>
      <c r="O159" t="s">
        <v>372</v>
      </c>
      <c r="P159" t="s">
        <v>1276</v>
      </c>
      <c r="Q159" t="s">
        <v>1330</v>
      </c>
      <c r="R159" t="s">
        <v>1331</v>
      </c>
      <c r="S159" t="s">
        <v>1331</v>
      </c>
      <c r="T159" t="s">
        <v>1331</v>
      </c>
      <c r="U159" t="s">
        <v>1331</v>
      </c>
      <c r="V159" t="s">
        <v>1315</v>
      </c>
      <c r="W159" t="s">
        <v>493</v>
      </c>
      <c r="X159" t="s">
        <v>1282</v>
      </c>
      <c r="Y159" s="154">
        <v>48225</v>
      </c>
      <c r="Z159" s="154">
        <v>48225</v>
      </c>
      <c r="AA159" t="s">
        <v>1611</v>
      </c>
      <c r="AB159" t="s">
        <v>1612</v>
      </c>
      <c r="AC159">
        <v>6.6293695999999997E-3</v>
      </c>
      <c r="AD159" s="16">
        <v>1.9701105199999999E-2</v>
      </c>
      <c r="AE159" s="16">
        <v>1.302105E-4</v>
      </c>
      <c r="AF159" s="16">
        <v>0</v>
      </c>
      <c r="AG159" s="16">
        <v>0</v>
      </c>
      <c r="AH159" s="16">
        <v>0</v>
      </c>
      <c r="AI159" s="16">
        <v>1.45797E-5</v>
      </c>
      <c r="AJ159" s="16">
        <v>8.0625999999999997E-6</v>
      </c>
      <c r="AK159" s="16">
        <v>6.5169999999999996E-6</v>
      </c>
      <c r="AL159" s="16">
        <v>1.285158E-4</v>
      </c>
      <c r="AM159" s="16">
        <v>2.3020999999999999E-6</v>
      </c>
      <c r="AN159" s="16">
        <v>-1.2534199999999999E-5</v>
      </c>
      <c r="AO159" s="16">
        <v>-3.5079999999999999E-7</v>
      </c>
      <c r="AP159" s="16">
        <v>0</v>
      </c>
      <c r="AQ159" s="16">
        <v>0</v>
      </c>
      <c r="AR159" s="16">
        <v>0</v>
      </c>
      <c r="AS159" s="16">
        <v>0</v>
      </c>
      <c r="AT159" s="16">
        <v>0</v>
      </c>
      <c r="AU159" s="16">
        <v>0</v>
      </c>
      <c r="AV159" s="16">
        <v>0</v>
      </c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0</v>
      </c>
      <c r="BD159" s="16">
        <v>0</v>
      </c>
      <c r="BE159" s="16">
        <v>0</v>
      </c>
      <c r="BF159" s="16">
        <v>0</v>
      </c>
      <c r="BG159" s="16">
        <v>0</v>
      </c>
      <c r="BH159" s="16">
        <v>0</v>
      </c>
      <c r="BI159" s="16">
        <v>0</v>
      </c>
      <c r="BJ159" s="16">
        <v>7.7204600000000003E-5</v>
      </c>
      <c r="BK159" s="16"/>
      <c r="BL159" s="16">
        <v>1674711</v>
      </c>
      <c r="BM159" s="61" t="s">
        <v>1285</v>
      </c>
    </row>
    <row r="160" spans="5:65" x14ac:dyDescent="0.25">
      <c r="E160" s="7">
        <f>COUNTIFS(tblBOneExport[ISIN],tblBOneExport[[#This Row],[ISIN]],tblBOneExport[LEVEL1],"Bonds")</f>
        <v>1</v>
      </c>
      <c r="F160">
        <v>4547</v>
      </c>
      <c r="G160" s="155">
        <v>42947</v>
      </c>
      <c r="H160" s="155">
        <v>42978</v>
      </c>
      <c r="I160" t="s">
        <v>1679</v>
      </c>
      <c r="J160">
        <v>1674893</v>
      </c>
      <c r="K160" s="18" t="s">
        <v>1680</v>
      </c>
      <c r="L160" t="s">
        <v>1015</v>
      </c>
      <c r="M160" t="s">
        <v>1011</v>
      </c>
      <c r="N160" t="s">
        <v>492</v>
      </c>
      <c r="O160" t="s">
        <v>372</v>
      </c>
      <c r="P160" t="s">
        <v>1276</v>
      </c>
      <c r="Q160" t="s">
        <v>1277</v>
      </c>
      <c r="R160" t="s">
        <v>1322</v>
      </c>
      <c r="S160" t="s">
        <v>1323</v>
      </c>
      <c r="T160" t="s">
        <v>1323</v>
      </c>
      <c r="U160" t="s">
        <v>1323</v>
      </c>
      <c r="V160" t="s">
        <v>1288</v>
      </c>
      <c r="W160" t="s">
        <v>493</v>
      </c>
      <c r="X160" t="s">
        <v>1282</v>
      </c>
      <c r="Y160" s="154">
        <v>51889</v>
      </c>
      <c r="Z160" s="154">
        <v>51889</v>
      </c>
      <c r="AA160" t="s">
        <v>1359</v>
      </c>
      <c r="AB160" t="s">
        <v>1360</v>
      </c>
      <c r="AC160">
        <v>6.7714688000000004E-3</v>
      </c>
      <c r="AD160" s="16">
        <v>2.5016200200000002E-2</v>
      </c>
      <c r="AE160" s="16">
        <v>1.6832110000000001E-4</v>
      </c>
      <c r="AF160" s="16">
        <v>0</v>
      </c>
      <c r="AG160" s="16">
        <v>0</v>
      </c>
      <c r="AH160" s="16">
        <v>0</v>
      </c>
      <c r="AI160" s="16">
        <v>1.55784E-5</v>
      </c>
      <c r="AJ160" s="16">
        <v>9.9365000000000005E-6</v>
      </c>
      <c r="AK160" s="16">
        <v>5.6419000000000001E-6</v>
      </c>
      <c r="AL160" s="16">
        <v>1.621355E-4</v>
      </c>
      <c r="AM160" s="16">
        <v>1.9742999999999999E-6</v>
      </c>
      <c r="AN160" s="16">
        <v>-1.7591E-6</v>
      </c>
      <c r="AO160" s="16">
        <v>-7.6336999999999994E-6</v>
      </c>
      <c r="AP160" s="16">
        <v>0</v>
      </c>
      <c r="AQ160" s="16">
        <v>0</v>
      </c>
      <c r="AR160" s="16">
        <v>0</v>
      </c>
      <c r="AS160" s="16">
        <v>0</v>
      </c>
      <c r="AT160" s="16">
        <v>0</v>
      </c>
      <c r="AU160" s="16">
        <v>0</v>
      </c>
      <c r="AV160" s="16">
        <v>0</v>
      </c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0</v>
      </c>
      <c r="BD160" s="16">
        <v>0</v>
      </c>
      <c r="BE160" s="16">
        <v>0</v>
      </c>
      <c r="BF160" s="16">
        <v>0</v>
      </c>
      <c r="BG160" s="16">
        <v>0</v>
      </c>
      <c r="BH160" s="16">
        <v>0</v>
      </c>
      <c r="BI160" s="16">
        <v>0</v>
      </c>
      <c r="BJ160" s="16">
        <v>6.6379599999999997E-5</v>
      </c>
      <c r="BK160" s="16"/>
      <c r="BL160" s="16">
        <v>1674893</v>
      </c>
      <c r="BM160" s="61" t="s">
        <v>1285</v>
      </c>
    </row>
    <row r="161" spans="5:65" x14ac:dyDescent="0.25">
      <c r="E161" s="7">
        <f>COUNTIFS(tblBOneExport[ISIN],tblBOneExport[[#This Row],[ISIN]],tblBOneExport[LEVEL1],"Bonds")</f>
        <v>1</v>
      </c>
      <c r="F161">
        <v>4547</v>
      </c>
      <c r="G161" s="155">
        <v>42947</v>
      </c>
      <c r="H161" s="155">
        <v>42978</v>
      </c>
      <c r="I161" t="s">
        <v>1681</v>
      </c>
      <c r="J161">
        <v>1674914</v>
      </c>
      <c r="K161" s="18" t="s">
        <v>1682</v>
      </c>
      <c r="L161" t="s">
        <v>769</v>
      </c>
      <c r="M161" t="s">
        <v>767</v>
      </c>
      <c r="N161" t="s">
        <v>492</v>
      </c>
      <c r="O161" t="s">
        <v>372</v>
      </c>
      <c r="P161" t="s">
        <v>1276</v>
      </c>
      <c r="Q161" t="s">
        <v>1277</v>
      </c>
      <c r="R161" t="s">
        <v>1278</v>
      </c>
      <c r="S161" t="s">
        <v>1348</v>
      </c>
      <c r="T161" t="s">
        <v>1349</v>
      </c>
      <c r="U161" t="s">
        <v>1349</v>
      </c>
      <c r="V161" t="s">
        <v>1288</v>
      </c>
      <c r="W161" t="s">
        <v>493</v>
      </c>
      <c r="X161" t="s">
        <v>1282</v>
      </c>
      <c r="Y161" s="154">
        <v>45314</v>
      </c>
      <c r="Z161" s="154">
        <v>45314</v>
      </c>
      <c r="AA161" t="s">
        <v>1541</v>
      </c>
      <c r="AB161" t="s">
        <v>1542</v>
      </c>
      <c r="AC161">
        <v>3.4195643E-3</v>
      </c>
      <c r="AD161" s="16">
        <v>9.7052748999999997E-3</v>
      </c>
      <c r="AE161" s="16">
        <v>3.3290100000000002E-5</v>
      </c>
      <c r="AF161" s="16">
        <v>0</v>
      </c>
      <c r="AG161" s="16">
        <v>0</v>
      </c>
      <c r="AH161" s="16">
        <v>0</v>
      </c>
      <c r="AI161" s="16">
        <v>5.5016E-6</v>
      </c>
      <c r="AJ161" s="16">
        <v>1.95E-6</v>
      </c>
      <c r="AK161" s="16">
        <v>3.5516E-6</v>
      </c>
      <c r="AL161" s="16">
        <v>2.88437E-5</v>
      </c>
      <c r="AM161" s="16">
        <v>1.9172E-6</v>
      </c>
      <c r="AN161" s="16">
        <v>-1.4600000000000001E-7</v>
      </c>
      <c r="AO161" s="16">
        <v>-9.0920000000000002E-7</v>
      </c>
      <c r="AP161" s="16">
        <v>0</v>
      </c>
      <c r="AQ161" s="16">
        <v>0</v>
      </c>
      <c r="AR161" s="16">
        <v>0</v>
      </c>
      <c r="AS161" s="16">
        <v>0</v>
      </c>
      <c r="AT161" s="16">
        <v>0</v>
      </c>
      <c r="AU161" s="16">
        <v>0</v>
      </c>
      <c r="AV161" s="16">
        <v>0</v>
      </c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0</v>
      </c>
      <c r="BD161" s="16">
        <v>0</v>
      </c>
      <c r="BE161" s="16">
        <v>0</v>
      </c>
      <c r="BF161" s="16">
        <v>0</v>
      </c>
      <c r="BG161" s="16">
        <v>0</v>
      </c>
      <c r="BH161" s="16">
        <v>0</v>
      </c>
      <c r="BI161" s="16">
        <v>0</v>
      </c>
      <c r="BJ161" s="16">
        <v>4.1150399999999998E-5</v>
      </c>
      <c r="BK161" s="16"/>
      <c r="BL161" s="16">
        <v>1674914</v>
      </c>
      <c r="BM161" s="61" t="s">
        <v>1285</v>
      </c>
    </row>
    <row r="162" spans="5:65" x14ac:dyDescent="0.25">
      <c r="E162" s="7">
        <f>COUNTIFS(tblBOneExport[ISIN],tblBOneExport[[#This Row],[ISIN]],tblBOneExport[LEVEL1],"Bonds")</f>
        <v>1</v>
      </c>
      <c r="F162">
        <v>4547</v>
      </c>
      <c r="G162" s="155">
        <v>42947</v>
      </c>
      <c r="H162" s="155">
        <v>42978</v>
      </c>
      <c r="I162" t="s">
        <v>1683</v>
      </c>
      <c r="J162">
        <v>1674931</v>
      </c>
      <c r="K162" s="18" t="s">
        <v>1684</v>
      </c>
      <c r="L162" t="s">
        <v>1115</v>
      </c>
      <c r="M162" t="s">
        <v>1111</v>
      </c>
      <c r="N162" t="s">
        <v>492</v>
      </c>
      <c r="O162" t="s">
        <v>372</v>
      </c>
      <c r="P162" t="s">
        <v>1276</v>
      </c>
      <c r="Q162" t="s">
        <v>1277</v>
      </c>
      <c r="R162" t="s">
        <v>1322</v>
      </c>
      <c r="S162" t="s">
        <v>1323</v>
      </c>
      <c r="T162" t="s">
        <v>1323</v>
      </c>
      <c r="U162" t="s">
        <v>1323</v>
      </c>
      <c r="V162" t="s">
        <v>1288</v>
      </c>
      <c r="W162" t="s">
        <v>493</v>
      </c>
      <c r="X162" t="s">
        <v>1282</v>
      </c>
      <c r="Y162" s="154">
        <v>51890</v>
      </c>
      <c r="Z162" s="154">
        <v>51890</v>
      </c>
      <c r="AA162" t="s">
        <v>1359</v>
      </c>
      <c r="AB162" t="s">
        <v>1360</v>
      </c>
      <c r="AC162">
        <v>2.2917889999999998E-3</v>
      </c>
      <c r="AD162" s="16">
        <v>2.56661415E-2</v>
      </c>
      <c r="AE162" s="16">
        <v>5.84326E-5</v>
      </c>
      <c r="AF162" s="16">
        <v>0</v>
      </c>
      <c r="AG162" s="16">
        <v>0</v>
      </c>
      <c r="AH162" s="16">
        <v>0</v>
      </c>
      <c r="AI162" s="16">
        <v>5.2845E-6</v>
      </c>
      <c r="AJ162" s="16">
        <v>3.3629999999999998E-6</v>
      </c>
      <c r="AK162" s="16">
        <v>1.9215000000000002E-6</v>
      </c>
      <c r="AL162" s="16">
        <v>5.5430899999999998E-5</v>
      </c>
      <c r="AM162" s="16">
        <v>6.7459999999999997E-7</v>
      </c>
      <c r="AN162" s="16">
        <v>-2.525E-6</v>
      </c>
      <c r="AO162" s="16">
        <v>2.4219999999999999E-7</v>
      </c>
      <c r="AP162" s="16">
        <v>0</v>
      </c>
      <c r="AQ162" s="16">
        <v>0</v>
      </c>
      <c r="AR162" s="16">
        <v>0</v>
      </c>
      <c r="AS162" s="16">
        <v>0</v>
      </c>
      <c r="AT162" s="16">
        <v>0</v>
      </c>
      <c r="AU162" s="16">
        <v>0</v>
      </c>
      <c r="AV162" s="16">
        <v>0</v>
      </c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0</v>
      </c>
      <c r="BD162" s="16">
        <v>0</v>
      </c>
      <c r="BE162" s="16">
        <v>0</v>
      </c>
      <c r="BF162" s="16">
        <v>0</v>
      </c>
      <c r="BG162" s="16">
        <v>0</v>
      </c>
      <c r="BH162" s="16">
        <v>0</v>
      </c>
      <c r="BI162" s="16">
        <v>0</v>
      </c>
      <c r="BJ162" s="16">
        <v>2.2710799999999999E-5</v>
      </c>
      <c r="BK162" s="16"/>
      <c r="BL162" s="16">
        <v>1674931</v>
      </c>
      <c r="BM162" s="61" t="s">
        <v>1285</v>
      </c>
    </row>
    <row r="163" spans="5:65" x14ac:dyDescent="0.25">
      <c r="E163" s="7">
        <f>COUNTIFS(tblBOneExport[ISIN],tblBOneExport[[#This Row],[ISIN]],tblBOneExport[LEVEL1],"Bonds")</f>
        <v>1</v>
      </c>
      <c r="F163">
        <v>4547</v>
      </c>
      <c r="G163" s="155">
        <v>42947</v>
      </c>
      <c r="H163" s="155">
        <v>42978</v>
      </c>
      <c r="I163" t="s">
        <v>1685</v>
      </c>
      <c r="J163">
        <v>1676438</v>
      </c>
      <c r="K163" s="18" t="s">
        <v>1686</v>
      </c>
      <c r="L163" t="s">
        <v>628</v>
      </c>
      <c r="M163" t="s">
        <v>629</v>
      </c>
      <c r="N163" t="s">
        <v>492</v>
      </c>
      <c r="O163" t="s">
        <v>372</v>
      </c>
      <c r="P163" t="s">
        <v>1276</v>
      </c>
      <c r="Q163" t="s">
        <v>1277</v>
      </c>
      <c r="R163" t="s">
        <v>1322</v>
      </c>
      <c r="S163" t="s">
        <v>1326</v>
      </c>
      <c r="T163" t="s">
        <v>1326</v>
      </c>
      <c r="U163" t="s">
        <v>1326</v>
      </c>
      <c r="V163" t="s">
        <v>1288</v>
      </c>
      <c r="W163" t="s">
        <v>493</v>
      </c>
      <c r="X163" t="s">
        <v>1282</v>
      </c>
      <c r="Y163" s="154">
        <v>47190</v>
      </c>
      <c r="Z163" s="154">
        <v>47190</v>
      </c>
      <c r="AA163" t="s">
        <v>1359</v>
      </c>
      <c r="AB163" t="s">
        <v>1360</v>
      </c>
      <c r="AC163">
        <v>1.8202042E-3</v>
      </c>
      <c r="AD163" s="16">
        <v>2.03878436E-2</v>
      </c>
      <c r="AE163" s="16">
        <v>3.6995000000000001E-5</v>
      </c>
      <c r="AF163" s="16">
        <v>0</v>
      </c>
      <c r="AG163" s="16">
        <v>0</v>
      </c>
      <c r="AH163" s="16">
        <v>0</v>
      </c>
      <c r="AI163" s="16">
        <v>3.7971E-6</v>
      </c>
      <c r="AJ163" s="16">
        <v>1.9927E-6</v>
      </c>
      <c r="AK163" s="16">
        <v>1.8043E-6</v>
      </c>
      <c r="AL163" s="16">
        <v>3.3698999999999997E-5</v>
      </c>
      <c r="AM163" s="16">
        <v>1.8238E-6</v>
      </c>
      <c r="AN163" s="16">
        <v>-1.0231E-6</v>
      </c>
      <c r="AO163" s="16">
        <v>5.2210000000000005E-7</v>
      </c>
      <c r="AP163" s="16">
        <v>0</v>
      </c>
      <c r="AQ163" s="16">
        <v>0</v>
      </c>
      <c r="AR163" s="16">
        <v>0</v>
      </c>
      <c r="AS163" s="16">
        <v>0</v>
      </c>
      <c r="AT163" s="16">
        <v>0</v>
      </c>
      <c r="AU163" s="16">
        <v>0</v>
      </c>
      <c r="AV163" s="16">
        <v>0</v>
      </c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0</v>
      </c>
      <c r="BD163" s="16">
        <v>0</v>
      </c>
      <c r="BE163" s="16">
        <v>0</v>
      </c>
      <c r="BF163" s="16">
        <v>0</v>
      </c>
      <c r="BG163" s="16">
        <v>0</v>
      </c>
      <c r="BH163" s="16">
        <v>0</v>
      </c>
      <c r="BI163" s="16">
        <v>0</v>
      </c>
      <c r="BJ163" s="16">
        <v>2.1375299999999998E-5</v>
      </c>
      <c r="BK163" s="16"/>
      <c r="BL163" s="16">
        <v>1676438</v>
      </c>
      <c r="BM163" s="61" t="s">
        <v>1285</v>
      </c>
    </row>
    <row r="164" spans="5:65" x14ac:dyDescent="0.25">
      <c r="E164" s="7">
        <f>COUNTIFS(tblBOneExport[ISIN],tblBOneExport[[#This Row],[ISIN]],tblBOneExport[LEVEL1],"Bonds")</f>
        <v>1</v>
      </c>
      <c r="F164">
        <v>4547</v>
      </c>
      <c r="G164" s="155">
        <v>42947</v>
      </c>
      <c r="H164" s="155">
        <v>42978</v>
      </c>
      <c r="I164" t="s">
        <v>1687</v>
      </c>
      <c r="J164">
        <v>1677598</v>
      </c>
      <c r="K164" s="18" t="s">
        <v>1688</v>
      </c>
      <c r="L164" t="s">
        <v>708</v>
      </c>
      <c r="M164" t="s">
        <v>709</v>
      </c>
      <c r="N164" t="s">
        <v>492</v>
      </c>
      <c r="O164" t="s">
        <v>372</v>
      </c>
      <c r="P164" t="s">
        <v>1276</v>
      </c>
      <c r="Q164" t="s">
        <v>1277</v>
      </c>
      <c r="R164" t="s">
        <v>1278</v>
      </c>
      <c r="S164" t="s">
        <v>1312</v>
      </c>
      <c r="T164" t="s">
        <v>1313</v>
      </c>
      <c r="U164" t="s">
        <v>1618</v>
      </c>
      <c r="V164" t="s">
        <v>1288</v>
      </c>
      <c r="W164" t="s">
        <v>493</v>
      </c>
      <c r="X164" t="s">
        <v>1282</v>
      </c>
      <c r="Y164" s="154">
        <v>43552</v>
      </c>
      <c r="Z164" s="154">
        <v>43552</v>
      </c>
      <c r="AA164" t="s">
        <v>1359</v>
      </c>
      <c r="AB164" t="s">
        <v>1360</v>
      </c>
      <c r="AC164">
        <v>1.2375372E-3</v>
      </c>
      <c r="AD164" s="16">
        <v>2.9485696E-3</v>
      </c>
      <c r="AE164" s="16">
        <v>3.6720000000000002E-6</v>
      </c>
      <c r="AF164" s="16">
        <v>0</v>
      </c>
      <c r="AG164" s="16">
        <v>0</v>
      </c>
      <c r="AH164" s="16">
        <v>0</v>
      </c>
      <c r="AI164" s="16">
        <v>1.0831000000000001E-6</v>
      </c>
      <c r="AJ164" s="16">
        <v>2.237E-7</v>
      </c>
      <c r="AK164" s="16">
        <v>8.5939999999999998E-7</v>
      </c>
      <c r="AL164" s="16">
        <v>2.2471999999999998E-6</v>
      </c>
      <c r="AM164" s="16">
        <v>-5.1000000000000002E-9</v>
      </c>
      <c r="AN164" s="16">
        <v>3.7500000000000001E-7</v>
      </c>
      <c r="AO164" s="16">
        <v>-3.32E-8</v>
      </c>
      <c r="AP164" s="16">
        <v>0</v>
      </c>
      <c r="AQ164" s="16">
        <v>0</v>
      </c>
      <c r="AR164" s="16">
        <v>0</v>
      </c>
      <c r="AS164" s="16">
        <v>0</v>
      </c>
      <c r="AT164" s="16">
        <v>0</v>
      </c>
      <c r="AU164" s="16">
        <v>0</v>
      </c>
      <c r="AV164" s="16">
        <v>0</v>
      </c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0</v>
      </c>
      <c r="BD164" s="16">
        <v>0</v>
      </c>
      <c r="BE164" s="16">
        <v>0</v>
      </c>
      <c r="BF164" s="16">
        <v>0</v>
      </c>
      <c r="BG164" s="16">
        <v>0</v>
      </c>
      <c r="BH164" s="16">
        <v>0</v>
      </c>
      <c r="BI164" s="16">
        <v>0</v>
      </c>
      <c r="BJ164" s="16">
        <v>1.0099699999999999E-5</v>
      </c>
      <c r="BK164" s="16"/>
      <c r="BL164" s="16">
        <v>1677598</v>
      </c>
      <c r="BM164" s="61" t="s">
        <v>1285</v>
      </c>
    </row>
    <row r="165" spans="5:65" x14ac:dyDescent="0.25">
      <c r="E165" s="7">
        <f>COUNTIFS(tblBOneExport[ISIN],tblBOneExport[[#This Row],[ISIN]],tblBOneExport[LEVEL1],"Bonds")</f>
        <v>1</v>
      </c>
      <c r="F165">
        <v>4547</v>
      </c>
      <c r="G165" s="155">
        <v>42947</v>
      </c>
      <c r="H165" s="155">
        <v>42978</v>
      </c>
      <c r="I165" t="s">
        <v>1689</v>
      </c>
      <c r="J165">
        <v>1677651</v>
      </c>
      <c r="K165" s="18" t="s">
        <v>1690</v>
      </c>
      <c r="L165" t="s">
        <v>536</v>
      </c>
      <c r="M165" t="s">
        <v>532</v>
      </c>
      <c r="N165" t="s">
        <v>492</v>
      </c>
      <c r="O165" t="s">
        <v>372</v>
      </c>
      <c r="P165" t="s">
        <v>1276</v>
      </c>
      <c r="Q165" t="s">
        <v>1277</v>
      </c>
      <c r="R165" t="s">
        <v>1322</v>
      </c>
      <c r="S165" t="s">
        <v>1323</v>
      </c>
      <c r="T165" t="s">
        <v>1323</v>
      </c>
      <c r="U165" t="s">
        <v>1323</v>
      </c>
      <c r="V165" t="s">
        <v>1332</v>
      </c>
      <c r="W165" t="s">
        <v>493</v>
      </c>
      <c r="X165" t="s">
        <v>1282</v>
      </c>
      <c r="Y165" s="154">
        <v>46665</v>
      </c>
      <c r="Z165" s="154">
        <v>46665</v>
      </c>
      <c r="AA165" t="s">
        <v>1359</v>
      </c>
      <c r="AB165" t="s">
        <v>1360</v>
      </c>
      <c r="AC165">
        <v>4.0405980999999999E-3</v>
      </c>
      <c r="AD165" s="16">
        <v>1.6393727300000001E-2</v>
      </c>
      <c r="AE165" s="16">
        <v>6.6173600000000006E-5</v>
      </c>
      <c r="AF165" s="16">
        <v>0</v>
      </c>
      <c r="AG165" s="16">
        <v>0</v>
      </c>
      <c r="AH165" s="16">
        <v>0</v>
      </c>
      <c r="AI165" s="16">
        <v>6.7267000000000003E-6</v>
      </c>
      <c r="AJ165" s="16">
        <v>3.8152999999999997E-6</v>
      </c>
      <c r="AK165" s="16">
        <v>2.9114000000000002E-6</v>
      </c>
      <c r="AL165" s="16">
        <v>6.8121799999999995E-5</v>
      </c>
      <c r="AM165" s="16">
        <v>3.5945000000000001E-6</v>
      </c>
      <c r="AN165" s="16">
        <v>-8.5328000000000007E-6</v>
      </c>
      <c r="AO165" s="16">
        <v>-1.4210000000000001E-7</v>
      </c>
      <c r="AP165" s="16">
        <v>0</v>
      </c>
      <c r="AQ165" s="16">
        <v>0</v>
      </c>
      <c r="AR165" s="16">
        <v>0</v>
      </c>
      <c r="AS165" s="16">
        <v>0</v>
      </c>
      <c r="AT165" s="16">
        <v>0</v>
      </c>
      <c r="AU165" s="16">
        <v>0</v>
      </c>
      <c r="AV165" s="16">
        <v>0</v>
      </c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0</v>
      </c>
      <c r="BD165" s="16">
        <v>0</v>
      </c>
      <c r="BE165" s="16">
        <v>0</v>
      </c>
      <c r="BF165" s="16">
        <v>0</v>
      </c>
      <c r="BG165" s="16">
        <v>0</v>
      </c>
      <c r="BH165" s="16">
        <v>0</v>
      </c>
      <c r="BI165" s="16">
        <v>0</v>
      </c>
      <c r="BJ165" s="16">
        <v>3.4846099999999998E-5</v>
      </c>
      <c r="BK165" s="16"/>
      <c r="BL165" s="16">
        <v>1677651</v>
      </c>
      <c r="BM165" s="61" t="s">
        <v>1285</v>
      </c>
    </row>
    <row r="166" spans="5:65" x14ac:dyDescent="0.25">
      <c r="E166" s="7">
        <f>COUNTIFS(tblBOneExport[ISIN],tblBOneExport[[#This Row],[ISIN]],tblBOneExport[LEVEL1],"Bonds")</f>
        <v>1</v>
      </c>
      <c r="F166">
        <v>4547</v>
      </c>
      <c r="G166" s="155">
        <v>42947</v>
      </c>
      <c r="H166" s="155">
        <v>42978</v>
      </c>
      <c r="I166" t="s">
        <v>1691</v>
      </c>
      <c r="J166">
        <v>1690338</v>
      </c>
      <c r="K166" s="18" t="s">
        <v>1692</v>
      </c>
      <c r="L166" t="s">
        <v>801</v>
      </c>
      <c r="M166" t="s">
        <v>799</v>
      </c>
      <c r="N166" t="s">
        <v>492</v>
      </c>
      <c r="O166" t="s">
        <v>372</v>
      </c>
      <c r="P166" t="s">
        <v>1276</v>
      </c>
      <c r="Q166" t="s">
        <v>1277</v>
      </c>
      <c r="R166" t="s">
        <v>1278</v>
      </c>
      <c r="S166" t="s">
        <v>1512</v>
      </c>
      <c r="T166" t="s">
        <v>1520</v>
      </c>
      <c r="U166" t="s">
        <v>1520</v>
      </c>
      <c r="V166" t="s">
        <v>1288</v>
      </c>
      <c r="W166" t="s">
        <v>493</v>
      </c>
      <c r="X166" t="s">
        <v>1282</v>
      </c>
      <c r="Y166" s="154">
        <v>44654</v>
      </c>
      <c r="Z166" s="154">
        <v>44654</v>
      </c>
      <c r="AA166" t="s">
        <v>1541</v>
      </c>
      <c r="AB166" t="s">
        <v>1542</v>
      </c>
      <c r="AC166">
        <v>3.3218891000000002E-3</v>
      </c>
      <c r="AD166" s="16">
        <v>1.33254471E-2</v>
      </c>
      <c r="AE166" s="16">
        <v>4.4363600000000003E-5</v>
      </c>
      <c r="AF166" s="16">
        <v>0</v>
      </c>
      <c r="AG166" s="16">
        <v>0</v>
      </c>
      <c r="AH166" s="16">
        <v>0</v>
      </c>
      <c r="AI166" s="16">
        <v>5.7912999999999999E-6</v>
      </c>
      <c r="AJ166" s="16">
        <v>1.1963000000000001E-6</v>
      </c>
      <c r="AK166" s="16">
        <v>4.5950000000000001E-6</v>
      </c>
      <c r="AL166" s="16">
        <v>2.1353999999999999E-5</v>
      </c>
      <c r="AM166" s="16">
        <v>2.1942999999999999E-6</v>
      </c>
      <c r="AN166" s="16">
        <v>1.80199E-5</v>
      </c>
      <c r="AO166" s="16">
        <v>-8.0159999999999998E-7</v>
      </c>
      <c r="AP166" s="16">
        <v>0</v>
      </c>
      <c r="AQ166" s="16">
        <v>0</v>
      </c>
      <c r="AR166" s="16">
        <v>0</v>
      </c>
      <c r="AS166" s="16">
        <v>0</v>
      </c>
      <c r="AT166" s="16">
        <v>0</v>
      </c>
      <c r="AU166" s="16">
        <v>0</v>
      </c>
      <c r="AV166" s="16">
        <v>0</v>
      </c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0</v>
      </c>
      <c r="BD166" s="16">
        <v>0</v>
      </c>
      <c r="BE166" s="16">
        <v>0</v>
      </c>
      <c r="BF166" s="16">
        <v>0</v>
      </c>
      <c r="BG166" s="16">
        <v>0</v>
      </c>
      <c r="BH166" s="16">
        <v>0</v>
      </c>
      <c r="BI166" s="16">
        <v>0</v>
      </c>
      <c r="BJ166" s="16">
        <v>5.3832499999999997E-5</v>
      </c>
      <c r="BK166" s="16"/>
      <c r="BL166" s="16">
        <v>1690338</v>
      </c>
      <c r="BM166" s="61" t="s">
        <v>1285</v>
      </c>
    </row>
    <row r="167" spans="5:65" x14ac:dyDescent="0.25">
      <c r="E167" s="7">
        <f>COUNTIFS(tblBOneExport[ISIN],tblBOneExport[[#This Row],[ISIN]],tblBOneExport[LEVEL1],"Bonds")</f>
        <v>1</v>
      </c>
      <c r="F167">
        <v>4547</v>
      </c>
      <c r="G167" s="155">
        <v>42947</v>
      </c>
      <c r="H167" s="155">
        <v>42978</v>
      </c>
      <c r="I167" t="s">
        <v>1693</v>
      </c>
      <c r="J167">
        <v>1696695</v>
      </c>
      <c r="K167" s="18" t="s">
        <v>1694</v>
      </c>
      <c r="L167" t="s">
        <v>545</v>
      </c>
      <c r="M167" t="s">
        <v>321</v>
      </c>
      <c r="N167" t="s">
        <v>492</v>
      </c>
      <c r="O167" t="s">
        <v>372</v>
      </c>
      <c r="P167" t="s">
        <v>1276</v>
      </c>
      <c r="Q167" t="s">
        <v>1277</v>
      </c>
      <c r="R167" t="s">
        <v>1278</v>
      </c>
      <c r="S167" t="s">
        <v>1312</v>
      </c>
      <c r="T167" t="s">
        <v>1313</v>
      </c>
      <c r="U167" t="s">
        <v>1314</v>
      </c>
      <c r="V167" t="s">
        <v>1288</v>
      </c>
      <c r="W167" t="s">
        <v>493</v>
      </c>
      <c r="X167" t="s">
        <v>1282</v>
      </c>
      <c r="Y167" s="154">
        <v>52749</v>
      </c>
      <c r="Z167" s="154">
        <v>52749</v>
      </c>
      <c r="AA167" t="s">
        <v>1308</v>
      </c>
      <c r="AB167" t="s">
        <v>1309</v>
      </c>
      <c r="AC167">
        <v>1.9332908999999999E-3</v>
      </c>
      <c r="AD167" s="16">
        <v>1.5376728500000001E-2</v>
      </c>
      <c r="AE167" s="16">
        <v>2.9779999999999999E-5</v>
      </c>
      <c r="AF167" s="16">
        <v>0</v>
      </c>
      <c r="AG167" s="16">
        <v>0</v>
      </c>
      <c r="AH167" s="16">
        <v>0</v>
      </c>
      <c r="AI167" s="16">
        <v>6.1546000000000003E-6</v>
      </c>
      <c r="AJ167" s="16">
        <v>2.8231000000000001E-6</v>
      </c>
      <c r="AK167" s="16">
        <v>3.3315000000000002E-6</v>
      </c>
      <c r="AL167" s="16">
        <v>5.0262500000000002E-5</v>
      </c>
      <c r="AM167" s="16">
        <v>-3.5000000000000002E-8</v>
      </c>
      <c r="AN167" s="16">
        <v>-2.7566500000000001E-5</v>
      </c>
      <c r="AO167" s="16">
        <v>9.2940000000000005E-7</v>
      </c>
      <c r="AP167" s="16">
        <v>0</v>
      </c>
      <c r="AQ167" s="16">
        <v>0</v>
      </c>
      <c r="AR167" s="16">
        <v>0</v>
      </c>
      <c r="AS167" s="16">
        <v>0</v>
      </c>
      <c r="AT167" s="16">
        <v>0</v>
      </c>
      <c r="AU167" s="16">
        <v>0</v>
      </c>
      <c r="AV167" s="16">
        <v>0</v>
      </c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0</v>
      </c>
      <c r="BD167" s="16">
        <v>0</v>
      </c>
      <c r="BE167" s="16">
        <v>0</v>
      </c>
      <c r="BF167" s="16">
        <v>0</v>
      </c>
      <c r="BG167" s="16">
        <v>0</v>
      </c>
      <c r="BH167" s="16">
        <v>0</v>
      </c>
      <c r="BI167" s="16">
        <v>0</v>
      </c>
      <c r="BJ167" s="16">
        <v>4.01161E-5</v>
      </c>
      <c r="BK167" s="16"/>
      <c r="BL167" s="16">
        <v>1696695</v>
      </c>
      <c r="BM167" s="61" t="s">
        <v>1285</v>
      </c>
    </row>
    <row r="168" spans="5:65" x14ac:dyDescent="0.25">
      <c r="E168" s="7">
        <f>COUNTIFS(tblBOneExport[ISIN],tblBOneExport[[#This Row],[ISIN]],tblBOneExport[LEVEL1],"Bonds")</f>
        <v>1</v>
      </c>
      <c r="F168">
        <v>4547</v>
      </c>
      <c r="G168" s="155">
        <v>42947</v>
      </c>
      <c r="H168" s="155">
        <v>42978</v>
      </c>
      <c r="I168" t="s">
        <v>1695</v>
      </c>
      <c r="J168">
        <v>1705110</v>
      </c>
      <c r="K168" s="18" t="s">
        <v>1696</v>
      </c>
      <c r="L168" t="s">
        <v>659</v>
      </c>
      <c r="M168" t="s">
        <v>657</v>
      </c>
      <c r="N168" t="s">
        <v>492</v>
      </c>
      <c r="O168" t="s">
        <v>372</v>
      </c>
      <c r="P168" t="s">
        <v>1276</v>
      </c>
      <c r="Q168" t="s">
        <v>1330</v>
      </c>
      <c r="R168" t="s">
        <v>1331</v>
      </c>
      <c r="S168" t="s">
        <v>1331</v>
      </c>
      <c r="T168" t="s">
        <v>1331</v>
      </c>
      <c r="U168" t="s">
        <v>1331</v>
      </c>
      <c r="V168" t="s">
        <v>1303</v>
      </c>
      <c r="W168" t="s">
        <v>493</v>
      </c>
      <c r="X168" t="s">
        <v>1282</v>
      </c>
      <c r="Y168" s="154">
        <v>44732</v>
      </c>
      <c r="Z168" s="154">
        <v>44732</v>
      </c>
      <c r="AA168" t="s">
        <v>1432</v>
      </c>
      <c r="AB168" t="s">
        <v>1433</v>
      </c>
      <c r="AC168">
        <v>1.8899969999999999E-4</v>
      </c>
      <c r="AD168" s="16">
        <v>7.0426072999999999E-3</v>
      </c>
      <c r="AE168" s="16">
        <v>1.3380999999999999E-6</v>
      </c>
      <c r="AF168" s="16">
        <v>0</v>
      </c>
      <c r="AG168" s="16">
        <v>0</v>
      </c>
      <c r="AH168" s="16">
        <v>0</v>
      </c>
      <c r="AI168" s="16">
        <v>1.5550000000000001E-7</v>
      </c>
      <c r="AJ168" s="16">
        <v>7.5300000000000006E-8</v>
      </c>
      <c r="AK168" s="16">
        <v>8.0200000000000003E-8</v>
      </c>
      <c r="AL168" s="16">
        <v>1.4043E-6</v>
      </c>
      <c r="AM168" s="16">
        <v>1.399E-7</v>
      </c>
      <c r="AN168" s="16">
        <v>-2.1689999999999999E-7</v>
      </c>
      <c r="AO168" s="16">
        <v>-4.8E-9</v>
      </c>
      <c r="AP168" s="16">
        <v>0</v>
      </c>
      <c r="AQ168" s="16">
        <v>0</v>
      </c>
      <c r="AR168" s="16">
        <v>0</v>
      </c>
      <c r="AS168" s="16">
        <v>0</v>
      </c>
      <c r="AT168" s="16">
        <v>0</v>
      </c>
      <c r="AU168" s="16">
        <v>0</v>
      </c>
      <c r="AV168" s="16">
        <v>0</v>
      </c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0</v>
      </c>
      <c r="BD168" s="16">
        <v>0</v>
      </c>
      <c r="BE168" s="16">
        <v>0</v>
      </c>
      <c r="BF168" s="16">
        <v>0</v>
      </c>
      <c r="BG168" s="16">
        <v>0</v>
      </c>
      <c r="BH168" s="16">
        <v>0</v>
      </c>
      <c r="BI168" s="16">
        <v>0</v>
      </c>
      <c r="BJ168" s="16">
        <v>9.7419999999999992E-7</v>
      </c>
      <c r="BK168" s="16"/>
      <c r="BL168" s="16">
        <v>1705110</v>
      </c>
      <c r="BM168" s="61" t="s">
        <v>1285</v>
      </c>
    </row>
    <row r="169" spans="5:65" x14ac:dyDescent="0.25">
      <c r="E169" s="7">
        <f>COUNTIFS(tblBOneExport[ISIN],tblBOneExport[[#This Row],[ISIN]],tblBOneExport[LEVEL1],"Bonds")</f>
        <v>1</v>
      </c>
      <c r="F169">
        <v>4547</v>
      </c>
      <c r="G169" s="155">
        <v>42947</v>
      </c>
      <c r="H169" s="155">
        <v>42978</v>
      </c>
      <c r="I169" t="s">
        <v>1697</v>
      </c>
      <c r="J169">
        <v>1715878</v>
      </c>
      <c r="K169" s="18" t="s">
        <v>1698</v>
      </c>
      <c r="L169" t="s">
        <v>1169</v>
      </c>
      <c r="M169" t="s">
        <v>1165</v>
      </c>
      <c r="N169" t="s">
        <v>492</v>
      </c>
      <c r="O169" t="s">
        <v>372</v>
      </c>
      <c r="P169" t="s">
        <v>1276</v>
      </c>
      <c r="Q169" t="s">
        <v>1277</v>
      </c>
      <c r="R169" t="s">
        <v>1322</v>
      </c>
      <c r="S169" t="s">
        <v>1323</v>
      </c>
      <c r="T169" t="s">
        <v>1323</v>
      </c>
      <c r="U169" t="s">
        <v>1323</v>
      </c>
      <c r="V169" t="s">
        <v>1288</v>
      </c>
      <c r="W169" t="s">
        <v>493</v>
      </c>
      <c r="X169" t="s">
        <v>1282</v>
      </c>
      <c r="Y169" s="154">
        <v>53482</v>
      </c>
      <c r="Z169" s="154">
        <v>53482</v>
      </c>
      <c r="AA169" t="s">
        <v>1418</v>
      </c>
      <c r="AB169" t="s">
        <v>1419</v>
      </c>
      <c r="AC169">
        <v>2.2393068999999998E-3</v>
      </c>
      <c r="AD169" s="16">
        <v>1.9782061100000001E-2</v>
      </c>
      <c r="AE169" s="16">
        <v>4.4146200000000001E-5</v>
      </c>
      <c r="AF169" s="16">
        <v>0</v>
      </c>
      <c r="AG169" s="16">
        <v>0</v>
      </c>
      <c r="AH169" s="16">
        <v>0</v>
      </c>
      <c r="AI169" s="16">
        <v>5.4612000000000003E-6</v>
      </c>
      <c r="AJ169" s="16">
        <v>3.2932000000000001E-6</v>
      </c>
      <c r="AK169" s="16">
        <v>2.1681E-6</v>
      </c>
      <c r="AL169" s="16">
        <v>6.4772300000000003E-5</v>
      </c>
      <c r="AM169" s="16">
        <v>-4.5300000000000002E-8</v>
      </c>
      <c r="AN169" s="16">
        <v>-2.9332500000000001E-5</v>
      </c>
      <c r="AO169" s="16">
        <v>3.2451000000000001E-6</v>
      </c>
      <c r="AP169" s="16">
        <v>0</v>
      </c>
      <c r="AQ169" s="16">
        <v>0</v>
      </c>
      <c r="AR169" s="16">
        <v>0</v>
      </c>
      <c r="AS169" s="16">
        <v>0</v>
      </c>
      <c r="AT169" s="16">
        <v>0</v>
      </c>
      <c r="AU169" s="16">
        <v>0</v>
      </c>
      <c r="AV169" s="16">
        <v>0</v>
      </c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0</v>
      </c>
      <c r="BD169" s="16">
        <v>0</v>
      </c>
      <c r="BE169" s="16">
        <v>0</v>
      </c>
      <c r="BF169" s="16">
        <v>0</v>
      </c>
      <c r="BG169" s="16">
        <v>0</v>
      </c>
      <c r="BH169" s="16">
        <v>0</v>
      </c>
      <c r="BI169" s="16">
        <v>0</v>
      </c>
      <c r="BJ169" s="16">
        <v>2.6166E-5</v>
      </c>
      <c r="BK169" s="16"/>
      <c r="BL169" s="16">
        <v>1715878</v>
      </c>
      <c r="BM169" s="61" t="s">
        <v>1285</v>
      </c>
    </row>
    <row r="170" spans="5:65" x14ac:dyDescent="0.25">
      <c r="E170" s="7">
        <f>COUNTIFS(tblBOneExport[ISIN],tblBOneExport[[#This Row],[ISIN]],tblBOneExport[LEVEL1],"Bonds")</f>
        <v>1</v>
      </c>
      <c r="F170">
        <v>4547</v>
      </c>
      <c r="G170" s="155">
        <v>42947</v>
      </c>
      <c r="H170" s="155">
        <v>42978</v>
      </c>
      <c r="I170" t="s">
        <v>1699</v>
      </c>
      <c r="J170">
        <v>1719899</v>
      </c>
      <c r="K170" s="18" t="s">
        <v>1700</v>
      </c>
      <c r="L170" t="s">
        <v>1188</v>
      </c>
      <c r="M170" t="s">
        <v>1189</v>
      </c>
      <c r="N170" t="s">
        <v>492</v>
      </c>
      <c r="O170" t="s">
        <v>372</v>
      </c>
      <c r="P170" t="s">
        <v>1276</v>
      </c>
      <c r="Q170" t="s">
        <v>1330</v>
      </c>
      <c r="R170" t="s">
        <v>1331</v>
      </c>
      <c r="S170" t="s">
        <v>1331</v>
      </c>
      <c r="T170" t="s">
        <v>1331</v>
      </c>
      <c r="U170" t="s">
        <v>1331</v>
      </c>
      <c r="V170" t="s">
        <v>1303</v>
      </c>
      <c r="W170" t="s">
        <v>493</v>
      </c>
      <c r="X170" t="s">
        <v>1282</v>
      </c>
      <c r="Y170" s="154">
        <v>52070</v>
      </c>
      <c r="Z170" s="154">
        <v>52070</v>
      </c>
      <c r="AA170" t="s">
        <v>1359</v>
      </c>
      <c r="AB170" t="s">
        <v>1360</v>
      </c>
      <c r="AC170">
        <v>4.4946878999999997E-3</v>
      </c>
      <c r="AD170" s="16">
        <v>2.8814395100000001E-2</v>
      </c>
      <c r="AE170" s="16">
        <v>1.283995E-4</v>
      </c>
      <c r="AF170" s="16">
        <v>0</v>
      </c>
      <c r="AG170" s="16">
        <v>0</v>
      </c>
      <c r="AH170" s="16">
        <v>0</v>
      </c>
      <c r="AI170" s="16">
        <v>8.9082000000000005E-6</v>
      </c>
      <c r="AJ170" s="16">
        <v>6.6623999999999999E-6</v>
      </c>
      <c r="AK170" s="16">
        <v>2.2458000000000002E-6</v>
      </c>
      <c r="AL170" s="16">
        <v>1.26284E-4</v>
      </c>
      <c r="AM170" s="16">
        <v>1.4528000000000001E-6</v>
      </c>
      <c r="AN170" s="16">
        <v>-1.0765500000000001E-5</v>
      </c>
      <c r="AO170" s="16">
        <v>3.9728000000000003E-6</v>
      </c>
      <c r="AP170" s="16">
        <v>0</v>
      </c>
      <c r="AQ170" s="16">
        <v>0</v>
      </c>
      <c r="AR170" s="16">
        <v>0</v>
      </c>
      <c r="AS170" s="16">
        <v>0</v>
      </c>
      <c r="AT170" s="16">
        <v>0</v>
      </c>
      <c r="AU170" s="16">
        <v>0</v>
      </c>
      <c r="AV170" s="16">
        <v>0</v>
      </c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0</v>
      </c>
      <c r="BD170" s="16">
        <v>0</v>
      </c>
      <c r="BE170" s="16">
        <v>0</v>
      </c>
      <c r="BF170" s="16">
        <v>0</v>
      </c>
      <c r="BG170" s="16">
        <v>0</v>
      </c>
      <c r="BH170" s="16">
        <v>0</v>
      </c>
      <c r="BI170" s="16">
        <v>0</v>
      </c>
      <c r="BJ170" s="16">
        <v>2.66421E-5</v>
      </c>
      <c r="BK170" s="16"/>
      <c r="BL170" s="16">
        <v>1719899</v>
      </c>
      <c r="BM170" s="61" t="s">
        <v>1285</v>
      </c>
    </row>
    <row r="171" spans="5:65" x14ac:dyDescent="0.25">
      <c r="E171" s="7">
        <f>COUNTIFS(tblBOneExport[ISIN],tblBOneExport[[#This Row],[ISIN]],tblBOneExport[LEVEL1],"Bonds")</f>
        <v>1</v>
      </c>
      <c r="F171">
        <v>4547</v>
      </c>
      <c r="G171" s="155">
        <v>42947</v>
      </c>
      <c r="H171" s="155">
        <v>42978</v>
      </c>
      <c r="I171" t="s">
        <v>1701</v>
      </c>
      <c r="J171">
        <v>1722809</v>
      </c>
      <c r="K171" s="18" t="s">
        <v>1702</v>
      </c>
      <c r="L171" t="s">
        <v>885</v>
      </c>
      <c r="M171" t="s">
        <v>879</v>
      </c>
      <c r="N171" t="s">
        <v>492</v>
      </c>
      <c r="O171" t="s">
        <v>372</v>
      </c>
      <c r="P171" t="s">
        <v>1276</v>
      </c>
      <c r="Q171" t="s">
        <v>1277</v>
      </c>
      <c r="R171" t="s">
        <v>1322</v>
      </c>
      <c r="S171" t="s">
        <v>1323</v>
      </c>
      <c r="T171" t="s">
        <v>1323</v>
      </c>
      <c r="U171" t="s">
        <v>1323</v>
      </c>
      <c r="V171" t="s">
        <v>1332</v>
      </c>
      <c r="W171" t="s">
        <v>493</v>
      </c>
      <c r="X171" t="s">
        <v>1282</v>
      </c>
      <c r="Y171" s="154">
        <v>47331</v>
      </c>
      <c r="Z171" s="154">
        <v>47331</v>
      </c>
      <c r="AA171" t="s">
        <v>1418</v>
      </c>
      <c r="AB171" t="s">
        <v>1419</v>
      </c>
      <c r="AC171">
        <v>1.12865955E-2</v>
      </c>
      <c r="AD171" s="16">
        <v>2.1798135400000002E-2</v>
      </c>
      <c r="AE171" s="16">
        <v>2.4513120000000001E-4</v>
      </c>
      <c r="AF171" s="16">
        <v>0</v>
      </c>
      <c r="AG171" s="16">
        <v>0</v>
      </c>
      <c r="AH171" s="16">
        <v>0</v>
      </c>
      <c r="AI171" s="16">
        <v>1.94833E-5</v>
      </c>
      <c r="AJ171" s="16">
        <v>1.28789E-5</v>
      </c>
      <c r="AK171" s="16">
        <v>6.6043999999999998E-6</v>
      </c>
      <c r="AL171" s="16">
        <v>2.2242879999999999E-4</v>
      </c>
      <c r="AM171" s="16">
        <v>1.1091699999999999E-5</v>
      </c>
      <c r="AN171" s="16">
        <v>8.9149E-6</v>
      </c>
      <c r="AO171" s="16">
        <v>-5.7446E-6</v>
      </c>
      <c r="AP171" s="16">
        <v>0</v>
      </c>
      <c r="AQ171" s="16">
        <v>0</v>
      </c>
      <c r="AR171" s="16">
        <v>0</v>
      </c>
      <c r="AS171" s="16">
        <v>0</v>
      </c>
      <c r="AT171" s="16">
        <v>0</v>
      </c>
      <c r="AU171" s="16">
        <v>0</v>
      </c>
      <c r="AV171" s="16">
        <v>4.88E-8</v>
      </c>
      <c r="AW171" s="16">
        <v>4.88E-8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0</v>
      </c>
      <c r="BD171" s="16">
        <v>0</v>
      </c>
      <c r="BE171" s="16">
        <v>0</v>
      </c>
      <c r="BF171" s="16">
        <v>0</v>
      </c>
      <c r="BG171" s="16">
        <v>0</v>
      </c>
      <c r="BH171" s="16">
        <v>0</v>
      </c>
      <c r="BI171" s="16">
        <v>0</v>
      </c>
      <c r="BJ171" s="16">
        <v>7.8049100000000005E-5</v>
      </c>
      <c r="BK171" s="16"/>
      <c r="BL171" s="16">
        <v>1722809</v>
      </c>
      <c r="BM171" s="61" t="s">
        <v>1285</v>
      </c>
    </row>
    <row r="172" spans="5:65" x14ac:dyDescent="0.25">
      <c r="E172" s="7">
        <f>COUNTIFS(tblBOneExport[ISIN],tblBOneExport[[#This Row],[ISIN]],tblBOneExport[LEVEL1],"Bonds")</f>
        <v>1</v>
      </c>
      <c r="F172">
        <v>4547</v>
      </c>
      <c r="G172" s="155">
        <v>42947</v>
      </c>
      <c r="H172" s="155">
        <v>42978</v>
      </c>
      <c r="I172" t="s">
        <v>1703</v>
      </c>
      <c r="J172">
        <v>1723080</v>
      </c>
      <c r="K172" s="18" t="s">
        <v>1704</v>
      </c>
      <c r="L172" t="s">
        <v>517</v>
      </c>
      <c r="M172" t="s">
        <v>518</v>
      </c>
      <c r="N172" t="s">
        <v>492</v>
      </c>
      <c r="O172" t="s">
        <v>372</v>
      </c>
      <c r="P172" t="s">
        <v>1276</v>
      </c>
      <c r="Q172" t="s">
        <v>1277</v>
      </c>
      <c r="R172" t="s">
        <v>1278</v>
      </c>
      <c r="S172" t="s">
        <v>1312</v>
      </c>
      <c r="T172" t="s">
        <v>1313</v>
      </c>
      <c r="U172" t="s">
        <v>1618</v>
      </c>
      <c r="V172" t="s">
        <v>1332</v>
      </c>
      <c r="W172" t="s">
        <v>493</v>
      </c>
      <c r="X172" t="s">
        <v>1282</v>
      </c>
      <c r="Y172" s="154">
        <v>51720</v>
      </c>
      <c r="Z172" s="154">
        <v>51720</v>
      </c>
      <c r="AA172" t="s">
        <v>1619</v>
      </c>
      <c r="AB172" t="s">
        <v>1620</v>
      </c>
      <c r="AC172">
        <v>1.2948644000000001E-3</v>
      </c>
      <c r="AD172" s="16">
        <v>3.6599922399999998E-2</v>
      </c>
      <c r="AE172" s="16">
        <v>4.7141800000000003E-5</v>
      </c>
      <c r="AF172" s="16">
        <v>0</v>
      </c>
      <c r="AG172" s="16">
        <v>0</v>
      </c>
      <c r="AH172" s="16">
        <v>0</v>
      </c>
      <c r="AI172" s="16">
        <v>3.6030999999999999E-6</v>
      </c>
      <c r="AJ172" s="16">
        <v>1.8794E-6</v>
      </c>
      <c r="AK172" s="16">
        <v>1.7237999999999999E-6</v>
      </c>
      <c r="AL172" s="16">
        <v>2.9232699999999999E-5</v>
      </c>
      <c r="AM172" s="16">
        <v>3.7679999999999999E-7</v>
      </c>
      <c r="AN172" s="16">
        <v>1.41522E-5</v>
      </c>
      <c r="AO172" s="16">
        <v>1.5370000000000001E-7</v>
      </c>
      <c r="AP172" s="16">
        <v>0</v>
      </c>
      <c r="AQ172" s="16">
        <v>0</v>
      </c>
      <c r="AR172" s="16">
        <v>0</v>
      </c>
      <c r="AS172" s="16">
        <v>0</v>
      </c>
      <c r="AT172" s="16">
        <v>0</v>
      </c>
      <c r="AU172" s="16">
        <v>0</v>
      </c>
      <c r="AV172" s="16">
        <v>0</v>
      </c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0</v>
      </c>
      <c r="BD172" s="16">
        <v>0</v>
      </c>
      <c r="BE172" s="16">
        <v>0</v>
      </c>
      <c r="BF172" s="16">
        <v>0</v>
      </c>
      <c r="BG172" s="16">
        <v>0</v>
      </c>
      <c r="BH172" s="16">
        <v>0</v>
      </c>
      <c r="BI172" s="16">
        <v>0</v>
      </c>
      <c r="BJ172" s="16">
        <v>1.98076E-5</v>
      </c>
      <c r="BK172" s="16"/>
      <c r="BL172" s="16">
        <v>1723080</v>
      </c>
      <c r="BM172" s="61" t="s">
        <v>1285</v>
      </c>
    </row>
    <row r="173" spans="5:65" x14ac:dyDescent="0.25">
      <c r="E173" s="7">
        <f>COUNTIFS(tblBOneExport[ISIN],tblBOneExport[[#This Row],[ISIN]],tblBOneExport[LEVEL1],"Bonds")</f>
        <v>1</v>
      </c>
      <c r="F173">
        <v>4547</v>
      </c>
      <c r="G173" s="155">
        <v>42947</v>
      </c>
      <c r="H173" s="155">
        <v>42978</v>
      </c>
      <c r="I173" t="s">
        <v>1705</v>
      </c>
      <c r="J173">
        <v>1723368</v>
      </c>
      <c r="K173" s="18" t="s">
        <v>1706</v>
      </c>
      <c r="L173" t="s">
        <v>1191</v>
      </c>
      <c r="M173" t="s">
        <v>1189</v>
      </c>
      <c r="N173" t="s">
        <v>492</v>
      </c>
      <c r="O173" t="s">
        <v>372</v>
      </c>
      <c r="P173" t="s">
        <v>1276</v>
      </c>
      <c r="Q173" t="s">
        <v>1330</v>
      </c>
      <c r="R173" t="s">
        <v>1331</v>
      </c>
      <c r="S173" t="s">
        <v>1331</v>
      </c>
      <c r="T173" t="s">
        <v>1331</v>
      </c>
      <c r="U173" t="s">
        <v>1331</v>
      </c>
      <c r="V173" t="s">
        <v>1303</v>
      </c>
      <c r="W173" t="s">
        <v>493</v>
      </c>
      <c r="X173" t="s">
        <v>1282</v>
      </c>
      <c r="Y173" s="154">
        <v>44782</v>
      </c>
      <c r="Z173" s="154">
        <v>44782</v>
      </c>
      <c r="AA173" t="s">
        <v>1359</v>
      </c>
      <c r="AB173" t="s">
        <v>1360</v>
      </c>
      <c r="AC173">
        <v>1.8551845999999999E-3</v>
      </c>
      <c r="AD173" s="16">
        <v>7.3378297000000004E-3</v>
      </c>
      <c r="AE173" s="16">
        <v>1.37692E-5</v>
      </c>
      <c r="AF173" s="16">
        <v>0</v>
      </c>
      <c r="AG173" s="16">
        <v>0</v>
      </c>
      <c r="AH173" s="16">
        <v>0</v>
      </c>
      <c r="AI173" s="16">
        <v>1.5685999999999999E-6</v>
      </c>
      <c r="AJ173" s="16">
        <v>7.8000000000000005E-7</v>
      </c>
      <c r="AK173" s="16">
        <v>7.8850000000000005E-7</v>
      </c>
      <c r="AL173" s="16">
        <v>1.4295600000000001E-5</v>
      </c>
      <c r="AM173" s="16">
        <v>1.2343E-6</v>
      </c>
      <c r="AN173" s="16">
        <v>-9.8100000000000001E-7</v>
      </c>
      <c r="AO173" s="16">
        <v>-1.1139E-6</v>
      </c>
      <c r="AP173" s="16">
        <v>0</v>
      </c>
      <c r="AQ173" s="16">
        <v>0</v>
      </c>
      <c r="AR173" s="16">
        <v>0</v>
      </c>
      <c r="AS173" s="16">
        <v>0</v>
      </c>
      <c r="AT173" s="16">
        <v>0</v>
      </c>
      <c r="AU173" s="16">
        <v>0</v>
      </c>
      <c r="AV173" s="16">
        <v>0</v>
      </c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0</v>
      </c>
      <c r="BD173" s="16">
        <v>0</v>
      </c>
      <c r="BE173" s="16">
        <v>0</v>
      </c>
      <c r="BF173" s="16">
        <v>0</v>
      </c>
      <c r="BG173" s="16">
        <v>0</v>
      </c>
      <c r="BH173" s="16">
        <v>0</v>
      </c>
      <c r="BI173" s="16">
        <v>0</v>
      </c>
      <c r="BJ173" s="16">
        <v>9.2186000000000001E-6</v>
      </c>
      <c r="BK173" s="16"/>
      <c r="BL173" s="16">
        <v>1723368</v>
      </c>
      <c r="BM173" s="61" t="s">
        <v>1285</v>
      </c>
    </row>
    <row r="174" spans="5:65" x14ac:dyDescent="0.25">
      <c r="E174" s="7">
        <f>COUNTIFS(tblBOneExport[ISIN],tblBOneExport[[#This Row],[ISIN]],tblBOneExport[LEVEL1],"Bonds")</f>
        <v>1</v>
      </c>
      <c r="F174">
        <v>4547</v>
      </c>
      <c r="G174" s="155">
        <v>42947</v>
      </c>
      <c r="H174" s="155">
        <v>42978</v>
      </c>
      <c r="I174" t="s">
        <v>1707</v>
      </c>
      <c r="J174">
        <v>1740230</v>
      </c>
      <c r="K174" s="18" t="s">
        <v>1708</v>
      </c>
      <c r="L174" t="s">
        <v>588</v>
      </c>
      <c r="M174" t="s">
        <v>589</v>
      </c>
      <c r="N174" t="s">
        <v>492</v>
      </c>
      <c r="O174" t="s">
        <v>372</v>
      </c>
      <c r="P174" t="s">
        <v>1276</v>
      </c>
      <c r="Q174" t="s">
        <v>1277</v>
      </c>
      <c r="R174" t="s">
        <v>1278</v>
      </c>
      <c r="S174" t="s">
        <v>1512</v>
      </c>
      <c r="T174" t="s">
        <v>1520</v>
      </c>
      <c r="U174" t="s">
        <v>1520</v>
      </c>
      <c r="V174" t="s">
        <v>1281</v>
      </c>
      <c r="W174" t="s">
        <v>493</v>
      </c>
      <c r="X174" t="s">
        <v>1282</v>
      </c>
      <c r="Y174" s="154">
        <v>45560</v>
      </c>
      <c r="Z174" s="154">
        <v>45560</v>
      </c>
      <c r="AA174" t="s">
        <v>1709</v>
      </c>
      <c r="AB174" t="s">
        <v>1710</v>
      </c>
      <c r="AC174">
        <v>1.7138358E-3</v>
      </c>
      <c r="AD174" s="16">
        <v>1.94403584E-2</v>
      </c>
      <c r="AE174" s="16">
        <v>3.3271400000000001E-5</v>
      </c>
      <c r="AF174" s="16">
        <v>0</v>
      </c>
      <c r="AG174" s="16">
        <v>0</v>
      </c>
      <c r="AH174" s="16">
        <v>0</v>
      </c>
      <c r="AI174" s="16">
        <v>2.3429999999999998E-6</v>
      </c>
      <c r="AJ174" s="16">
        <v>1.0968E-6</v>
      </c>
      <c r="AK174" s="16">
        <v>1.2462E-6</v>
      </c>
      <c r="AL174" s="16">
        <v>1.95278E-5</v>
      </c>
      <c r="AM174" s="16">
        <v>1.0896999999999999E-6</v>
      </c>
      <c r="AN174" s="16">
        <v>1.0720199999999999E-5</v>
      </c>
      <c r="AO174" s="16">
        <v>6.8039999999999998E-7</v>
      </c>
      <c r="AP174" s="16">
        <v>0</v>
      </c>
      <c r="AQ174" s="16">
        <v>0</v>
      </c>
      <c r="AR174" s="16">
        <v>0</v>
      </c>
      <c r="AS174" s="16">
        <v>0</v>
      </c>
      <c r="AT174" s="16">
        <v>0</v>
      </c>
      <c r="AU174" s="16">
        <v>0</v>
      </c>
      <c r="AV174" s="16">
        <v>0</v>
      </c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0</v>
      </c>
      <c r="BD174" s="16">
        <v>0</v>
      </c>
      <c r="BE174" s="16">
        <v>0</v>
      </c>
      <c r="BF174" s="16">
        <v>0</v>
      </c>
      <c r="BG174" s="16">
        <v>0</v>
      </c>
      <c r="BH174" s="16">
        <v>0</v>
      </c>
      <c r="BI174" s="16">
        <v>0</v>
      </c>
      <c r="BJ174" s="16">
        <v>1.33335E-5</v>
      </c>
      <c r="BK174" s="16"/>
      <c r="BL174" s="16">
        <v>1740230</v>
      </c>
      <c r="BM174" s="61" t="s">
        <v>1285</v>
      </c>
    </row>
    <row r="175" spans="5:65" x14ac:dyDescent="0.25">
      <c r="E175" s="7">
        <f>COUNTIFS(tblBOneExport[ISIN],tblBOneExport[[#This Row],[ISIN]],tblBOneExport[LEVEL1],"Bonds")</f>
        <v>1</v>
      </c>
      <c r="F175">
        <v>4547</v>
      </c>
      <c r="G175" s="155">
        <v>42947</v>
      </c>
      <c r="H175" s="155">
        <v>42978</v>
      </c>
      <c r="I175" t="s">
        <v>1711</v>
      </c>
      <c r="J175">
        <v>1740234</v>
      </c>
      <c r="K175" s="18" t="s">
        <v>1712</v>
      </c>
      <c r="L175" t="s">
        <v>591</v>
      </c>
      <c r="M175" t="s">
        <v>589</v>
      </c>
      <c r="N175" t="s">
        <v>492</v>
      </c>
      <c r="O175" t="s">
        <v>372</v>
      </c>
      <c r="P175" t="s">
        <v>1276</v>
      </c>
      <c r="Q175" t="s">
        <v>1277</v>
      </c>
      <c r="R175" t="s">
        <v>1278</v>
      </c>
      <c r="S175" t="s">
        <v>1512</v>
      </c>
      <c r="T175" t="s">
        <v>1520</v>
      </c>
      <c r="U175" t="s">
        <v>1520</v>
      </c>
      <c r="V175" t="s">
        <v>1332</v>
      </c>
      <c r="W175" t="s">
        <v>493</v>
      </c>
      <c r="X175" t="s">
        <v>1282</v>
      </c>
      <c r="Y175" s="154">
        <v>52134</v>
      </c>
      <c r="Z175" s="154">
        <v>52134</v>
      </c>
      <c r="AA175" t="s">
        <v>1709</v>
      </c>
      <c r="AB175" t="s">
        <v>1710</v>
      </c>
      <c r="AC175">
        <v>3.0064622000000002E-3</v>
      </c>
      <c r="AD175" s="16">
        <v>3.2270327699999997E-2</v>
      </c>
      <c r="AE175" s="16">
        <v>9.6105400000000003E-5</v>
      </c>
      <c r="AF175" s="16">
        <v>0</v>
      </c>
      <c r="AG175" s="16">
        <v>0</v>
      </c>
      <c r="AH175" s="16">
        <v>0</v>
      </c>
      <c r="AI175" s="16">
        <v>7.2626999999999999E-6</v>
      </c>
      <c r="AJ175" s="16">
        <v>4.4352000000000003E-6</v>
      </c>
      <c r="AK175" s="16">
        <v>2.8275E-6</v>
      </c>
      <c r="AL175" s="16">
        <v>7.8686700000000007E-5</v>
      </c>
      <c r="AM175" s="16">
        <v>-5.5299999999999999E-8</v>
      </c>
      <c r="AN175" s="16">
        <v>8.7737000000000004E-6</v>
      </c>
      <c r="AO175" s="16">
        <v>1.3824000000000001E-6</v>
      </c>
      <c r="AP175" s="16">
        <v>0</v>
      </c>
      <c r="AQ175" s="16">
        <v>0</v>
      </c>
      <c r="AR175" s="16">
        <v>0</v>
      </c>
      <c r="AS175" s="16">
        <v>0</v>
      </c>
      <c r="AT175" s="16">
        <v>0</v>
      </c>
      <c r="AU175" s="16">
        <v>0</v>
      </c>
      <c r="AV175" s="16">
        <v>0</v>
      </c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0</v>
      </c>
      <c r="BD175" s="16">
        <v>0</v>
      </c>
      <c r="BE175" s="16">
        <v>0</v>
      </c>
      <c r="BF175" s="16">
        <v>0</v>
      </c>
      <c r="BG175" s="16">
        <v>0</v>
      </c>
      <c r="BH175" s="16">
        <v>0</v>
      </c>
      <c r="BI175" s="16">
        <v>0</v>
      </c>
      <c r="BJ175" s="16">
        <v>3.2966100000000003E-5</v>
      </c>
      <c r="BK175" s="16"/>
      <c r="BL175" s="16">
        <v>1740234</v>
      </c>
      <c r="BM175" s="61" t="s">
        <v>1285</v>
      </c>
    </row>
    <row r="176" spans="5:65" x14ac:dyDescent="0.25">
      <c r="E176" s="7">
        <f>COUNTIFS(tblBOneExport[ISIN],tblBOneExport[[#This Row],[ISIN]],tblBOneExport[LEVEL1],"Bonds")</f>
        <v>1</v>
      </c>
      <c r="F176">
        <v>4547</v>
      </c>
      <c r="G176" s="155">
        <v>42947</v>
      </c>
      <c r="H176" s="155">
        <v>42978</v>
      </c>
      <c r="I176" t="s">
        <v>1713</v>
      </c>
      <c r="J176">
        <v>1740229</v>
      </c>
      <c r="K176" s="18" t="s">
        <v>1714</v>
      </c>
      <c r="L176" t="s">
        <v>937</v>
      </c>
      <c r="M176" t="s">
        <v>935</v>
      </c>
      <c r="N176" t="s">
        <v>492</v>
      </c>
      <c r="O176" t="s">
        <v>372</v>
      </c>
      <c r="P176" t="s">
        <v>1276</v>
      </c>
      <c r="Q176" t="s">
        <v>1277</v>
      </c>
      <c r="R176" t="s">
        <v>1300</v>
      </c>
      <c r="S176" t="s">
        <v>1301</v>
      </c>
      <c r="T176" t="s">
        <v>1302</v>
      </c>
      <c r="U176" t="s">
        <v>1302</v>
      </c>
      <c r="V176" t="s">
        <v>1408</v>
      </c>
      <c r="W176" t="s">
        <v>493</v>
      </c>
      <c r="X176" t="s">
        <v>1282</v>
      </c>
      <c r="Y176" s="154">
        <v>46295</v>
      </c>
      <c r="Z176" s="154">
        <v>46295</v>
      </c>
      <c r="AA176" t="s">
        <v>1308</v>
      </c>
      <c r="AB176" t="s">
        <v>1309</v>
      </c>
      <c r="AC176">
        <v>3.4105571999999999E-3</v>
      </c>
      <c r="AD176" s="16">
        <v>1.46964969E-2</v>
      </c>
      <c r="AE176" s="16">
        <v>5.0176200000000003E-5</v>
      </c>
      <c r="AF176" s="16">
        <v>0</v>
      </c>
      <c r="AG176" s="16">
        <v>0</v>
      </c>
      <c r="AH176" s="16">
        <v>0</v>
      </c>
      <c r="AI176" s="16">
        <v>4.9888999999999998E-6</v>
      </c>
      <c r="AJ176" s="16">
        <v>2.9138E-6</v>
      </c>
      <c r="AK176" s="16">
        <v>2.0750999999999998E-6</v>
      </c>
      <c r="AL176" s="16">
        <v>5.2708699999999999E-5</v>
      </c>
      <c r="AM176" s="16">
        <v>2.3696999999999999E-6</v>
      </c>
      <c r="AN176" s="16">
        <v>-7.4236000000000004E-6</v>
      </c>
      <c r="AO176" s="16">
        <v>-9.7899999999999997E-8</v>
      </c>
      <c r="AP176" s="16">
        <v>0</v>
      </c>
      <c r="AQ176" s="16">
        <v>0</v>
      </c>
      <c r="AR176" s="16">
        <v>0</v>
      </c>
      <c r="AS176" s="16">
        <v>0</v>
      </c>
      <c r="AT176" s="16">
        <v>0</v>
      </c>
      <c r="AU176" s="16">
        <v>0</v>
      </c>
      <c r="AV176" s="16">
        <v>0</v>
      </c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0</v>
      </c>
      <c r="BD176" s="16">
        <v>0</v>
      </c>
      <c r="BE176" s="16">
        <v>0</v>
      </c>
      <c r="BF176" s="16">
        <v>0</v>
      </c>
      <c r="BG176" s="16">
        <v>0</v>
      </c>
      <c r="BH176" s="16">
        <v>0</v>
      </c>
      <c r="BI176" s="16">
        <v>0</v>
      </c>
      <c r="BJ176" s="16">
        <v>2.4851500000000001E-5</v>
      </c>
      <c r="BK176" s="16"/>
      <c r="BL176" s="16">
        <v>1740229</v>
      </c>
      <c r="BM176" s="61" t="s">
        <v>1285</v>
      </c>
    </row>
    <row r="177" spans="5:65" x14ac:dyDescent="0.25">
      <c r="E177" s="7">
        <f>COUNTIFS(tblBOneExport[ISIN],tblBOneExport[[#This Row],[ISIN]],tblBOneExport[LEVEL1],"Bonds")</f>
        <v>1</v>
      </c>
      <c r="F177">
        <v>4547</v>
      </c>
      <c r="G177" s="155">
        <v>42947</v>
      </c>
      <c r="H177" s="155">
        <v>42978</v>
      </c>
      <c r="I177" t="s">
        <v>1715</v>
      </c>
      <c r="J177">
        <v>1780605</v>
      </c>
      <c r="K177" s="18" t="s">
        <v>1716</v>
      </c>
      <c r="L177" t="s">
        <v>1210</v>
      </c>
      <c r="M177" t="s">
        <v>1211</v>
      </c>
      <c r="N177" t="s">
        <v>492</v>
      </c>
      <c r="O177" t="s">
        <v>372</v>
      </c>
      <c r="P177" t="s">
        <v>1276</v>
      </c>
      <c r="Q177" t="s">
        <v>1277</v>
      </c>
      <c r="R177" t="s">
        <v>1278</v>
      </c>
      <c r="S177" t="s">
        <v>1717</v>
      </c>
      <c r="T177" t="s">
        <v>1717</v>
      </c>
      <c r="U177" t="s">
        <v>1717</v>
      </c>
      <c r="V177" t="s">
        <v>1353</v>
      </c>
      <c r="W177" t="s">
        <v>493</v>
      </c>
      <c r="X177" t="s">
        <v>1282</v>
      </c>
      <c r="Y177" s="154">
        <v>55809</v>
      </c>
      <c r="Z177" s="154">
        <v>55809</v>
      </c>
      <c r="AA177" t="s">
        <v>1359</v>
      </c>
      <c r="AB177" t="s">
        <v>1360</v>
      </c>
      <c r="AC177">
        <v>1.4828904400000001E-2</v>
      </c>
      <c r="AD177" s="16">
        <v>3.9649574799999997E-2</v>
      </c>
      <c r="AE177" s="16">
        <v>5.8017069999999999E-4</v>
      </c>
      <c r="AF177" s="16">
        <v>0</v>
      </c>
      <c r="AG177" s="16">
        <v>0</v>
      </c>
      <c r="AH177" s="16">
        <v>0</v>
      </c>
      <c r="AI177" s="16">
        <v>2.6616400000000002E-5</v>
      </c>
      <c r="AJ177" s="16">
        <v>2.1084400000000001E-5</v>
      </c>
      <c r="AK177" s="16">
        <v>5.5319000000000003E-6</v>
      </c>
      <c r="AL177" s="16">
        <v>4.8638769999999998E-4</v>
      </c>
      <c r="AM177" s="16">
        <v>-3.6809000000000002E-6</v>
      </c>
      <c r="AN177" s="16">
        <v>6.9352799999999998E-5</v>
      </c>
      <c r="AO177" s="16">
        <v>-2.1861000000000001E-6</v>
      </c>
      <c r="AP177" s="16">
        <v>0</v>
      </c>
      <c r="AQ177" s="16">
        <v>0</v>
      </c>
      <c r="AR177" s="16">
        <v>0</v>
      </c>
      <c r="AS177" s="16">
        <v>0</v>
      </c>
      <c r="AT177" s="16">
        <v>0</v>
      </c>
      <c r="AU177" s="16">
        <v>0</v>
      </c>
      <c r="AV177" s="16">
        <v>0</v>
      </c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0</v>
      </c>
      <c r="BD177" s="16">
        <v>0</v>
      </c>
      <c r="BE177" s="16">
        <v>0</v>
      </c>
      <c r="BF177" s="16">
        <v>0</v>
      </c>
      <c r="BG177" s="16">
        <v>0</v>
      </c>
      <c r="BH177" s="16">
        <v>0</v>
      </c>
      <c r="BI177" s="16">
        <v>0</v>
      </c>
      <c r="BJ177" s="16">
        <v>6.2676599999999996E-5</v>
      </c>
      <c r="BK177" s="16"/>
      <c r="BL177" s="16">
        <v>1780605</v>
      </c>
      <c r="BM177" s="61" t="s">
        <v>1285</v>
      </c>
    </row>
    <row r="178" spans="5:65" x14ac:dyDescent="0.25">
      <c r="E178" s="7">
        <f>COUNTIFS(tblBOneExport[ISIN],tblBOneExport[[#This Row],[ISIN]],tblBOneExport[LEVEL1],"Bonds")</f>
        <v>1</v>
      </c>
      <c r="F178">
        <v>4547</v>
      </c>
      <c r="G178" s="155">
        <v>42947</v>
      </c>
      <c r="H178" s="155">
        <v>42978</v>
      </c>
      <c r="I178" t="s">
        <v>1718</v>
      </c>
      <c r="J178">
        <v>1782528</v>
      </c>
      <c r="K178" s="18" t="s">
        <v>1719</v>
      </c>
      <c r="L178" t="s">
        <v>888</v>
      </c>
      <c r="M178" t="s">
        <v>889</v>
      </c>
      <c r="N178" t="s">
        <v>492</v>
      </c>
      <c r="O178" t="s">
        <v>372</v>
      </c>
      <c r="P178" t="s">
        <v>1276</v>
      </c>
      <c r="Q178" t="s">
        <v>1330</v>
      </c>
      <c r="R178" t="s">
        <v>1331</v>
      </c>
      <c r="S178" t="s">
        <v>1331</v>
      </c>
      <c r="T178" t="s">
        <v>1331</v>
      </c>
      <c r="U178" t="s">
        <v>1331</v>
      </c>
      <c r="V178" t="s">
        <v>1353</v>
      </c>
      <c r="W178" t="s">
        <v>493</v>
      </c>
      <c r="X178" t="s">
        <v>1282</v>
      </c>
      <c r="Y178" s="154">
        <v>43076</v>
      </c>
      <c r="Z178" s="154">
        <v>43076</v>
      </c>
      <c r="AA178" t="s">
        <v>1432</v>
      </c>
      <c r="AB178" t="s">
        <v>1433</v>
      </c>
      <c r="AC178">
        <v>2.0735184E-3</v>
      </c>
      <c r="AD178" s="16">
        <v>2.173675E-4</v>
      </c>
      <c r="AE178" s="16">
        <v>4.5279999999999998E-7</v>
      </c>
      <c r="AF178" s="16">
        <v>0</v>
      </c>
      <c r="AG178" s="16">
        <v>0</v>
      </c>
      <c r="AH178" s="16">
        <v>0</v>
      </c>
      <c r="AI178" s="16">
        <v>5.6739999999999996E-7</v>
      </c>
      <c r="AJ178" s="16">
        <v>2.9499999999999998E-7</v>
      </c>
      <c r="AK178" s="16">
        <v>2.7249999999999999E-7</v>
      </c>
      <c r="AL178" s="16">
        <v>-9.4300000000000004E-8</v>
      </c>
      <c r="AM178" s="16">
        <v>8.1299999999999993E-8</v>
      </c>
      <c r="AN178" s="16">
        <v>3.4999999999999999E-9</v>
      </c>
      <c r="AO178" s="16">
        <v>-2.3800000000000001E-8</v>
      </c>
      <c r="AP178" s="16">
        <v>0</v>
      </c>
      <c r="AQ178" s="16">
        <v>0</v>
      </c>
      <c r="AR178" s="16">
        <v>0</v>
      </c>
      <c r="AS178" s="16">
        <v>0</v>
      </c>
      <c r="AT178" s="16">
        <v>0</v>
      </c>
      <c r="AU178" s="16">
        <v>0</v>
      </c>
      <c r="AV178" s="16">
        <v>0</v>
      </c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0</v>
      </c>
      <c r="BD178" s="16">
        <v>0</v>
      </c>
      <c r="BE178" s="16">
        <v>0</v>
      </c>
      <c r="BF178" s="16">
        <v>0</v>
      </c>
      <c r="BG178" s="16">
        <v>0</v>
      </c>
      <c r="BH178" s="16">
        <v>0</v>
      </c>
      <c r="BI178" s="16">
        <v>0</v>
      </c>
      <c r="BJ178" s="16">
        <v>2.9718999999999999E-6</v>
      </c>
      <c r="BK178" s="16"/>
      <c r="BL178" s="16">
        <v>1782528</v>
      </c>
      <c r="BM178" s="61" t="s">
        <v>1285</v>
      </c>
    </row>
    <row r="179" spans="5:65" x14ac:dyDescent="0.25">
      <c r="E179" s="7">
        <f>COUNTIFS(tblBOneExport[ISIN],tblBOneExport[[#This Row],[ISIN]],tblBOneExport[LEVEL1],"Bonds")</f>
        <v>1</v>
      </c>
      <c r="F179">
        <v>4547</v>
      </c>
      <c r="G179" s="155">
        <v>42947</v>
      </c>
      <c r="H179" s="155">
        <v>42978</v>
      </c>
      <c r="I179" t="s">
        <v>1720</v>
      </c>
      <c r="J179">
        <v>1785437</v>
      </c>
      <c r="K179" s="18" t="s">
        <v>1721</v>
      </c>
      <c r="L179" t="s">
        <v>1034</v>
      </c>
      <c r="M179" t="s">
        <v>1035</v>
      </c>
      <c r="N179" t="s">
        <v>492</v>
      </c>
      <c r="O179" t="s">
        <v>372</v>
      </c>
      <c r="P179" t="s">
        <v>1276</v>
      </c>
      <c r="Q179" t="s">
        <v>1277</v>
      </c>
      <c r="R179" t="s">
        <v>1278</v>
      </c>
      <c r="S179" t="s">
        <v>1279</v>
      </c>
      <c r="T179" t="s">
        <v>1280</v>
      </c>
      <c r="U179" t="s">
        <v>1280</v>
      </c>
      <c r="V179" t="s">
        <v>1332</v>
      </c>
      <c r="W179" t="s">
        <v>493</v>
      </c>
      <c r="X179" t="s">
        <v>1282</v>
      </c>
      <c r="Y179" s="154">
        <v>44866</v>
      </c>
      <c r="Z179" s="154">
        <v>44866</v>
      </c>
      <c r="AA179" t="s">
        <v>1308</v>
      </c>
      <c r="AB179" t="s">
        <v>1309</v>
      </c>
      <c r="AC179">
        <v>8.5667980000000005E-3</v>
      </c>
      <c r="AD179" s="16">
        <v>8.4428504000000001E-3</v>
      </c>
      <c r="AE179" s="16">
        <v>7.2612800000000004E-5</v>
      </c>
      <c r="AF179" s="16">
        <v>0</v>
      </c>
      <c r="AG179" s="16">
        <v>0</v>
      </c>
      <c r="AH179" s="16">
        <v>0</v>
      </c>
      <c r="AI179" s="16">
        <v>8.0090999999999993E-6</v>
      </c>
      <c r="AJ179" s="16">
        <v>3.8151000000000001E-6</v>
      </c>
      <c r="AK179" s="16">
        <v>4.194E-6</v>
      </c>
      <c r="AL179" s="16">
        <v>6.5228000000000006E-5</v>
      </c>
      <c r="AM179" s="16">
        <v>4.5032000000000004E-6</v>
      </c>
      <c r="AN179" s="16">
        <v>3.9867000000000003E-6</v>
      </c>
      <c r="AO179" s="16">
        <v>-4.6110000000000004E-6</v>
      </c>
      <c r="AP179" s="16">
        <v>0</v>
      </c>
      <c r="AQ179" s="16">
        <v>0</v>
      </c>
      <c r="AR179" s="16">
        <v>0</v>
      </c>
      <c r="AS179" s="16">
        <v>0</v>
      </c>
      <c r="AT179" s="16">
        <v>0</v>
      </c>
      <c r="AU179" s="16">
        <v>0</v>
      </c>
      <c r="AV179" s="16">
        <v>0</v>
      </c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0</v>
      </c>
      <c r="BD179" s="16">
        <v>0</v>
      </c>
      <c r="BE179" s="16">
        <v>0</v>
      </c>
      <c r="BF179" s="16">
        <v>0</v>
      </c>
      <c r="BG179" s="16">
        <v>0</v>
      </c>
      <c r="BH179" s="16">
        <v>0</v>
      </c>
      <c r="BI179" s="16">
        <v>0</v>
      </c>
      <c r="BJ179" s="16">
        <v>4.7882700000000002E-5</v>
      </c>
      <c r="BK179" s="16"/>
      <c r="BL179" s="16">
        <v>1785437</v>
      </c>
      <c r="BM179" s="61" t="s">
        <v>1285</v>
      </c>
    </row>
    <row r="180" spans="5:65" x14ac:dyDescent="0.25">
      <c r="E180" s="7">
        <f>COUNTIFS(tblBOneExport[ISIN],tblBOneExport[[#This Row],[ISIN]],tblBOneExport[LEVEL1],"Bonds")</f>
        <v>1</v>
      </c>
      <c r="F180">
        <v>4547</v>
      </c>
      <c r="G180" s="155">
        <v>42947</v>
      </c>
      <c r="H180" s="155">
        <v>42978</v>
      </c>
      <c r="I180" t="s">
        <v>1722</v>
      </c>
      <c r="J180">
        <v>1799667</v>
      </c>
      <c r="K180" s="18" t="s">
        <v>1723</v>
      </c>
      <c r="L180" t="s">
        <v>756</v>
      </c>
      <c r="M180" t="s">
        <v>757</v>
      </c>
      <c r="N180" t="s">
        <v>492</v>
      </c>
      <c r="O180" t="s">
        <v>372</v>
      </c>
      <c r="P180" t="s">
        <v>1276</v>
      </c>
      <c r="Q180" t="s">
        <v>1277</v>
      </c>
      <c r="R180" t="s">
        <v>1278</v>
      </c>
      <c r="S180" t="s">
        <v>1348</v>
      </c>
      <c r="T180" t="s">
        <v>1349</v>
      </c>
      <c r="U180" t="s">
        <v>1349</v>
      </c>
      <c r="V180" t="s">
        <v>1288</v>
      </c>
      <c r="W180" t="s">
        <v>493</v>
      </c>
      <c r="X180" t="s">
        <v>1282</v>
      </c>
      <c r="Y180" s="154">
        <v>44894</v>
      </c>
      <c r="Z180" s="154">
        <v>44894</v>
      </c>
      <c r="AA180" t="s">
        <v>1359</v>
      </c>
      <c r="AB180" t="s">
        <v>1360</v>
      </c>
      <c r="AC180">
        <v>2.3164765000000002E-3</v>
      </c>
      <c r="AD180" s="16">
        <v>9.0786393999999996E-3</v>
      </c>
      <c r="AE180" s="16">
        <v>2.1109799999999999E-5</v>
      </c>
      <c r="AF180" s="16">
        <v>0</v>
      </c>
      <c r="AG180" s="16">
        <v>0</v>
      </c>
      <c r="AH180" s="16">
        <v>0</v>
      </c>
      <c r="AI180" s="16">
        <v>3.7017999999999999E-6</v>
      </c>
      <c r="AJ180" s="16">
        <v>1.0427E-6</v>
      </c>
      <c r="AK180" s="16">
        <v>2.6591000000000001E-6</v>
      </c>
      <c r="AL180" s="16">
        <v>1.63433E-5</v>
      </c>
      <c r="AM180" s="16">
        <v>1.1423000000000001E-6</v>
      </c>
      <c r="AN180" s="16">
        <v>5.4150000000000002E-7</v>
      </c>
      <c r="AO180" s="16">
        <v>5.2310000000000002E-7</v>
      </c>
      <c r="AP180" s="16">
        <v>0</v>
      </c>
      <c r="AQ180" s="16">
        <v>0</v>
      </c>
      <c r="AR180" s="16">
        <v>0</v>
      </c>
      <c r="AS180" s="16">
        <v>0</v>
      </c>
      <c r="AT180" s="16">
        <v>0</v>
      </c>
      <c r="AU180" s="16">
        <v>0</v>
      </c>
      <c r="AV180" s="16">
        <v>0</v>
      </c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0</v>
      </c>
      <c r="BD180" s="16">
        <v>0</v>
      </c>
      <c r="BE180" s="16">
        <v>0</v>
      </c>
      <c r="BF180" s="16">
        <v>0</v>
      </c>
      <c r="BG180" s="16">
        <v>0</v>
      </c>
      <c r="BH180" s="16">
        <v>0</v>
      </c>
      <c r="BI180" s="16">
        <v>0</v>
      </c>
      <c r="BJ180" s="16">
        <v>3.1383600000000002E-5</v>
      </c>
      <c r="BK180" s="16"/>
      <c r="BL180" s="16">
        <v>1799667</v>
      </c>
      <c r="BM180" s="61" t="s">
        <v>1285</v>
      </c>
    </row>
    <row r="181" spans="5:65" x14ac:dyDescent="0.25">
      <c r="E181" s="7">
        <f>COUNTIFS(tblBOneExport[ISIN],tblBOneExport[[#This Row],[ISIN]],tblBOneExport[LEVEL1],"Bonds")</f>
        <v>1</v>
      </c>
      <c r="F181">
        <v>4547</v>
      </c>
      <c r="G181" s="155">
        <v>42947</v>
      </c>
      <c r="H181" s="155">
        <v>42978</v>
      </c>
      <c r="I181" t="s">
        <v>1724</v>
      </c>
      <c r="J181">
        <v>1801225</v>
      </c>
      <c r="K181" s="18" t="s">
        <v>1725</v>
      </c>
      <c r="L181" t="s">
        <v>975</v>
      </c>
      <c r="M181" t="s">
        <v>973</v>
      </c>
      <c r="N181" t="s">
        <v>492</v>
      </c>
      <c r="O181" t="s">
        <v>372</v>
      </c>
      <c r="P181" t="s">
        <v>1276</v>
      </c>
      <c r="Q181" t="s">
        <v>1277</v>
      </c>
      <c r="R181" t="s">
        <v>1278</v>
      </c>
      <c r="S181" t="s">
        <v>1279</v>
      </c>
      <c r="T181" t="s">
        <v>1280</v>
      </c>
      <c r="U181" t="s">
        <v>1280</v>
      </c>
      <c r="V181" t="s">
        <v>1303</v>
      </c>
      <c r="W181" t="s">
        <v>493</v>
      </c>
      <c r="X181" t="s">
        <v>1282</v>
      </c>
      <c r="Y181" s="154">
        <v>45260</v>
      </c>
      <c r="Z181" s="154">
        <v>45260</v>
      </c>
      <c r="AA181" t="s">
        <v>1521</v>
      </c>
      <c r="AB181" t="s">
        <v>1522</v>
      </c>
      <c r="AC181">
        <v>1.2060751E-2</v>
      </c>
      <c r="AD181" s="16">
        <v>9.1801556999999995E-3</v>
      </c>
      <c r="AE181" s="16">
        <v>1.111253E-4</v>
      </c>
      <c r="AF181" s="16">
        <v>0</v>
      </c>
      <c r="AG181" s="16">
        <v>0</v>
      </c>
      <c r="AH181" s="16">
        <v>0</v>
      </c>
      <c r="AI181" s="16">
        <v>1.14063E-5</v>
      </c>
      <c r="AJ181" s="16">
        <v>6.7495999999999997E-6</v>
      </c>
      <c r="AK181" s="16">
        <v>4.6566999999999998E-6</v>
      </c>
      <c r="AL181" s="16">
        <v>1.029906E-4</v>
      </c>
      <c r="AM181" s="16">
        <v>7.1656999999999999E-6</v>
      </c>
      <c r="AN181" s="16">
        <v>-1.02902E-5</v>
      </c>
      <c r="AO181" s="16">
        <v>7.0184999999999998E-6</v>
      </c>
      <c r="AP181" s="16">
        <v>0</v>
      </c>
      <c r="AQ181" s="16">
        <v>0</v>
      </c>
      <c r="AR181" s="16">
        <v>0</v>
      </c>
      <c r="AS181" s="16">
        <v>0</v>
      </c>
      <c r="AT181" s="16">
        <v>0</v>
      </c>
      <c r="AU181" s="16">
        <v>0</v>
      </c>
      <c r="AV181" s="16">
        <v>0</v>
      </c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0</v>
      </c>
      <c r="BD181" s="16">
        <v>0</v>
      </c>
      <c r="BE181" s="16">
        <v>0</v>
      </c>
      <c r="BF181" s="16">
        <v>0</v>
      </c>
      <c r="BG181" s="16">
        <v>0</v>
      </c>
      <c r="BH181" s="16">
        <v>0</v>
      </c>
      <c r="BI181" s="16">
        <v>0</v>
      </c>
      <c r="BJ181" s="16">
        <v>5.4468500000000002E-5</v>
      </c>
      <c r="BK181" s="16"/>
      <c r="BL181" s="16">
        <v>1801225</v>
      </c>
      <c r="BM181" s="61" t="s">
        <v>1285</v>
      </c>
    </row>
    <row r="182" spans="5:65" x14ac:dyDescent="0.25">
      <c r="E182" s="7">
        <f>COUNTIFS(tblBOneExport[ISIN],tblBOneExport[[#This Row],[ISIN]],tblBOneExport[LEVEL1],"Bonds")</f>
        <v>1</v>
      </c>
      <c r="F182">
        <v>4547</v>
      </c>
      <c r="G182" s="155">
        <v>42947</v>
      </c>
      <c r="H182" s="155">
        <v>42978</v>
      </c>
      <c r="I182" t="s">
        <v>1726</v>
      </c>
      <c r="J182">
        <v>1812107</v>
      </c>
      <c r="K182" s="18" t="s">
        <v>1727</v>
      </c>
      <c r="L182" t="s">
        <v>793</v>
      </c>
      <c r="M182" t="s">
        <v>787</v>
      </c>
      <c r="N182" t="s">
        <v>492</v>
      </c>
      <c r="O182" t="s">
        <v>372</v>
      </c>
      <c r="P182" t="s">
        <v>1276</v>
      </c>
      <c r="Q182" t="s">
        <v>1277</v>
      </c>
      <c r="R182" t="s">
        <v>1278</v>
      </c>
      <c r="S182" t="s">
        <v>1279</v>
      </c>
      <c r="T182" t="s">
        <v>1442</v>
      </c>
      <c r="U182" t="s">
        <v>1442</v>
      </c>
      <c r="V182" t="s">
        <v>1332</v>
      </c>
      <c r="W182" t="s">
        <v>493</v>
      </c>
      <c r="X182" t="s">
        <v>1282</v>
      </c>
      <c r="Y182" s="154">
        <v>46741</v>
      </c>
      <c r="Z182" s="154">
        <v>46741</v>
      </c>
      <c r="AA182" t="s">
        <v>1359</v>
      </c>
      <c r="AB182" t="s">
        <v>1360</v>
      </c>
      <c r="AC182">
        <v>1.3379144999999999E-3</v>
      </c>
      <c r="AD182" s="16">
        <v>1.7832188499999999E-2</v>
      </c>
      <c r="AE182" s="16">
        <v>2.3825700000000001E-5</v>
      </c>
      <c r="AF182" s="16">
        <v>0</v>
      </c>
      <c r="AG182" s="16">
        <v>0</v>
      </c>
      <c r="AH182" s="16">
        <v>0</v>
      </c>
      <c r="AI182" s="16">
        <v>2.199E-6</v>
      </c>
      <c r="AJ182" s="16">
        <v>1.2938E-6</v>
      </c>
      <c r="AK182" s="16">
        <v>9.0520000000000003E-7</v>
      </c>
      <c r="AL182" s="16">
        <v>2.3938699999999998E-5</v>
      </c>
      <c r="AM182" s="16">
        <v>1.2672999999999999E-6</v>
      </c>
      <c r="AN182" s="16">
        <v>-1.0801E-6</v>
      </c>
      <c r="AO182" s="16">
        <v>-1.2319E-6</v>
      </c>
      <c r="AP182" s="16">
        <v>0</v>
      </c>
      <c r="AQ182" s="16">
        <v>0</v>
      </c>
      <c r="AR182" s="16">
        <v>0</v>
      </c>
      <c r="AS182" s="16">
        <v>0</v>
      </c>
      <c r="AT182" s="16">
        <v>0</v>
      </c>
      <c r="AU182" s="16">
        <v>0</v>
      </c>
      <c r="AV182" s="16">
        <v>0</v>
      </c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0</v>
      </c>
      <c r="BD182" s="16">
        <v>0</v>
      </c>
      <c r="BE182" s="16">
        <v>0</v>
      </c>
      <c r="BF182" s="16">
        <v>0</v>
      </c>
      <c r="BG182" s="16">
        <v>0</v>
      </c>
      <c r="BH182" s="16">
        <v>0</v>
      </c>
      <c r="BI182" s="16">
        <v>0</v>
      </c>
      <c r="BJ182" s="16">
        <v>1.0587299999999999E-5</v>
      </c>
      <c r="BK182" s="16"/>
      <c r="BL182" s="16">
        <v>1812107</v>
      </c>
      <c r="BM182" s="61" t="s">
        <v>1285</v>
      </c>
    </row>
    <row r="183" spans="5:65" x14ac:dyDescent="0.25">
      <c r="E183" s="7">
        <f>COUNTIFS(tblBOneExport[ISIN],tblBOneExport[[#This Row],[ISIN]],tblBOneExport[LEVEL1],"Bonds")</f>
        <v>1</v>
      </c>
      <c r="F183">
        <v>4547</v>
      </c>
      <c r="G183" s="155">
        <v>42947</v>
      </c>
      <c r="H183" s="155">
        <v>42978</v>
      </c>
      <c r="I183" t="s">
        <v>1728</v>
      </c>
      <c r="J183">
        <v>1812106</v>
      </c>
      <c r="K183" s="18" t="s">
        <v>1729</v>
      </c>
      <c r="L183" t="s">
        <v>791</v>
      </c>
      <c r="M183" t="s">
        <v>787</v>
      </c>
      <c r="N183" t="s">
        <v>492</v>
      </c>
      <c r="O183" t="s">
        <v>372</v>
      </c>
      <c r="P183" t="s">
        <v>1276</v>
      </c>
      <c r="Q183" t="s">
        <v>1277</v>
      </c>
      <c r="R183" t="s">
        <v>1278</v>
      </c>
      <c r="S183" t="s">
        <v>1279</v>
      </c>
      <c r="T183" t="s">
        <v>1442</v>
      </c>
      <c r="U183" t="s">
        <v>1442</v>
      </c>
      <c r="V183" t="s">
        <v>1332</v>
      </c>
      <c r="W183" t="s">
        <v>493</v>
      </c>
      <c r="X183" t="s">
        <v>1282</v>
      </c>
      <c r="Y183" s="154">
        <v>53314</v>
      </c>
      <c r="Z183" s="154">
        <v>53314</v>
      </c>
      <c r="AA183" t="s">
        <v>1359</v>
      </c>
      <c r="AB183" t="s">
        <v>1360</v>
      </c>
      <c r="AC183">
        <v>3.1148821999999999E-3</v>
      </c>
      <c r="AD183" s="16">
        <v>2.9508771400000001E-2</v>
      </c>
      <c r="AE183" s="16">
        <v>9.1098800000000003E-5</v>
      </c>
      <c r="AF183" s="16">
        <v>0</v>
      </c>
      <c r="AG183" s="16">
        <v>0</v>
      </c>
      <c r="AH183" s="16">
        <v>0</v>
      </c>
      <c r="AI183" s="16">
        <v>6.9936000000000003E-6</v>
      </c>
      <c r="AJ183" s="16">
        <v>4.5936999999999997E-6</v>
      </c>
      <c r="AK183" s="16">
        <v>2.3999000000000001E-6</v>
      </c>
      <c r="AL183" s="16">
        <v>9.0746299999999995E-5</v>
      </c>
      <c r="AM183" s="16">
        <v>-6.3500000000000006E-8</v>
      </c>
      <c r="AN183" s="16">
        <v>-4.8465000000000001E-6</v>
      </c>
      <c r="AO183" s="16">
        <v>-1.7945999999999999E-6</v>
      </c>
      <c r="AP183" s="16">
        <v>0</v>
      </c>
      <c r="AQ183" s="16">
        <v>0</v>
      </c>
      <c r="AR183" s="16">
        <v>0</v>
      </c>
      <c r="AS183" s="16">
        <v>0</v>
      </c>
      <c r="AT183" s="16">
        <v>0</v>
      </c>
      <c r="AU183" s="16">
        <v>0</v>
      </c>
      <c r="AV183" s="16">
        <v>0</v>
      </c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0</v>
      </c>
      <c r="BD183" s="16">
        <v>0</v>
      </c>
      <c r="BE183" s="16">
        <v>0</v>
      </c>
      <c r="BF183" s="16">
        <v>0</v>
      </c>
      <c r="BG183" s="16">
        <v>0</v>
      </c>
      <c r="BH183" s="16">
        <v>0</v>
      </c>
      <c r="BI183" s="16">
        <v>0</v>
      </c>
      <c r="BJ183" s="16">
        <v>2.8598999999999998E-5</v>
      </c>
      <c r="BK183" s="16"/>
      <c r="BL183" s="16">
        <v>1812106</v>
      </c>
      <c r="BM183" s="61" t="s">
        <v>1285</v>
      </c>
    </row>
    <row r="184" spans="5:65" x14ac:dyDescent="0.25">
      <c r="E184" s="7">
        <f>COUNTIFS(tblBOneExport[ISIN],tblBOneExport[[#This Row],[ISIN]],tblBOneExport[LEVEL1],"Bonds")</f>
        <v>1</v>
      </c>
      <c r="F184">
        <v>4547</v>
      </c>
      <c r="G184" s="155">
        <v>42947</v>
      </c>
      <c r="H184" s="155">
        <v>42978</v>
      </c>
      <c r="I184" t="s">
        <v>1730</v>
      </c>
      <c r="J184">
        <v>1820557</v>
      </c>
      <c r="K184" s="18" t="s">
        <v>1731</v>
      </c>
      <c r="L184" t="s">
        <v>741</v>
      </c>
      <c r="M184" t="s">
        <v>733</v>
      </c>
      <c r="N184" t="s">
        <v>492</v>
      </c>
      <c r="O184" t="s">
        <v>372</v>
      </c>
      <c r="P184" t="s">
        <v>1276</v>
      </c>
      <c r="Q184" t="s">
        <v>1330</v>
      </c>
      <c r="R184" t="s">
        <v>1352</v>
      </c>
      <c r="S184" t="s">
        <v>1352</v>
      </c>
      <c r="T184" t="s">
        <v>1352</v>
      </c>
      <c r="U184" t="s">
        <v>1352</v>
      </c>
      <c r="V184" t="s">
        <v>1353</v>
      </c>
      <c r="W184" t="s">
        <v>493</v>
      </c>
      <c r="X184" t="s">
        <v>1282</v>
      </c>
      <c r="Y184" s="154">
        <v>43115</v>
      </c>
      <c r="Z184" s="154">
        <v>43115</v>
      </c>
      <c r="AA184" t="s">
        <v>1354</v>
      </c>
      <c r="AB184" t="s">
        <v>1355</v>
      </c>
      <c r="AC184">
        <v>2.4928453000000001E-3</v>
      </c>
      <c r="AD184" s="16">
        <v>5.8066349999999999E-4</v>
      </c>
      <c r="AE184" s="16">
        <v>1.4602E-6</v>
      </c>
      <c r="AF184" s="16">
        <v>0</v>
      </c>
      <c r="AG184" s="16">
        <v>0</v>
      </c>
      <c r="AH184" s="16">
        <v>0</v>
      </c>
      <c r="AI184" s="16">
        <v>5.8329999999999999E-7</v>
      </c>
      <c r="AJ184" s="16">
        <v>3.8599999999999999E-7</v>
      </c>
      <c r="AK184" s="16">
        <v>1.973E-7</v>
      </c>
      <c r="AL184" s="16">
        <v>1.149E-7</v>
      </c>
      <c r="AM184" s="16">
        <v>1.289E-7</v>
      </c>
      <c r="AN184" s="16">
        <v>7.8039999999999997E-7</v>
      </c>
      <c r="AO184" s="16">
        <v>-1.8399999999999999E-8</v>
      </c>
      <c r="AP184" s="16">
        <v>0</v>
      </c>
      <c r="AQ184" s="16">
        <v>0</v>
      </c>
      <c r="AR184" s="16">
        <v>0</v>
      </c>
      <c r="AS184" s="16">
        <v>0</v>
      </c>
      <c r="AT184" s="16">
        <v>0</v>
      </c>
      <c r="AU184" s="16">
        <v>0</v>
      </c>
      <c r="AV184" s="16">
        <v>0</v>
      </c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0</v>
      </c>
      <c r="BD184" s="16">
        <v>0</v>
      </c>
      <c r="BE184" s="16">
        <v>0</v>
      </c>
      <c r="BF184" s="16">
        <v>0</v>
      </c>
      <c r="BG184" s="16">
        <v>0</v>
      </c>
      <c r="BH184" s="16">
        <v>0</v>
      </c>
      <c r="BI184" s="16">
        <v>0</v>
      </c>
      <c r="BJ184" s="16">
        <v>1.5059000000000001E-6</v>
      </c>
      <c r="BK184" s="16"/>
      <c r="BL184" s="16">
        <v>1820557</v>
      </c>
      <c r="BM184" s="61" t="s">
        <v>1285</v>
      </c>
    </row>
    <row r="185" spans="5:65" x14ac:dyDescent="0.25">
      <c r="E185" s="7">
        <f>COUNTIFS(tblBOneExport[ISIN],tblBOneExport[[#This Row],[ISIN]],tblBOneExport[LEVEL1],"Bonds")</f>
        <v>1</v>
      </c>
      <c r="F185">
        <v>4547</v>
      </c>
      <c r="G185" s="155">
        <v>42947</v>
      </c>
      <c r="H185" s="155">
        <v>42978</v>
      </c>
      <c r="I185" t="s">
        <v>1732</v>
      </c>
      <c r="J185">
        <v>1820940</v>
      </c>
      <c r="K185" s="18" t="s">
        <v>1733</v>
      </c>
      <c r="L185" t="s">
        <v>934</v>
      </c>
      <c r="M185" t="s">
        <v>935</v>
      </c>
      <c r="N185" t="s">
        <v>492</v>
      </c>
      <c r="O185" t="s">
        <v>372</v>
      </c>
      <c r="P185" t="s">
        <v>1276</v>
      </c>
      <c r="Q185" t="s">
        <v>1277</v>
      </c>
      <c r="R185" t="s">
        <v>1300</v>
      </c>
      <c r="S185" t="s">
        <v>1301</v>
      </c>
      <c r="T185" t="s">
        <v>1302</v>
      </c>
      <c r="U185" t="s">
        <v>1302</v>
      </c>
      <c r="V185" t="s">
        <v>1303</v>
      </c>
      <c r="W185" t="s">
        <v>493</v>
      </c>
      <c r="X185" t="s">
        <v>1282</v>
      </c>
      <c r="Y185" s="154">
        <v>44937</v>
      </c>
      <c r="Z185" s="154">
        <v>44937</v>
      </c>
      <c r="AA185" t="s">
        <v>1308</v>
      </c>
      <c r="AB185" t="s">
        <v>1309</v>
      </c>
      <c r="AC185">
        <v>7.2639100999999998E-3</v>
      </c>
      <c r="AD185" s="16">
        <v>8.3044589000000005E-3</v>
      </c>
      <c r="AE185" s="16">
        <v>6.0603999999999998E-5</v>
      </c>
      <c r="AF185" s="16">
        <v>0</v>
      </c>
      <c r="AG185" s="16">
        <v>0</v>
      </c>
      <c r="AH185" s="16">
        <v>0</v>
      </c>
      <c r="AI185" s="16">
        <v>8.4980999999999992E-6</v>
      </c>
      <c r="AJ185" s="16">
        <v>3.3774000000000001E-6</v>
      </c>
      <c r="AK185" s="16">
        <v>5.1206999999999999E-6</v>
      </c>
      <c r="AL185" s="16">
        <v>5.5181800000000001E-5</v>
      </c>
      <c r="AM185" s="16">
        <v>3.9295000000000002E-6</v>
      </c>
      <c r="AN185" s="16">
        <v>-5.0242000000000001E-6</v>
      </c>
      <c r="AO185" s="16">
        <v>1.9483999999999998E-6</v>
      </c>
      <c r="AP185" s="16">
        <v>0</v>
      </c>
      <c r="AQ185" s="16">
        <v>0</v>
      </c>
      <c r="AR185" s="16">
        <v>0</v>
      </c>
      <c r="AS185" s="16">
        <v>0</v>
      </c>
      <c r="AT185" s="16">
        <v>0</v>
      </c>
      <c r="AU185" s="16">
        <v>0</v>
      </c>
      <c r="AV185" s="16">
        <v>0</v>
      </c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0</v>
      </c>
      <c r="BD185" s="16">
        <v>0</v>
      </c>
      <c r="BE185" s="16">
        <v>0</v>
      </c>
      <c r="BF185" s="16">
        <v>0</v>
      </c>
      <c r="BG185" s="16">
        <v>0</v>
      </c>
      <c r="BH185" s="16">
        <v>0</v>
      </c>
      <c r="BI185" s="16">
        <v>0</v>
      </c>
      <c r="BJ185" s="16">
        <v>5.9704899999999998E-5</v>
      </c>
      <c r="BK185" s="16"/>
      <c r="BL185" s="16">
        <v>1820940</v>
      </c>
      <c r="BM185" s="61" t="s">
        <v>1285</v>
      </c>
    </row>
    <row r="186" spans="5:65" x14ac:dyDescent="0.25">
      <c r="E186" s="7">
        <f>COUNTIFS(tblBOneExport[ISIN],tblBOneExport[[#This Row],[ISIN]],tblBOneExport[LEVEL1],"Bonds")</f>
        <v>1</v>
      </c>
      <c r="F186">
        <v>4547</v>
      </c>
      <c r="G186" s="155">
        <v>42947</v>
      </c>
      <c r="H186" s="155">
        <v>42978</v>
      </c>
      <c r="I186" t="s">
        <v>1734</v>
      </c>
      <c r="J186">
        <v>1821540</v>
      </c>
      <c r="K186" s="18" t="s">
        <v>1735</v>
      </c>
      <c r="L186" t="s">
        <v>1113</v>
      </c>
      <c r="M186" t="s">
        <v>1111</v>
      </c>
      <c r="N186" t="s">
        <v>492</v>
      </c>
      <c r="O186" t="s">
        <v>372</v>
      </c>
      <c r="P186" t="s">
        <v>1276</v>
      </c>
      <c r="Q186" t="s">
        <v>1277</v>
      </c>
      <c r="R186" t="s">
        <v>1322</v>
      </c>
      <c r="S186" t="s">
        <v>1323</v>
      </c>
      <c r="T186" t="s">
        <v>1323</v>
      </c>
      <c r="U186" t="s">
        <v>1323</v>
      </c>
      <c r="V186" t="s">
        <v>1288</v>
      </c>
      <c r="W186" t="s">
        <v>493</v>
      </c>
      <c r="X186" t="s">
        <v>1282</v>
      </c>
      <c r="Y186" s="154">
        <v>46038</v>
      </c>
      <c r="Z186" s="154">
        <v>46038</v>
      </c>
      <c r="AA186" t="s">
        <v>1359</v>
      </c>
      <c r="AB186" t="s">
        <v>1360</v>
      </c>
      <c r="AC186">
        <v>2.2645819999999998E-3</v>
      </c>
      <c r="AD186" s="16">
        <v>1.41352999E-2</v>
      </c>
      <c r="AE186" s="16">
        <v>3.2032100000000001E-5</v>
      </c>
      <c r="AF186" s="16">
        <v>0</v>
      </c>
      <c r="AG186" s="16">
        <v>0</v>
      </c>
      <c r="AH186" s="16">
        <v>0</v>
      </c>
      <c r="AI186" s="16">
        <v>3.7475000000000001E-6</v>
      </c>
      <c r="AJ186" s="16">
        <v>1.7562E-6</v>
      </c>
      <c r="AK186" s="16">
        <v>1.9912999999999999E-6</v>
      </c>
      <c r="AL186" s="16">
        <v>3.2597900000000002E-5</v>
      </c>
      <c r="AM186" s="16">
        <v>1.8777E-6</v>
      </c>
      <c r="AN186" s="16">
        <v>-4.8578000000000003E-6</v>
      </c>
      <c r="AO186" s="16">
        <v>5.4460000000000005E-7</v>
      </c>
      <c r="AP186" s="16">
        <v>0</v>
      </c>
      <c r="AQ186" s="16">
        <v>0</v>
      </c>
      <c r="AR186" s="16">
        <v>0</v>
      </c>
      <c r="AS186" s="16">
        <v>0</v>
      </c>
      <c r="AT186" s="16">
        <v>0</v>
      </c>
      <c r="AU186" s="16">
        <v>0</v>
      </c>
      <c r="AV186" s="16">
        <v>0</v>
      </c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0</v>
      </c>
      <c r="BD186" s="16">
        <v>0</v>
      </c>
      <c r="BE186" s="16">
        <v>0</v>
      </c>
      <c r="BF186" s="16">
        <v>0</v>
      </c>
      <c r="BG186" s="16">
        <v>0</v>
      </c>
      <c r="BH186" s="16">
        <v>0</v>
      </c>
      <c r="BI186" s="16">
        <v>0</v>
      </c>
      <c r="BJ186" s="16">
        <v>2.3840199999999999E-5</v>
      </c>
      <c r="BK186" s="16"/>
      <c r="BL186" s="16">
        <v>1821540</v>
      </c>
      <c r="BM186" s="61" t="s">
        <v>1285</v>
      </c>
    </row>
    <row r="187" spans="5:65" x14ac:dyDescent="0.25">
      <c r="E187" s="7">
        <f>COUNTIFS(tblBOneExport[ISIN],tblBOneExport[[#This Row],[ISIN]],tblBOneExport[LEVEL1],"Bonds")</f>
        <v>1</v>
      </c>
      <c r="F187">
        <v>4547</v>
      </c>
      <c r="G187" s="155">
        <v>42947</v>
      </c>
      <c r="H187" s="155">
        <v>42978</v>
      </c>
      <c r="I187" t="s">
        <v>1736</v>
      </c>
      <c r="J187">
        <v>1824398</v>
      </c>
      <c r="K187" s="18" t="s">
        <v>1737</v>
      </c>
      <c r="L187" t="s">
        <v>978</v>
      </c>
      <c r="M187" t="s">
        <v>979</v>
      </c>
      <c r="N187" t="s">
        <v>492</v>
      </c>
      <c r="O187" t="s">
        <v>372</v>
      </c>
      <c r="P187" t="s">
        <v>1276</v>
      </c>
      <c r="Q187" t="s">
        <v>1330</v>
      </c>
      <c r="R187" t="s">
        <v>1331</v>
      </c>
      <c r="S187" t="s">
        <v>1331</v>
      </c>
      <c r="T187" t="s">
        <v>1331</v>
      </c>
      <c r="U187" t="s">
        <v>1331</v>
      </c>
      <c r="V187" t="s">
        <v>1303</v>
      </c>
      <c r="W187" t="s">
        <v>493</v>
      </c>
      <c r="X187" t="s">
        <v>1282</v>
      </c>
      <c r="Y187" s="154">
        <v>43076</v>
      </c>
      <c r="Z187" s="154">
        <v>43076</v>
      </c>
      <c r="AA187" t="s">
        <v>1359</v>
      </c>
      <c r="AB187" t="s">
        <v>1360</v>
      </c>
      <c r="AC187">
        <v>2.5564066E-3</v>
      </c>
      <c r="AD187" s="16">
        <v>1.7771169999999999E-4</v>
      </c>
      <c r="AE187" s="16">
        <v>4.5649999999999999E-7</v>
      </c>
      <c r="AF187" s="16">
        <v>0</v>
      </c>
      <c r="AG187" s="16">
        <v>0</v>
      </c>
      <c r="AH187" s="16">
        <v>0</v>
      </c>
      <c r="AI187" s="16">
        <v>8.6329999999999995E-7</v>
      </c>
      <c r="AJ187" s="16">
        <v>3.6339999999999999E-7</v>
      </c>
      <c r="AK187" s="16">
        <v>4.9989999999999997E-7</v>
      </c>
      <c r="AL187" s="16">
        <v>-1.161E-7</v>
      </c>
      <c r="AM187" s="16">
        <v>1.002E-7</v>
      </c>
      <c r="AN187" s="16">
        <v>2.262E-7</v>
      </c>
      <c r="AO187" s="16">
        <v>-5.1689999999999998E-7</v>
      </c>
      <c r="AP187" s="16">
        <v>0</v>
      </c>
      <c r="AQ187" s="16">
        <v>0</v>
      </c>
      <c r="AR187" s="16">
        <v>0</v>
      </c>
      <c r="AS187" s="16">
        <v>0</v>
      </c>
      <c r="AT187" s="16">
        <v>0</v>
      </c>
      <c r="AU187" s="16">
        <v>0</v>
      </c>
      <c r="AV187" s="16">
        <v>0</v>
      </c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0</v>
      </c>
      <c r="BD187" s="16">
        <v>0</v>
      </c>
      <c r="BE187" s="16">
        <v>0</v>
      </c>
      <c r="BF187" s="16">
        <v>0</v>
      </c>
      <c r="BG187" s="16">
        <v>0</v>
      </c>
      <c r="BH187" s="16">
        <v>0</v>
      </c>
      <c r="BI187" s="16">
        <v>0</v>
      </c>
      <c r="BJ187" s="16">
        <v>4.6968999999999999E-6</v>
      </c>
      <c r="BK187" s="16"/>
      <c r="BL187" s="16">
        <v>1824398</v>
      </c>
      <c r="BM187" s="61" t="s">
        <v>1285</v>
      </c>
    </row>
    <row r="188" spans="5:65" x14ac:dyDescent="0.25">
      <c r="E188" s="7">
        <f>COUNTIFS(tblBOneExport[ISIN],tblBOneExport[[#This Row],[ISIN]],tblBOneExport[LEVEL1],"Bonds")</f>
        <v>1</v>
      </c>
      <c r="F188">
        <v>4547</v>
      </c>
      <c r="G188" s="155">
        <v>42947</v>
      </c>
      <c r="H188" s="155">
        <v>42978</v>
      </c>
      <c r="I188" t="s">
        <v>1738</v>
      </c>
      <c r="J188">
        <v>1846551</v>
      </c>
      <c r="K188" s="18" t="s">
        <v>1739</v>
      </c>
      <c r="L188" t="s">
        <v>898</v>
      </c>
      <c r="M188" t="s">
        <v>899</v>
      </c>
      <c r="N188" t="s">
        <v>492</v>
      </c>
      <c r="O188" t="s">
        <v>372</v>
      </c>
      <c r="P188" t="s">
        <v>1276</v>
      </c>
      <c r="Q188" t="s">
        <v>1330</v>
      </c>
      <c r="R188" t="s">
        <v>1331</v>
      </c>
      <c r="S188" t="s">
        <v>1331</v>
      </c>
      <c r="T188" t="s">
        <v>1331</v>
      </c>
      <c r="U188" t="s">
        <v>1331</v>
      </c>
      <c r="V188" t="s">
        <v>1353</v>
      </c>
      <c r="W188" t="s">
        <v>493</v>
      </c>
      <c r="X188" t="s">
        <v>1282</v>
      </c>
      <c r="Y188" s="154">
        <v>43084</v>
      </c>
      <c r="Z188" s="154">
        <v>43084</v>
      </c>
      <c r="AA188" t="s">
        <v>1432</v>
      </c>
      <c r="AB188" t="s">
        <v>1433</v>
      </c>
      <c r="AC188">
        <v>1.9824331000000001E-3</v>
      </c>
      <c r="AD188" s="16">
        <v>4.552809E-4</v>
      </c>
      <c r="AE188" s="16">
        <v>9.0689999999999995E-7</v>
      </c>
      <c r="AF188" s="16">
        <v>0</v>
      </c>
      <c r="AG188" s="16">
        <v>0</v>
      </c>
      <c r="AH188" s="16">
        <v>0</v>
      </c>
      <c r="AI188" s="16">
        <v>5.7820000000000003E-7</v>
      </c>
      <c r="AJ188" s="16">
        <v>2.8710000000000002E-7</v>
      </c>
      <c r="AK188" s="16">
        <v>2.9110000000000001E-7</v>
      </c>
      <c r="AL188" s="16">
        <v>-6.1500000000000001E-8</v>
      </c>
      <c r="AM188" s="16">
        <v>8.28E-8</v>
      </c>
      <c r="AN188" s="16">
        <v>1.9990000000000001E-7</v>
      </c>
      <c r="AO188" s="16">
        <v>1.903E-7</v>
      </c>
      <c r="AP188" s="16">
        <v>0</v>
      </c>
      <c r="AQ188" s="16">
        <v>0</v>
      </c>
      <c r="AR188" s="16">
        <v>0</v>
      </c>
      <c r="AS188" s="16">
        <v>0</v>
      </c>
      <c r="AT188" s="16">
        <v>0</v>
      </c>
      <c r="AU188" s="16">
        <v>0</v>
      </c>
      <c r="AV188" s="16">
        <v>0</v>
      </c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0</v>
      </c>
      <c r="BD188" s="16">
        <v>0</v>
      </c>
      <c r="BE188" s="16">
        <v>0</v>
      </c>
      <c r="BF188" s="16">
        <v>0</v>
      </c>
      <c r="BG188" s="16">
        <v>0</v>
      </c>
      <c r="BH188" s="16">
        <v>0</v>
      </c>
      <c r="BI188" s="16">
        <v>0</v>
      </c>
      <c r="BJ188" s="16">
        <v>2.8067000000000002E-6</v>
      </c>
      <c r="BK188" s="16"/>
      <c r="BL188" s="16">
        <v>1846551</v>
      </c>
      <c r="BM188" s="61" t="s">
        <v>1285</v>
      </c>
    </row>
    <row r="189" spans="5:65" x14ac:dyDescent="0.25">
      <c r="E189" s="7">
        <f>COUNTIFS(tblBOneExport[ISIN],tblBOneExport[[#This Row],[ISIN]],tblBOneExport[LEVEL1],"Bonds")</f>
        <v>1</v>
      </c>
      <c r="F189">
        <v>4547</v>
      </c>
      <c r="G189" s="155">
        <v>42947</v>
      </c>
      <c r="H189" s="155">
        <v>42978</v>
      </c>
      <c r="I189" t="s">
        <v>1740</v>
      </c>
      <c r="J189">
        <v>1865105</v>
      </c>
      <c r="K189" s="18" t="s">
        <v>1741</v>
      </c>
      <c r="L189" t="s">
        <v>902</v>
      </c>
      <c r="M189" t="s">
        <v>903</v>
      </c>
      <c r="N189" t="s">
        <v>492</v>
      </c>
      <c r="O189" t="s">
        <v>372</v>
      </c>
      <c r="P189" t="s">
        <v>1276</v>
      </c>
      <c r="Q189" t="s">
        <v>1330</v>
      </c>
      <c r="R189" t="s">
        <v>1742</v>
      </c>
      <c r="S189" t="s">
        <v>1742</v>
      </c>
      <c r="T189" t="s">
        <v>1742</v>
      </c>
      <c r="U189" t="s">
        <v>1742</v>
      </c>
      <c r="V189" t="s">
        <v>1353</v>
      </c>
      <c r="W189" t="s">
        <v>493</v>
      </c>
      <c r="X189" t="s">
        <v>1282</v>
      </c>
      <c r="Y189" s="154">
        <v>43084</v>
      </c>
      <c r="Z189" s="154">
        <v>43084</v>
      </c>
      <c r="AA189" t="s">
        <v>1432</v>
      </c>
      <c r="AB189" t="s">
        <v>1433</v>
      </c>
      <c r="AC189">
        <v>1.2810242E-3</v>
      </c>
      <c r="AD189" s="16">
        <v>4.894799E-4</v>
      </c>
      <c r="AE189" s="16">
        <v>6.2920000000000005E-7</v>
      </c>
      <c r="AF189" s="16">
        <v>0</v>
      </c>
      <c r="AG189" s="16">
        <v>0</v>
      </c>
      <c r="AH189" s="16">
        <v>0</v>
      </c>
      <c r="AI189" s="16">
        <v>4.1339999999999998E-7</v>
      </c>
      <c r="AJ189" s="16">
        <v>1.8540000000000001E-7</v>
      </c>
      <c r="AK189" s="16">
        <v>2.279E-7</v>
      </c>
      <c r="AL189" s="16">
        <v>-3.9599999999999997E-8</v>
      </c>
      <c r="AM189" s="16">
        <v>5.3500000000000003E-8</v>
      </c>
      <c r="AN189" s="16">
        <v>1.0700000000000001E-7</v>
      </c>
      <c r="AO189" s="16">
        <v>1.4850000000000001E-7</v>
      </c>
      <c r="AP189" s="16">
        <v>0</v>
      </c>
      <c r="AQ189" s="16">
        <v>0</v>
      </c>
      <c r="AR189" s="16">
        <v>0</v>
      </c>
      <c r="AS189" s="16">
        <v>0</v>
      </c>
      <c r="AT189" s="16">
        <v>0</v>
      </c>
      <c r="AU189" s="16">
        <v>0</v>
      </c>
      <c r="AV189" s="16">
        <v>0</v>
      </c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0</v>
      </c>
      <c r="BD189" s="16">
        <v>0</v>
      </c>
      <c r="BE189" s="16">
        <v>0</v>
      </c>
      <c r="BF189" s="16">
        <v>0</v>
      </c>
      <c r="BG189" s="16">
        <v>0</v>
      </c>
      <c r="BH189" s="16">
        <v>0</v>
      </c>
      <c r="BI189" s="16">
        <v>0</v>
      </c>
      <c r="BJ189" s="16">
        <v>2.3721999999999999E-6</v>
      </c>
      <c r="BK189" s="16"/>
      <c r="BL189" s="16">
        <v>1865105</v>
      </c>
      <c r="BM189" s="61" t="s">
        <v>1285</v>
      </c>
    </row>
    <row r="190" spans="5:65" x14ac:dyDescent="0.25">
      <c r="E190" s="7">
        <f>COUNTIFS(tblBOneExport[ISIN],tblBOneExport[[#This Row],[ISIN]],tblBOneExport[LEVEL1],"Bonds")</f>
        <v>1</v>
      </c>
      <c r="F190">
        <v>4547</v>
      </c>
      <c r="G190" s="155">
        <v>42947</v>
      </c>
      <c r="H190" s="155">
        <v>42978</v>
      </c>
      <c r="I190" t="s">
        <v>1743</v>
      </c>
      <c r="J190">
        <v>1875987</v>
      </c>
      <c r="K190" s="18" t="s">
        <v>1744</v>
      </c>
      <c r="L190" t="s">
        <v>1018</v>
      </c>
      <c r="M190" t="s">
        <v>1019</v>
      </c>
      <c r="N190" t="s">
        <v>492</v>
      </c>
      <c r="O190" t="s">
        <v>372</v>
      </c>
      <c r="P190" t="s">
        <v>1276</v>
      </c>
      <c r="Q190" t="s">
        <v>1330</v>
      </c>
      <c r="R190" t="s">
        <v>1742</v>
      </c>
      <c r="S190" t="s">
        <v>1742</v>
      </c>
      <c r="T190" t="s">
        <v>1742</v>
      </c>
      <c r="U190" t="s">
        <v>1742</v>
      </c>
      <c r="V190" t="s">
        <v>1303</v>
      </c>
      <c r="W190" t="s">
        <v>493</v>
      </c>
      <c r="X190" t="s">
        <v>1282</v>
      </c>
      <c r="Y190" s="154">
        <v>43084</v>
      </c>
      <c r="Z190" s="154">
        <v>43084</v>
      </c>
      <c r="AA190" t="s">
        <v>1432</v>
      </c>
      <c r="AB190" t="s">
        <v>1433</v>
      </c>
      <c r="AC190">
        <v>1.8631413999999999E-3</v>
      </c>
      <c r="AD190" s="16">
        <v>2.909834E-4</v>
      </c>
      <c r="AE190" s="16">
        <v>5.4529999999999999E-7</v>
      </c>
      <c r="AF190" s="16">
        <v>0</v>
      </c>
      <c r="AG190" s="16">
        <v>0</v>
      </c>
      <c r="AH190" s="16">
        <v>0</v>
      </c>
      <c r="AI190" s="16">
        <v>6.1839999999999998E-7</v>
      </c>
      <c r="AJ190" s="16">
        <v>2.6969999999999999E-7</v>
      </c>
      <c r="AK190" s="16">
        <v>3.4869999999999999E-7</v>
      </c>
      <c r="AL190" s="16">
        <v>-5.7800000000000001E-8</v>
      </c>
      <c r="AM190" s="16">
        <v>7.7799999999999995E-8</v>
      </c>
      <c r="AN190" s="16">
        <v>1.2380000000000001E-7</v>
      </c>
      <c r="AO190" s="16">
        <v>-1.3899999999999999E-7</v>
      </c>
      <c r="AP190" s="16">
        <v>0</v>
      </c>
      <c r="AQ190" s="16">
        <v>0</v>
      </c>
      <c r="AR190" s="16">
        <v>0</v>
      </c>
      <c r="AS190" s="16">
        <v>0</v>
      </c>
      <c r="AT190" s="16">
        <v>0</v>
      </c>
      <c r="AU190" s="16">
        <v>0</v>
      </c>
      <c r="AV190" s="16">
        <v>0</v>
      </c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0</v>
      </c>
      <c r="BD190" s="16">
        <v>0</v>
      </c>
      <c r="BE190" s="16">
        <v>0</v>
      </c>
      <c r="BF190" s="16">
        <v>0</v>
      </c>
      <c r="BG190" s="16">
        <v>0</v>
      </c>
      <c r="BH190" s="16">
        <v>0</v>
      </c>
      <c r="BI190" s="16">
        <v>0</v>
      </c>
      <c r="BJ190" s="16">
        <v>3.7031000000000002E-6</v>
      </c>
      <c r="BK190" s="16"/>
      <c r="BL190" s="16">
        <v>1875987</v>
      </c>
      <c r="BM190" s="61" t="s">
        <v>1285</v>
      </c>
    </row>
    <row r="191" spans="5:65" x14ac:dyDescent="0.25">
      <c r="E191" s="7">
        <f>COUNTIFS(tblBOneExport[ISIN],tblBOneExport[[#This Row],[ISIN]],tblBOneExport[LEVEL1],"Bonds")</f>
        <v>1</v>
      </c>
      <c r="F191">
        <v>4547</v>
      </c>
      <c r="G191" s="155">
        <v>42947</v>
      </c>
      <c r="H191" s="155">
        <v>42978</v>
      </c>
      <c r="I191" t="s">
        <v>1745</v>
      </c>
      <c r="J191">
        <v>1882042</v>
      </c>
      <c r="K191" s="18" t="s">
        <v>1746</v>
      </c>
      <c r="L191" t="s">
        <v>1195</v>
      </c>
      <c r="M191" t="s">
        <v>1189</v>
      </c>
      <c r="N191" t="s">
        <v>492</v>
      </c>
      <c r="O191" t="s">
        <v>372</v>
      </c>
      <c r="P191" t="s">
        <v>1276</v>
      </c>
      <c r="Q191" t="s">
        <v>1330</v>
      </c>
      <c r="R191" t="s">
        <v>1331</v>
      </c>
      <c r="S191" t="s">
        <v>1331</v>
      </c>
      <c r="T191" t="s">
        <v>1331</v>
      </c>
      <c r="U191" t="s">
        <v>1331</v>
      </c>
      <c r="V191" t="s">
        <v>1303</v>
      </c>
      <c r="W191" t="s">
        <v>493</v>
      </c>
      <c r="X191" t="s">
        <v>1282</v>
      </c>
      <c r="Y191" s="154">
        <v>53097</v>
      </c>
      <c r="Z191" s="154">
        <v>53097</v>
      </c>
      <c r="AA191" t="s">
        <v>1359</v>
      </c>
      <c r="AB191" t="s">
        <v>1360</v>
      </c>
      <c r="AC191">
        <v>2.0217891E-3</v>
      </c>
      <c r="AD191" s="16">
        <v>3.26464583E-2</v>
      </c>
      <c r="AE191" s="16">
        <v>6.5276899999999998E-5</v>
      </c>
      <c r="AF191" s="16">
        <v>0</v>
      </c>
      <c r="AG191" s="16">
        <v>0</v>
      </c>
      <c r="AH191" s="16">
        <v>0</v>
      </c>
      <c r="AI191" s="16">
        <v>4.0698000000000004E-6</v>
      </c>
      <c r="AJ191" s="16">
        <v>2.9911E-6</v>
      </c>
      <c r="AK191" s="16">
        <v>1.0786999999999999E-6</v>
      </c>
      <c r="AL191" s="16">
        <v>6.1477700000000003E-5</v>
      </c>
      <c r="AM191" s="16">
        <v>-4.3200000000000003E-8</v>
      </c>
      <c r="AN191" s="16">
        <v>6.7169999999999996E-7</v>
      </c>
      <c r="AO191" s="16">
        <v>-9.4229999999999996E-7</v>
      </c>
      <c r="AP191" s="16">
        <v>0</v>
      </c>
      <c r="AQ191" s="16">
        <v>0</v>
      </c>
      <c r="AR191" s="16">
        <v>0</v>
      </c>
      <c r="AS191" s="16">
        <v>0</v>
      </c>
      <c r="AT191" s="16">
        <v>0</v>
      </c>
      <c r="AU191" s="16">
        <v>0</v>
      </c>
      <c r="AV191" s="16">
        <v>0</v>
      </c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0</v>
      </c>
      <c r="BD191" s="16">
        <v>0</v>
      </c>
      <c r="BE191" s="16">
        <v>0</v>
      </c>
      <c r="BF191" s="16">
        <v>0</v>
      </c>
      <c r="BG191" s="16">
        <v>0</v>
      </c>
      <c r="BH191" s="16">
        <v>0</v>
      </c>
      <c r="BI191" s="16">
        <v>0</v>
      </c>
      <c r="BJ191" s="16">
        <v>1.2712E-5</v>
      </c>
      <c r="BK191" s="16"/>
      <c r="BL191" s="16">
        <v>1882042</v>
      </c>
      <c r="BM191" s="61" t="s">
        <v>1285</v>
      </c>
    </row>
    <row r="192" spans="5:65" x14ac:dyDescent="0.25">
      <c r="E192" s="7">
        <f>COUNTIFS(tblBOneExport[ISIN],tblBOneExport[[#This Row],[ISIN]],tblBOneExport[LEVEL1],"Bonds")</f>
        <v>1</v>
      </c>
      <c r="F192">
        <v>4547</v>
      </c>
      <c r="G192" s="155">
        <v>42947</v>
      </c>
      <c r="H192" s="155">
        <v>42978</v>
      </c>
      <c r="I192" t="s">
        <v>1747</v>
      </c>
      <c r="J192">
        <v>1904412</v>
      </c>
      <c r="K192" s="18" t="s">
        <v>1748</v>
      </c>
      <c r="L192" t="s">
        <v>1085</v>
      </c>
      <c r="M192" t="s">
        <v>1083</v>
      </c>
      <c r="N192" t="s">
        <v>492</v>
      </c>
      <c r="O192" t="s">
        <v>372</v>
      </c>
      <c r="P192" t="s">
        <v>1276</v>
      </c>
      <c r="Q192" t="s">
        <v>1277</v>
      </c>
      <c r="R192" t="s">
        <v>1278</v>
      </c>
      <c r="S192" t="s">
        <v>1291</v>
      </c>
      <c r="T192" t="s">
        <v>1413</v>
      </c>
      <c r="U192" t="s">
        <v>1413</v>
      </c>
      <c r="V192" t="s">
        <v>1315</v>
      </c>
      <c r="W192" t="s">
        <v>493</v>
      </c>
      <c r="X192" t="s">
        <v>1282</v>
      </c>
      <c r="Y192" s="154">
        <v>46191</v>
      </c>
      <c r="Z192" s="154">
        <v>46191</v>
      </c>
      <c r="AA192" t="s">
        <v>1359</v>
      </c>
      <c r="AB192" t="s">
        <v>1360</v>
      </c>
      <c r="AC192">
        <v>1.0290586E-3</v>
      </c>
      <c r="AD192" s="16">
        <v>1.7737064899999998E-2</v>
      </c>
      <c r="AE192" s="16">
        <v>1.8229299999999998E-5</v>
      </c>
      <c r="AF192" s="16">
        <v>0</v>
      </c>
      <c r="AG192" s="16">
        <v>0</v>
      </c>
      <c r="AH192" s="16">
        <v>0</v>
      </c>
      <c r="AI192" s="16">
        <v>1.8005E-6</v>
      </c>
      <c r="AJ192" s="16">
        <v>8.4629999999999995E-7</v>
      </c>
      <c r="AK192" s="16">
        <v>9.541999999999999E-7</v>
      </c>
      <c r="AL192" s="16">
        <v>1.5670599999999999E-5</v>
      </c>
      <c r="AM192" s="16">
        <v>9.0689999999999995E-7</v>
      </c>
      <c r="AN192" s="16">
        <v>9.9939999999999991E-7</v>
      </c>
      <c r="AO192" s="16">
        <v>-2.4110000000000001E-7</v>
      </c>
      <c r="AP192" s="16">
        <v>0</v>
      </c>
      <c r="AQ192" s="16">
        <v>0</v>
      </c>
      <c r="AR192" s="16">
        <v>0</v>
      </c>
      <c r="AS192" s="16">
        <v>0</v>
      </c>
      <c r="AT192" s="16">
        <v>0</v>
      </c>
      <c r="AU192" s="16">
        <v>0</v>
      </c>
      <c r="AV192" s="16">
        <v>0</v>
      </c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0</v>
      </c>
      <c r="BD192" s="16">
        <v>0</v>
      </c>
      <c r="BE192" s="16">
        <v>0</v>
      </c>
      <c r="BF192" s="16">
        <v>0</v>
      </c>
      <c r="BG192" s="16">
        <v>0</v>
      </c>
      <c r="BH192" s="16">
        <v>0</v>
      </c>
      <c r="BI192" s="16">
        <v>0</v>
      </c>
      <c r="BJ192" s="16">
        <v>1.1324299999999999E-5</v>
      </c>
      <c r="BK192" s="16"/>
      <c r="BL192" s="16">
        <v>1904412</v>
      </c>
      <c r="BM192" s="61" t="s">
        <v>1285</v>
      </c>
    </row>
    <row r="193" spans="5:65" x14ac:dyDescent="0.25">
      <c r="E193" s="7">
        <f>COUNTIFS(tblBOneExport[ISIN],tblBOneExport[[#This Row],[ISIN]],tblBOneExport[LEVEL1],"Bonds")</f>
        <v>1</v>
      </c>
      <c r="F193">
        <v>4547</v>
      </c>
      <c r="G193" s="155">
        <v>42947</v>
      </c>
      <c r="H193" s="155">
        <v>42978</v>
      </c>
      <c r="I193" t="s">
        <v>1749</v>
      </c>
      <c r="J193">
        <v>1911394</v>
      </c>
      <c r="K193" s="18" t="s">
        <v>1750</v>
      </c>
      <c r="L193" t="s">
        <v>1218</v>
      </c>
      <c r="M193" t="s">
        <v>1219</v>
      </c>
      <c r="N193" t="s">
        <v>492</v>
      </c>
      <c r="O193" t="s">
        <v>372</v>
      </c>
      <c r="P193" t="s">
        <v>1276</v>
      </c>
      <c r="Q193" t="s">
        <v>1277</v>
      </c>
      <c r="R193" t="s">
        <v>1278</v>
      </c>
      <c r="S193" t="s">
        <v>1717</v>
      </c>
      <c r="T193" t="s">
        <v>1717</v>
      </c>
      <c r="U193" t="s">
        <v>1717</v>
      </c>
      <c r="V193" t="s">
        <v>1303</v>
      </c>
      <c r="W193" t="s">
        <v>493</v>
      </c>
      <c r="X193" t="s">
        <v>1282</v>
      </c>
      <c r="Y193" s="154">
        <v>56069</v>
      </c>
      <c r="Z193" s="154">
        <v>56069</v>
      </c>
      <c r="AA193" t="s">
        <v>1359</v>
      </c>
      <c r="AB193" t="s">
        <v>1360</v>
      </c>
      <c r="AC193">
        <v>1.0174850900000001E-2</v>
      </c>
      <c r="AD193" s="16">
        <v>4.0194531700000001E-2</v>
      </c>
      <c r="AE193" s="16">
        <v>4.027961E-4</v>
      </c>
      <c r="AF193" s="16">
        <v>0</v>
      </c>
      <c r="AG193" s="16">
        <v>0</v>
      </c>
      <c r="AH193" s="16">
        <v>0</v>
      </c>
      <c r="AI193" s="16">
        <v>1.9823E-5</v>
      </c>
      <c r="AJ193" s="16">
        <v>1.43625E-5</v>
      </c>
      <c r="AK193" s="16">
        <v>5.4604999999999996E-6</v>
      </c>
      <c r="AL193" s="16">
        <v>3.2240490000000002E-4</v>
      </c>
      <c r="AM193" s="16">
        <v>-2.4770000000000002E-6</v>
      </c>
      <c r="AN193" s="16">
        <v>5.26721E-5</v>
      </c>
      <c r="AO193" s="16">
        <v>7.8961000000000005E-6</v>
      </c>
      <c r="AP193" s="16">
        <v>0</v>
      </c>
      <c r="AQ193" s="16">
        <v>0</v>
      </c>
      <c r="AR193" s="16">
        <v>0</v>
      </c>
      <c r="AS193" s="16">
        <v>0</v>
      </c>
      <c r="AT193" s="16">
        <v>0</v>
      </c>
      <c r="AU193" s="16">
        <v>0</v>
      </c>
      <c r="AV193" s="16">
        <v>0</v>
      </c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0</v>
      </c>
      <c r="BD193" s="16">
        <v>0</v>
      </c>
      <c r="BE193" s="16">
        <v>0</v>
      </c>
      <c r="BF193" s="16">
        <v>0</v>
      </c>
      <c r="BG193" s="16">
        <v>0</v>
      </c>
      <c r="BH193" s="16">
        <v>0</v>
      </c>
      <c r="BI193" s="16">
        <v>0</v>
      </c>
      <c r="BJ193" s="16">
        <v>6.3643E-5</v>
      </c>
      <c r="BK193" s="16"/>
      <c r="BL193" s="16">
        <v>1911394</v>
      </c>
      <c r="BM193" s="61" t="s">
        <v>1285</v>
      </c>
    </row>
    <row r="194" spans="5:65" x14ac:dyDescent="0.25">
      <c r="E194" s="7">
        <f>COUNTIFS(tblBOneExport[ISIN],tblBOneExport[[#This Row],[ISIN]],tblBOneExport[LEVEL1],"Bonds")</f>
        <v>1</v>
      </c>
      <c r="F194">
        <v>4547</v>
      </c>
      <c r="G194" s="155">
        <v>42947</v>
      </c>
      <c r="H194" s="155">
        <v>42978</v>
      </c>
      <c r="I194" t="s">
        <v>1751</v>
      </c>
      <c r="J194">
        <v>1920507</v>
      </c>
      <c r="K194" s="18" t="s">
        <v>1752</v>
      </c>
      <c r="L194" t="s">
        <v>656</v>
      </c>
      <c r="M194" t="s">
        <v>657</v>
      </c>
      <c r="N194" t="s">
        <v>492</v>
      </c>
      <c r="O194" t="s">
        <v>372</v>
      </c>
      <c r="P194" t="s">
        <v>1276</v>
      </c>
      <c r="Q194" t="s">
        <v>1277</v>
      </c>
      <c r="R194" t="s">
        <v>1278</v>
      </c>
      <c r="S194" t="s">
        <v>1348</v>
      </c>
      <c r="T194" t="s">
        <v>1349</v>
      </c>
      <c r="U194" t="s">
        <v>1349</v>
      </c>
      <c r="V194" t="s">
        <v>1303</v>
      </c>
      <c r="W194" t="s">
        <v>493</v>
      </c>
      <c r="X194" t="s">
        <v>1282</v>
      </c>
      <c r="Y194" s="154">
        <v>46227</v>
      </c>
      <c r="Z194" s="154">
        <v>46227</v>
      </c>
      <c r="AA194" t="s">
        <v>1432</v>
      </c>
      <c r="AB194" t="s">
        <v>1433</v>
      </c>
      <c r="AC194">
        <v>1.36116724E-2</v>
      </c>
      <c r="AD194" s="16">
        <v>1.5920454000000001E-2</v>
      </c>
      <c r="AE194" s="16">
        <v>2.1662799999999999E-4</v>
      </c>
      <c r="AF194" s="16">
        <v>0</v>
      </c>
      <c r="AG194" s="16">
        <v>0</v>
      </c>
      <c r="AH194" s="16">
        <v>0</v>
      </c>
      <c r="AI194" s="16">
        <v>1.8504299999999998E-5</v>
      </c>
      <c r="AJ194" s="16">
        <v>1.1398400000000001E-5</v>
      </c>
      <c r="AK194" s="16">
        <v>7.1059E-6</v>
      </c>
      <c r="AL194" s="16">
        <v>2.127889E-4</v>
      </c>
      <c r="AM194" s="16">
        <v>1.23242E-5</v>
      </c>
      <c r="AN194" s="16">
        <v>-1.3191699999999999E-5</v>
      </c>
      <c r="AO194" s="16">
        <v>-1.4735E-6</v>
      </c>
      <c r="AP194" s="16">
        <v>0</v>
      </c>
      <c r="AQ194" s="16">
        <v>0</v>
      </c>
      <c r="AR194" s="16">
        <v>0</v>
      </c>
      <c r="AS194" s="16">
        <v>0</v>
      </c>
      <c r="AT194" s="16">
        <v>0</v>
      </c>
      <c r="AU194" s="16">
        <v>0</v>
      </c>
      <c r="AV194" s="16">
        <v>0</v>
      </c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0</v>
      </c>
      <c r="BD194" s="16">
        <v>0</v>
      </c>
      <c r="BE194" s="16">
        <v>0</v>
      </c>
      <c r="BF194" s="16">
        <v>0</v>
      </c>
      <c r="BG194" s="16">
        <v>0</v>
      </c>
      <c r="BH194" s="16">
        <v>0</v>
      </c>
      <c r="BI194" s="16">
        <v>0</v>
      </c>
      <c r="BJ194" s="16">
        <v>8.4102299999999996E-5</v>
      </c>
      <c r="BK194" s="16"/>
      <c r="BL194" s="16">
        <v>1920507</v>
      </c>
      <c r="BM194" s="61" t="s">
        <v>1285</v>
      </c>
    </row>
    <row r="195" spans="5:65" x14ac:dyDescent="0.25">
      <c r="E195" s="7">
        <f>COUNTIFS(tblBOneExport[ISIN],tblBOneExport[[#This Row],[ISIN]],tblBOneExport[LEVEL1],"Bonds")</f>
        <v>1</v>
      </c>
      <c r="F195">
        <v>4547</v>
      </c>
      <c r="G195" s="155">
        <v>42947</v>
      </c>
      <c r="H195" s="155">
        <v>42978</v>
      </c>
      <c r="I195" t="s">
        <v>1753</v>
      </c>
      <c r="J195">
        <v>1934981</v>
      </c>
      <c r="K195" s="18" t="s">
        <v>1754</v>
      </c>
      <c r="L195" t="s">
        <v>1240</v>
      </c>
      <c r="M195" t="s">
        <v>1241</v>
      </c>
      <c r="N195" t="s">
        <v>492</v>
      </c>
      <c r="O195" t="s">
        <v>372</v>
      </c>
      <c r="P195" t="s">
        <v>1276</v>
      </c>
      <c r="Q195" t="s">
        <v>1277</v>
      </c>
      <c r="R195" t="s">
        <v>1278</v>
      </c>
      <c r="S195" t="s">
        <v>1306</v>
      </c>
      <c r="T195" t="s">
        <v>1307</v>
      </c>
      <c r="U195" t="s">
        <v>1307</v>
      </c>
      <c r="V195" t="s">
        <v>1315</v>
      </c>
      <c r="W195" t="s">
        <v>493</v>
      </c>
      <c r="X195" t="s">
        <v>1282</v>
      </c>
      <c r="Y195" s="154">
        <v>42968</v>
      </c>
      <c r="Z195" s="154">
        <v>42968</v>
      </c>
      <c r="AA195" t="s">
        <v>1294</v>
      </c>
      <c r="AB195" t="s">
        <v>1295</v>
      </c>
      <c r="AC195">
        <v>1.5235184999999999E-3</v>
      </c>
      <c r="AD195" s="16">
        <v>5.0105889999999995E-4</v>
      </c>
      <c r="AE195" s="16">
        <v>1.1778E-6</v>
      </c>
      <c r="AF195" s="16">
        <v>0</v>
      </c>
      <c r="AG195" s="16">
        <v>0</v>
      </c>
      <c r="AH195" s="16">
        <v>0</v>
      </c>
      <c r="AI195" s="16">
        <v>1.1882999999999999E-6</v>
      </c>
      <c r="AJ195" s="16">
        <v>2.8850000000000002E-7</v>
      </c>
      <c r="AK195" s="16">
        <v>8.9980000000000005E-7</v>
      </c>
      <c r="AL195" s="16">
        <v>1.6000000000000001E-9</v>
      </c>
      <c r="AM195" s="16">
        <v>0</v>
      </c>
      <c r="AN195" s="16">
        <v>-3.5499999999999999E-7</v>
      </c>
      <c r="AO195" s="16">
        <v>5.6999999999999998E-9</v>
      </c>
      <c r="AP195" s="16">
        <v>0</v>
      </c>
      <c r="AQ195" s="16">
        <v>0</v>
      </c>
      <c r="AR195" s="16">
        <v>0</v>
      </c>
      <c r="AS195" s="16">
        <v>0</v>
      </c>
      <c r="AT195" s="16">
        <v>0</v>
      </c>
      <c r="AU195" s="16">
        <v>0</v>
      </c>
      <c r="AV195" s="16">
        <v>3.3710000000000002E-7</v>
      </c>
      <c r="AW195" s="16">
        <v>3.3710000000000002E-7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0</v>
      </c>
      <c r="BD195" s="16">
        <v>0</v>
      </c>
      <c r="BE195" s="16">
        <v>0</v>
      </c>
      <c r="BF195" s="16">
        <v>0</v>
      </c>
      <c r="BG195" s="16">
        <v>0</v>
      </c>
      <c r="BH195" s="16">
        <v>0</v>
      </c>
      <c r="BI195" s="16">
        <v>0</v>
      </c>
      <c r="BJ195" s="16"/>
      <c r="BK195" s="16"/>
      <c r="BL195" s="16">
        <v>1934981</v>
      </c>
      <c r="BM195" s="61" t="s">
        <v>1285</v>
      </c>
    </row>
    <row r="196" spans="5:65" x14ac:dyDescent="0.25">
      <c r="E196" s="7">
        <f>COUNTIFS(tblBOneExport[ISIN],tblBOneExport[[#This Row],[ISIN]],tblBOneExport[LEVEL1],"Bonds")</f>
        <v>1</v>
      </c>
      <c r="F196">
        <v>4547</v>
      </c>
      <c r="G196" s="155">
        <v>42947</v>
      </c>
      <c r="H196" s="155">
        <v>42978</v>
      </c>
      <c r="I196" t="s">
        <v>1755</v>
      </c>
      <c r="J196">
        <v>1947340</v>
      </c>
      <c r="K196" s="18" t="s">
        <v>1756</v>
      </c>
      <c r="L196" t="s">
        <v>1193</v>
      </c>
      <c r="M196" t="s">
        <v>1189</v>
      </c>
      <c r="N196" t="s">
        <v>492</v>
      </c>
      <c r="O196" t="s">
        <v>372</v>
      </c>
      <c r="P196" t="s">
        <v>1276</v>
      </c>
      <c r="Q196" t="s">
        <v>1330</v>
      </c>
      <c r="R196" t="s">
        <v>1331</v>
      </c>
      <c r="S196" t="s">
        <v>1331</v>
      </c>
      <c r="T196" t="s">
        <v>1331</v>
      </c>
      <c r="U196" t="s">
        <v>1331</v>
      </c>
      <c r="V196" t="s">
        <v>1303</v>
      </c>
      <c r="W196" t="s">
        <v>493</v>
      </c>
      <c r="X196" t="s">
        <v>1282</v>
      </c>
      <c r="Y196" s="154">
        <v>48834</v>
      </c>
      <c r="Z196" s="154">
        <v>48834</v>
      </c>
      <c r="AA196" t="s">
        <v>1359</v>
      </c>
      <c r="AB196" t="s">
        <v>1360</v>
      </c>
      <c r="AC196">
        <v>3.7764629999999999E-3</v>
      </c>
      <c r="AD196" s="16">
        <v>2.1890999299999998E-2</v>
      </c>
      <c r="AE196" s="16">
        <v>8.2309000000000001E-5</v>
      </c>
      <c r="AF196" s="16">
        <v>0</v>
      </c>
      <c r="AG196" s="16">
        <v>0</v>
      </c>
      <c r="AH196" s="16">
        <v>0</v>
      </c>
      <c r="AI196" s="16">
        <v>6.5714000000000003E-6</v>
      </c>
      <c r="AJ196" s="16">
        <v>4.8125000000000001E-6</v>
      </c>
      <c r="AK196" s="16">
        <v>1.7589E-6</v>
      </c>
      <c r="AL196" s="16">
        <v>7.1882000000000001E-5</v>
      </c>
      <c r="AM196" s="16">
        <v>1.3838E-6</v>
      </c>
      <c r="AN196" s="16">
        <v>1.3405999999999999E-6</v>
      </c>
      <c r="AO196" s="16">
        <v>2.5150000000000001E-6</v>
      </c>
      <c r="AP196" s="16">
        <v>0</v>
      </c>
      <c r="AQ196" s="16">
        <v>0</v>
      </c>
      <c r="AR196" s="16">
        <v>0</v>
      </c>
      <c r="AS196" s="16">
        <v>0</v>
      </c>
      <c r="AT196" s="16">
        <v>0</v>
      </c>
      <c r="AU196" s="16">
        <v>0</v>
      </c>
      <c r="AV196" s="16">
        <v>0</v>
      </c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0</v>
      </c>
      <c r="BD196" s="16">
        <v>0</v>
      </c>
      <c r="BE196" s="16">
        <v>0</v>
      </c>
      <c r="BF196" s="16">
        <v>0</v>
      </c>
      <c r="BG196" s="16">
        <v>0</v>
      </c>
      <c r="BH196" s="16">
        <v>0</v>
      </c>
      <c r="BI196" s="16">
        <v>0</v>
      </c>
      <c r="BJ196" s="16">
        <v>2.0100599999999999E-5</v>
      </c>
      <c r="BK196" s="16"/>
      <c r="BL196" s="16">
        <v>1947340</v>
      </c>
      <c r="BM196" s="61" t="s">
        <v>1285</v>
      </c>
    </row>
    <row r="197" spans="5:65" x14ac:dyDescent="0.25">
      <c r="E197" s="7">
        <f>COUNTIFS(tblBOneExport[ISIN],tblBOneExport[[#This Row],[ISIN]],tblBOneExport[LEVEL1],"Bonds")</f>
        <v>1</v>
      </c>
      <c r="F197">
        <v>4547</v>
      </c>
      <c r="G197" s="155">
        <v>42947</v>
      </c>
      <c r="H197" s="155">
        <v>42978</v>
      </c>
      <c r="I197" t="s">
        <v>1757</v>
      </c>
      <c r="J197">
        <v>1958472</v>
      </c>
      <c r="K197" s="18" t="s">
        <v>1758</v>
      </c>
      <c r="L197" t="s">
        <v>858</v>
      </c>
      <c r="M197" t="s">
        <v>859</v>
      </c>
      <c r="N197" t="s">
        <v>492</v>
      </c>
      <c r="O197" t="s">
        <v>372</v>
      </c>
      <c r="P197" t="s">
        <v>1276</v>
      </c>
      <c r="Q197" t="s">
        <v>1330</v>
      </c>
      <c r="R197" t="s">
        <v>1352</v>
      </c>
      <c r="S197" t="s">
        <v>1352</v>
      </c>
      <c r="T197" t="s">
        <v>1352</v>
      </c>
      <c r="U197" t="s">
        <v>1352</v>
      </c>
      <c r="V197" t="s">
        <v>1353</v>
      </c>
      <c r="W197" t="s">
        <v>493</v>
      </c>
      <c r="X197" t="s">
        <v>1282</v>
      </c>
      <c r="Y197" s="154">
        <v>43010</v>
      </c>
      <c r="Z197" s="154">
        <v>43010</v>
      </c>
      <c r="AA197" t="s">
        <v>1354</v>
      </c>
      <c r="AB197" t="s">
        <v>1355</v>
      </c>
      <c r="AC197">
        <v>1.7545642E-3</v>
      </c>
      <c r="AD197" s="16">
        <v>2.0912369999999999E-4</v>
      </c>
      <c r="AE197" s="16">
        <v>3.6889999999999997E-7</v>
      </c>
      <c r="AF197" s="16">
        <v>0</v>
      </c>
      <c r="AG197" s="16">
        <v>0</v>
      </c>
      <c r="AH197" s="16">
        <v>0</v>
      </c>
      <c r="AI197" s="16">
        <v>5.947E-7</v>
      </c>
      <c r="AJ197" s="16">
        <v>2.0020000000000001E-7</v>
      </c>
      <c r="AK197" s="16">
        <v>3.9439999999999998E-7</v>
      </c>
      <c r="AL197" s="16">
        <v>-1.5799999999999999E-8</v>
      </c>
      <c r="AM197" s="16">
        <v>3.2299999999999998E-8</v>
      </c>
      <c r="AN197" s="16">
        <v>-1.508E-7</v>
      </c>
      <c r="AO197" s="16">
        <v>-5.9200000000000001E-8</v>
      </c>
      <c r="AP197" s="16">
        <v>0</v>
      </c>
      <c r="AQ197" s="16">
        <v>0</v>
      </c>
      <c r="AR197" s="16">
        <v>0</v>
      </c>
      <c r="AS197" s="16">
        <v>0</v>
      </c>
      <c r="AT197" s="16">
        <v>0</v>
      </c>
      <c r="AU197" s="16">
        <v>0</v>
      </c>
      <c r="AV197" s="16">
        <v>0</v>
      </c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0</v>
      </c>
      <c r="BD197" s="16">
        <v>0</v>
      </c>
      <c r="BE197" s="16">
        <v>0</v>
      </c>
      <c r="BF197" s="16">
        <v>0</v>
      </c>
      <c r="BG197" s="16">
        <v>0</v>
      </c>
      <c r="BH197" s="16">
        <v>0</v>
      </c>
      <c r="BI197" s="16">
        <v>0</v>
      </c>
      <c r="BJ197" s="16">
        <v>5.3765000000000001E-6</v>
      </c>
      <c r="BK197" s="16"/>
      <c r="BL197" s="16">
        <v>1958472</v>
      </c>
      <c r="BM197" s="61" t="s">
        <v>1285</v>
      </c>
    </row>
    <row r="198" spans="5:65" x14ac:dyDescent="0.25">
      <c r="E198" s="7">
        <f>COUNTIFS(tblBOneExport[ISIN],tblBOneExport[[#This Row],[ISIN]],tblBOneExport[LEVEL1],"Bonds")</f>
        <v>1</v>
      </c>
      <c r="F198">
        <v>4547</v>
      </c>
      <c r="G198" s="155">
        <v>42947</v>
      </c>
      <c r="H198" s="155">
        <v>42978</v>
      </c>
      <c r="I198" t="s">
        <v>1759</v>
      </c>
      <c r="J198">
        <v>1961386</v>
      </c>
      <c r="K198" s="18" t="s">
        <v>1760</v>
      </c>
      <c r="L198" t="s">
        <v>995</v>
      </c>
      <c r="M198" t="s">
        <v>993</v>
      </c>
      <c r="N198" t="s">
        <v>492</v>
      </c>
      <c r="O198" t="s">
        <v>372</v>
      </c>
      <c r="P198" t="s">
        <v>1276</v>
      </c>
      <c r="Q198" t="s">
        <v>1277</v>
      </c>
      <c r="R198" t="s">
        <v>1278</v>
      </c>
      <c r="S198" t="s">
        <v>1306</v>
      </c>
      <c r="T198" t="s">
        <v>1422</v>
      </c>
      <c r="U198" t="s">
        <v>1422</v>
      </c>
      <c r="V198" t="s">
        <v>1288</v>
      </c>
      <c r="W198" t="s">
        <v>493</v>
      </c>
      <c r="X198" t="s">
        <v>1282</v>
      </c>
      <c r="Y198" s="154">
        <v>46207</v>
      </c>
      <c r="Z198" s="154">
        <v>46207</v>
      </c>
      <c r="AA198" t="s">
        <v>1359</v>
      </c>
      <c r="AB198" t="s">
        <v>1360</v>
      </c>
      <c r="AC198">
        <v>3.0081781999999999E-3</v>
      </c>
      <c r="AD198" s="16">
        <v>1.85009241E-2</v>
      </c>
      <c r="AE198" s="16">
        <v>5.5555900000000001E-5</v>
      </c>
      <c r="AF198" s="16">
        <v>0</v>
      </c>
      <c r="AG198" s="16">
        <v>0</v>
      </c>
      <c r="AH198" s="16">
        <v>0</v>
      </c>
      <c r="AI198" s="16">
        <v>7.6063000000000003E-6</v>
      </c>
      <c r="AJ198" s="16">
        <v>2.4662000000000002E-6</v>
      </c>
      <c r="AK198" s="16">
        <v>5.1401000000000001E-6</v>
      </c>
      <c r="AL198" s="16">
        <v>4.2768400000000002E-5</v>
      </c>
      <c r="AM198" s="16">
        <v>2.4783000000000001E-6</v>
      </c>
      <c r="AN198" s="16">
        <v>6.6355000000000003E-6</v>
      </c>
      <c r="AO198" s="16">
        <v>-1.4543E-6</v>
      </c>
      <c r="AP198" s="16">
        <v>0</v>
      </c>
      <c r="AQ198" s="16">
        <v>0</v>
      </c>
      <c r="AR198" s="16">
        <v>0</v>
      </c>
      <c r="AS198" s="16">
        <v>0</v>
      </c>
      <c r="AT198" s="16">
        <v>0</v>
      </c>
      <c r="AU198" s="16">
        <v>0</v>
      </c>
      <c r="AV198" s="16">
        <v>0</v>
      </c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0</v>
      </c>
      <c r="BD198" s="16">
        <v>0</v>
      </c>
      <c r="BE198" s="16">
        <v>0</v>
      </c>
      <c r="BF198" s="16">
        <v>0</v>
      </c>
      <c r="BG198" s="16">
        <v>0</v>
      </c>
      <c r="BH198" s="16">
        <v>0</v>
      </c>
      <c r="BI198" s="16">
        <v>0</v>
      </c>
      <c r="BJ198" s="16">
        <v>6.0399999999999998E-5</v>
      </c>
      <c r="BK198" s="16"/>
      <c r="BL198" s="16">
        <v>1961386</v>
      </c>
      <c r="BM198" s="61" t="s">
        <v>1285</v>
      </c>
    </row>
    <row r="199" spans="5:65" x14ac:dyDescent="0.25">
      <c r="E199" s="7">
        <f>COUNTIFS(tblBOneExport[ISIN],tblBOneExport[[#This Row],[ISIN]],tblBOneExport[LEVEL1],"Bonds")</f>
        <v>1</v>
      </c>
      <c r="F199">
        <v>4547</v>
      </c>
      <c r="G199" s="155">
        <v>42947</v>
      </c>
      <c r="H199" s="155">
        <v>42978</v>
      </c>
      <c r="I199" t="s">
        <v>1761</v>
      </c>
      <c r="J199">
        <v>1980268</v>
      </c>
      <c r="K199" s="18" t="s">
        <v>1762</v>
      </c>
      <c r="L199" t="s">
        <v>836</v>
      </c>
      <c r="M199" t="s">
        <v>828</v>
      </c>
      <c r="N199" t="s">
        <v>492</v>
      </c>
      <c r="O199" t="s">
        <v>372</v>
      </c>
      <c r="P199" t="s">
        <v>1276</v>
      </c>
      <c r="Q199" t="s">
        <v>1277</v>
      </c>
      <c r="R199" t="s">
        <v>1278</v>
      </c>
      <c r="S199" t="s">
        <v>1348</v>
      </c>
      <c r="T199" t="s">
        <v>1349</v>
      </c>
      <c r="U199" t="s">
        <v>1349</v>
      </c>
      <c r="V199" t="s">
        <v>1332</v>
      </c>
      <c r="W199" t="s">
        <v>493</v>
      </c>
      <c r="X199" t="s">
        <v>1282</v>
      </c>
      <c r="Y199" s="154">
        <v>53631</v>
      </c>
      <c r="Z199" s="154">
        <v>53631</v>
      </c>
      <c r="AA199" t="s">
        <v>1541</v>
      </c>
      <c r="AB199" t="s">
        <v>1542</v>
      </c>
      <c r="AC199">
        <v>3.6500549000000001E-3</v>
      </c>
      <c r="AD199" s="16">
        <v>2.58397569E-2</v>
      </c>
      <c r="AE199" s="16">
        <v>9.3682499999999996E-5</v>
      </c>
      <c r="AF199" s="16">
        <v>0</v>
      </c>
      <c r="AG199" s="16">
        <v>0</v>
      </c>
      <c r="AH199" s="16">
        <v>0</v>
      </c>
      <c r="AI199" s="16">
        <v>8.9972999999999994E-6</v>
      </c>
      <c r="AJ199" s="16">
        <v>5.3646000000000003E-6</v>
      </c>
      <c r="AK199" s="16">
        <v>3.6326000000000002E-6</v>
      </c>
      <c r="AL199" s="16">
        <v>1.045573E-4</v>
      </c>
      <c r="AM199" s="16">
        <v>-7.2899999999999998E-8</v>
      </c>
      <c r="AN199" s="16">
        <v>-2.2089100000000002E-5</v>
      </c>
      <c r="AO199" s="16">
        <v>2.2170000000000001E-6</v>
      </c>
      <c r="AP199" s="16">
        <v>0</v>
      </c>
      <c r="AQ199" s="16">
        <v>0</v>
      </c>
      <c r="AR199" s="16">
        <v>0</v>
      </c>
      <c r="AS199" s="16">
        <v>0</v>
      </c>
      <c r="AT199" s="16">
        <v>0</v>
      </c>
      <c r="AU199" s="16">
        <v>0</v>
      </c>
      <c r="AV199" s="16">
        <v>0</v>
      </c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0</v>
      </c>
      <c r="BD199" s="16">
        <v>0</v>
      </c>
      <c r="BE199" s="16">
        <v>0</v>
      </c>
      <c r="BF199" s="16">
        <v>0</v>
      </c>
      <c r="BG199" s="16">
        <v>0</v>
      </c>
      <c r="BH199" s="16">
        <v>0</v>
      </c>
      <c r="BI199" s="16">
        <v>0</v>
      </c>
      <c r="BJ199" s="16">
        <v>4.3531100000000001E-5</v>
      </c>
      <c r="BK199" s="16"/>
      <c r="BL199" s="16">
        <v>1980268</v>
      </c>
      <c r="BM199" s="61" t="s">
        <v>1285</v>
      </c>
    </row>
    <row r="200" spans="5:65" x14ac:dyDescent="0.25">
      <c r="E200" s="7">
        <f>COUNTIFS(tblBOneExport[ISIN],tblBOneExport[[#This Row],[ISIN]],tblBOneExport[LEVEL1],"Bonds")</f>
        <v>1</v>
      </c>
      <c r="F200">
        <v>4547</v>
      </c>
      <c r="G200" s="155">
        <v>42947</v>
      </c>
      <c r="H200" s="155">
        <v>42978</v>
      </c>
      <c r="I200" t="s">
        <v>1763</v>
      </c>
      <c r="J200">
        <v>1984382</v>
      </c>
      <c r="K200" s="18" t="s">
        <v>1764</v>
      </c>
      <c r="L200" t="s">
        <v>649</v>
      </c>
      <c r="M200" t="s">
        <v>645</v>
      </c>
      <c r="N200" t="s">
        <v>492</v>
      </c>
      <c r="O200" t="s">
        <v>372</v>
      </c>
      <c r="P200" t="s">
        <v>1276</v>
      </c>
      <c r="Q200" t="s">
        <v>1277</v>
      </c>
      <c r="R200" t="s">
        <v>1278</v>
      </c>
      <c r="S200" t="s">
        <v>1306</v>
      </c>
      <c r="T200" t="s">
        <v>1307</v>
      </c>
      <c r="U200" t="s">
        <v>1307</v>
      </c>
      <c r="V200" t="s">
        <v>1281</v>
      </c>
      <c r="W200" t="s">
        <v>493</v>
      </c>
      <c r="X200" t="s">
        <v>1282</v>
      </c>
      <c r="Y200" s="154">
        <v>43047</v>
      </c>
      <c r="Z200" s="154">
        <v>43047</v>
      </c>
      <c r="AA200" t="s">
        <v>1432</v>
      </c>
      <c r="AB200" t="s">
        <v>1433</v>
      </c>
      <c r="AC200">
        <v>3.5220294E-3</v>
      </c>
      <c r="AD200" s="16">
        <v>7.0536299999999998E-4</v>
      </c>
      <c r="AE200" s="16">
        <v>2.5009999999999999E-6</v>
      </c>
      <c r="AF200" s="16">
        <v>0</v>
      </c>
      <c r="AG200" s="16">
        <v>0</v>
      </c>
      <c r="AH200" s="16">
        <v>0</v>
      </c>
      <c r="AI200" s="16">
        <v>2.5171E-6</v>
      </c>
      <c r="AJ200" s="16">
        <v>4.559E-7</v>
      </c>
      <c r="AK200" s="16">
        <v>2.0613000000000001E-6</v>
      </c>
      <c r="AL200" s="16">
        <v>-2.0209999999999999E-7</v>
      </c>
      <c r="AM200" s="16">
        <v>1.7669999999999999E-7</v>
      </c>
      <c r="AN200" s="16">
        <v>-1.043E-6</v>
      </c>
      <c r="AO200" s="16">
        <v>1.229E-6</v>
      </c>
      <c r="AP200" s="16">
        <v>0</v>
      </c>
      <c r="AQ200" s="16">
        <v>0</v>
      </c>
      <c r="AR200" s="16">
        <v>0</v>
      </c>
      <c r="AS200" s="16">
        <v>0</v>
      </c>
      <c r="AT200" s="16">
        <v>0</v>
      </c>
      <c r="AU200" s="16">
        <v>0</v>
      </c>
      <c r="AV200" s="16">
        <v>0</v>
      </c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0</v>
      </c>
      <c r="BD200" s="16">
        <v>0</v>
      </c>
      <c r="BE200" s="16">
        <v>0</v>
      </c>
      <c r="BF200" s="16">
        <v>0</v>
      </c>
      <c r="BG200" s="16">
        <v>0</v>
      </c>
      <c r="BH200" s="16">
        <v>0</v>
      </c>
      <c r="BI200" s="16">
        <v>0</v>
      </c>
      <c r="BJ200" s="16">
        <v>2.8102600000000001E-5</v>
      </c>
      <c r="BK200" s="16"/>
      <c r="BL200" s="16">
        <v>1984382</v>
      </c>
      <c r="BM200" s="61" t="s">
        <v>1285</v>
      </c>
    </row>
    <row r="201" spans="5:65" x14ac:dyDescent="0.25">
      <c r="E201" s="7">
        <f>COUNTIFS(tblBOneExport[ISIN],tblBOneExport[[#This Row],[ISIN]],tblBOneExport[LEVEL1],"Bonds")</f>
        <v>1</v>
      </c>
      <c r="F201">
        <v>4547</v>
      </c>
      <c r="G201" s="155">
        <v>42947</v>
      </c>
      <c r="H201" s="155">
        <v>42978</v>
      </c>
      <c r="I201" t="s">
        <v>1765</v>
      </c>
      <c r="J201">
        <v>1991777</v>
      </c>
      <c r="K201" s="18" t="s">
        <v>1766</v>
      </c>
      <c r="L201" t="s">
        <v>854</v>
      </c>
      <c r="M201" t="s">
        <v>855</v>
      </c>
      <c r="N201" t="s">
        <v>492</v>
      </c>
      <c r="O201" t="s">
        <v>372</v>
      </c>
      <c r="P201" t="s">
        <v>1276</v>
      </c>
      <c r="Q201" t="s">
        <v>1330</v>
      </c>
      <c r="R201" t="s">
        <v>1352</v>
      </c>
      <c r="S201" t="s">
        <v>1352</v>
      </c>
      <c r="T201" t="s">
        <v>1352</v>
      </c>
      <c r="U201" t="s">
        <v>1352</v>
      </c>
      <c r="V201" t="s">
        <v>1353</v>
      </c>
      <c r="W201" t="s">
        <v>493</v>
      </c>
      <c r="X201" t="s">
        <v>1282</v>
      </c>
      <c r="Y201" s="154">
        <v>43084</v>
      </c>
      <c r="Z201" s="154">
        <v>43084</v>
      </c>
      <c r="AA201" t="s">
        <v>1354</v>
      </c>
      <c r="AB201" t="s">
        <v>1355</v>
      </c>
      <c r="AC201">
        <v>1.1689063E-3</v>
      </c>
      <c r="AD201" s="16">
        <v>2.7849629999999998E-4</v>
      </c>
      <c r="AE201" s="16">
        <v>3.277E-7</v>
      </c>
      <c r="AF201" s="16">
        <v>0</v>
      </c>
      <c r="AG201" s="16">
        <v>0</v>
      </c>
      <c r="AH201" s="16">
        <v>0</v>
      </c>
      <c r="AI201" s="16">
        <v>3.6629999999999999E-7</v>
      </c>
      <c r="AJ201" s="16">
        <v>1.6920000000000001E-7</v>
      </c>
      <c r="AK201" s="16">
        <v>1.9710000000000001E-7</v>
      </c>
      <c r="AL201" s="16">
        <v>-3.6300000000000001E-8</v>
      </c>
      <c r="AM201" s="16">
        <v>4.88E-8</v>
      </c>
      <c r="AN201" s="16">
        <v>-9.3000000000000006E-9</v>
      </c>
      <c r="AO201" s="16">
        <v>6.8999999999999997E-9</v>
      </c>
      <c r="AP201" s="16">
        <v>0</v>
      </c>
      <c r="AQ201" s="16">
        <v>0</v>
      </c>
      <c r="AR201" s="16">
        <v>0</v>
      </c>
      <c r="AS201" s="16">
        <v>0</v>
      </c>
      <c r="AT201" s="16">
        <v>0</v>
      </c>
      <c r="AU201" s="16">
        <v>0</v>
      </c>
      <c r="AV201" s="16">
        <v>0</v>
      </c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0</v>
      </c>
      <c r="BD201" s="16">
        <v>0</v>
      </c>
      <c r="BE201" s="16">
        <v>0</v>
      </c>
      <c r="BF201" s="16">
        <v>0</v>
      </c>
      <c r="BG201" s="16">
        <v>0</v>
      </c>
      <c r="BH201" s="16">
        <v>0</v>
      </c>
      <c r="BI201" s="16">
        <v>0</v>
      </c>
      <c r="BJ201" s="16">
        <v>2.1844000000000002E-6</v>
      </c>
      <c r="BK201" s="16"/>
      <c r="BL201" s="16">
        <v>1991777</v>
      </c>
      <c r="BM201" s="61" t="s">
        <v>1285</v>
      </c>
    </row>
    <row r="202" spans="5:65" x14ac:dyDescent="0.25">
      <c r="E202" s="7">
        <f>COUNTIFS(tblBOneExport[ISIN],tblBOneExport[[#This Row],[ISIN]],tblBOneExport[LEVEL1],"Bonds")</f>
        <v>1</v>
      </c>
      <c r="F202">
        <v>4547</v>
      </c>
      <c r="G202" s="155">
        <v>42947</v>
      </c>
      <c r="H202" s="155">
        <v>42978</v>
      </c>
      <c r="I202" t="s">
        <v>1767</v>
      </c>
      <c r="J202">
        <v>1993375</v>
      </c>
      <c r="K202" s="18" t="s">
        <v>1768</v>
      </c>
      <c r="L202" t="s">
        <v>850</v>
      </c>
      <c r="M202" t="s">
        <v>851</v>
      </c>
      <c r="N202" t="s">
        <v>492</v>
      </c>
      <c r="O202" t="s">
        <v>372</v>
      </c>
      <c r="P202" t="s">
        <v>1276</v>
      </c>
      <c r="Q202" t="s">
        <v>1277</v>
      </c>
      <c r="R202" t="s">
        <v>1278</v>
      </c>
      <c r="S202" t="s">
        <v>1769</v>
      </c>
      <c r="T202" t="s">
        <v>1769</v>
      </c>
      <c r="U202" t="s">
        <v>1769</v>
      </c>
      <c r="V202" t="s">
        <v>1332</v>
      </c>
      <c r="W202" t="s">
        <v>493</v>
      </c>
      <c r="X202" t="s">
        <v>1282</v>
      </c>
      <c r="Y202" s="154">
        <v>44186</v>
      </c>
      <c r="Z202" s="154">
        <v>44186</v>
      </c>
      <c r="AA202" t="s">
        <v>1308</v>
      </c>
      <c r="AB202" t="s">
        <v>1309</v>
      </c>
      <c r="AC202">
        <v>2.5454290000000001E-3</v>
      </c>
      <c r="AD202" s="16">
        <v>4.0626311999999998E-3</v>
      </c>
      <c r="AE202" s="16">
        <v>1.041E-5</v>
      </c>
      <c r="AF202" s="16">
        <v>0</v>
      </c>
      <c r="AG202" s="16">
        <v>0</v>
      </c>
      <c r="AH202" s="16">
        <v>0</v>
      </c>
      <c r="AI202" s="16">
        <v>1.8964E-6</v>
      </c>
      <c r="AJ202" s="16">
        <v>5.7960000000000003E-7</v>
      </c>
      <c r="AK202" s="16">
        <v>1.3169E-6</v>
      </c>
      <c r="AL202" s="16">
        <v>1.0023E-5</v>
      </c>
      <c r="AM202" s="16">
        <v>4.2450000000000002E-7</v>
      </c>
      <c r="AN202" s="16">
        <v>-1.1253000000000001E-6</v>
      </c>
      <c r="AO202" s="16">
        <v>-3.841E-7</v>
      </c>
      <c r="AP202" s="16">
        <v>0</v>
      </c>
      <c r="AQ202" s="16">
        <v>0</v>
      </c>
      <c r="AR202" s="16">
        <v>0</v>
      </c>
      <c r="AS202" s="16">
        <v>0</v>
      </c>
      <c r="AT202" s="16">
        <v>0</v>
      </c>
      <c r="AU202" s="16">
        <v>0</v>
      </c>
      <c r="AV202" s="16">
        <v>0</v>
      </c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0</v>
      </c>
      <c r="BD202" s="16">
        <v>0</v>
      </c>
      <c r="BE202" s="16">
        <v>0</v>
      </c>
      <c r="BF202" s="16">
        <v>0</v>
      </c>
      <c r="BG202" s="16">
        <v>0</v>
      </c>
      <c r="BH202" s="16">
        <v>0</v>
      </c>
      <c r="BI202" s="16">
        <v>0</v>
      </c>
      <c r="BJ202" s="16">
        <v>1.5497799999999999E-5</v>
      </c>
      <c r="BK202" s="16"/>
      <c r="BL202" s="16">
        <v>1993375</v>
      </c>
      <c r="BM202" s="61" t="s">
        <v>1285</v>
      </c>
    </row>
    <row r="203" spans="5:65" x14ac:dyDescent="0.25">
      <c r="E203" s="7">
        <f>COUNTIFS(tblBOneExport[ISIN],tblBOneExport[[#This Row],[ISIN]],tblBOneExport[LEVEL1],"Bonds")</f>
        <v>1</v>
      </c>
      <c r="F203">
        <v>4547</v>
      </c>
      <c r="G203" s="155">
        <v>42947</v>
      </c>
      <c r="H203" s="155">
        <v>42978</v>
      </c>
      <c r="I203" t="s">
        <v>1770</v>
      </c>
      <c r="J203">
        <v>2024854</v>
      </c>
      <c r="K203" s="18" t="s">
        <v>1771</v>
      </c>
      <c r="L203" t="s">
        <v>644</v>
      </c>
      <c r="M203" t="s">
        <v>645</v>
      </c>
      <c r="N203" t="s">
        <v>492</v>
      </c>
      <c r="O203" t="s">
        <v>372</v>
      </c>
      <c r="P203" t="s">
        <v>1276</v>
      </c>
      <c r="Q203" t="s">
        <v>1277</v>
      </c>
      <c r="R203" t="s">
        <v>1278</v>
      </c>
      <c r="S203" t="s">
        <v>1306</v>
      </c>
      <c r="T203" t="s">
        <v>1307</v>
      </c>
      <c r="U203" t="s">
        <v>1307</v>
      </c>
      <c r="V203" t="s">
        <v>1281</v>
      </c>
      <c r="W203" t="s">
        <v>493</v>
      </c>
      <c r="X203" t="s">
        <v>1427</v>
      </c>
      <c r="Y203" s="154">
        <v>43297</v>
      </c>
      <c r="Z203" s="154">
        <v>43297</v>
      </c>
      <c r="AA203" t="s">
        <v>1432</v>
      </c>
      <c r="AB203" t="s">
        <v>1433</v>
      </c>
      <c r="AC203">
        <v>1.7611902E-3</v>
      </c>
      <c r="AD203" s="16">
        <v>2.3623261000000001E-3</v>
      </c>
      <c r="AE203" s="16">
        <v>4.1895999999999997E-6</v>
      </c>
      <c r="AF203" s="16">
        <v>0</v>
      </c>
      <c r="AG203" s="16">
        <v>0</v>
      </c>
      <c r="AH203" s="16">
        <v>0</v>
      </c>
      <c r="AI203" s="16">
        <v>1.3369000000000001E-6</v>
      </c>
      <c r="AJ203" s="16">
        <v>3.185E-7</v>
      </c>
      <c r="AK203" s="16">
        <v>1.0184000000000001E-6</v>
      </c>
      <c r="AL203" s="16">
        <v>2.1169E-6</v>
      </c>
      <c r="AM203" s="16">
        <v>7.4400000000000004E-8</v>
      </c>
      <c r="AN203" s="16">
        <v>5.0259999999999996E-7</v>
      </c>
      <c r="AO203" s="16">
        <v>2.332E-7</v>
      </c>
      <c r="AP203" s="16">
        <v>0</v>
      </c>
      <c r="AQ203" s="16">
        <v>0</v>
      </c>
      <c r="AR203" s="16">
        <v>0</v>
      </c>
      <c r="AS203" s="16">
        <v>0</v>
      </c>
      <c r="AT203" s="16">
        <v>0</v>
      </c>
      <c r="AU203" s="16">
        <v>0</v>
      </c>
      <c r="AV203" s="16">
        <v>0</v>
      </c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0</v>
      </c>
      <c r="BD203" s="16">
        <v>0</v>
      </c>
      <c r="BE203" s="16">
        <v>0</v>
      </c>
      <c r="BF203" s="16">
        <v>0</v>
      </c>
      <c r="BG203" s="16">
        <v>0</v>
      </c>
      <c r="BH203" s="16">
        <v>0</v>
      </c>
      <c r="BI203" s="16">
        <v>0</v>
      </c>
      <c r="BJ203" s="16">
        <v>1.1577500000000001E-5</v>
      </c>
      <c r="BK203" s="16"/>
      <c r="BL203" s="16">
        <v>2024854</v>
      </c>
      <c r="BM203" s="61" t="s">
        <v>1285</v>
      </c>
    </row>
    <row r="204" spans="5:65" x14ac:dyDescent="0.25">
      <c r="E204" s="7">
        <f>COUNTIFS(tblBOneExport[ISIN],tblBOneExport[[#This Row],[ISIN]],tblBOneExport[LEVEL1],"Bonds")</f>
        <v>1</v>
      </c>
      <c r="F204">
        <v>4547</v>
      </c>
      <c r="G204" s="155">
        <v>42947</v>
      </c>
      <c r="H204" s="155">
        <v>42978</v>
      </c>
      <c r="I204" t="s">
        <v>1772</v>
      </c>
      <c r="J204">
        <v>2025743</v>
      </c>
      <c r="K204" s="18" t="s">
        <v>1773</v>
      </c>
      <c r="L204" t="s">
        <v>1243</v>
      </c>
      <c r="M204" t="s">
        <v>1241</v>
      </c>
      <c r="N204" t="s">
        <v>492</v>
      </c>
      <c r="O204" t="s">
        <v>372</v>
      </c>
      <c r="P204" t="s">
        <v>1276</v>
      </c>
      <c r="Q204" t="s">
        <v>1277</v>
      </c>
      <c r="R204" t="s">
        <v>1278</v>
      </c>
      <c r="S204" t="s">
        <v>1306</v>
      </c>
      <c r="T204" t="s">
        <v>1307</v>
      </c>
      <c r="U204" t="s">
        <v>1307</v>
      </c>
      <c r="V204" t="s">
        <v>1332</v>
      </c>
      <c r="W204" t="s">
        <v>493</v>
      </c>
      <c r="X204" t="s">
        <v>1282</v>
      </c>
      <c r="Y204" s="154">
        <v>43668</v>
      </c>
      <c r="Z204" s="154">
        <v>43668</v>
      </c>
      <c r="AA204" t="s">
        <v>1294</v>
      </c>
      <c r="AB204" t="s">
        <v>1295</v>
      </c>
      <c r="AC204">
        <v>4.4020276000000004E-3</v>
      </c>
      <c r="AD204" s="16">
        <v>3.4654089E-3</v>
      </c>
      <c r="AE204" s="16">
        <v>1.53482E-5</v>
      </c>
      <c r="AF204" s="16">
        <v>0</v>
      </c>
      <c r="AG204" s="16">
        <v>0</v>
      </c>
      <c r="AH204" s="16">
        <v>0</v>
      </c>
      <c r="AI204" s="16">
        <v>4.6128000000000001E-6</v>
      </c>
      <c r="AJ204" s="16">
        <v>7.9080000000000001E-7</v>
      </c>
      <c r="AK204" s="16">
        <v>3.8218999999999998E-6</v>
      </c>
      <c r="AL204" s="16">
        <v>8.1503000000000006E-6</v>
      </c>
      <c r="AM204" s="16">
        <v>-2.1600000000000002E-8</v>
      </c>
      <c r="AN204" s="16">
        <v>2.4144999999999999E-6</v>
      </c>
      <c r="AO204" s="16">
        <v>1.7070000000000001E-7</v>
      </c>
      <c r="AP204" s="16">
        <v>0</v>
      </c>
      <c r="AQ204" s="16">
        <v>0</v>
      </c>
      <c r="AR204" s="16">
        <v>0</v>
      </c>
      <c r="AS204" s="16">
        <v>0</v>
      </c>
      <c r="AT204" s="16">
        <v>0</v>
      </c>
      <c r="AU204" s="16">
        <v>0</v>
      </c>
      <c r="AV204" s="16">
        <v>0</v>
      </c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0</v>
      </c>
      <c r="BD204" s="16">
        <v>0</v>
      </c>
      <c r="BE204" s="16">
        <v>0</v>
      </c>
      <c r="BF204" s="16">
        <v>0</v>
      </c>
      <c r="BG204" s="16">
        <v>0</v>
      </c>
      <c r="BH204" s="16">
        <v>0</v>
      </c>
      <c r="BI204" s="16">
        <v>0</v>
      </c>
      <c r="BJ204" s="16">
        <v>4.3656199999999997E-5</v>
      </c>
      <c r="BK204" s="16"/>
      <c r="BL204" s="16">
        <v>2025743</v>
      </c>
      <c r="BM204" s="61" t="s">
        <v>1285</v>
      </c>
    </row>
    <row r="205" spans="5:65" x14ac:dyDescent="0.25">
      <c r="E205" s="7">
        <f>COUNTIFS(tblBOneExport[ISIN],tblBOneExport[[#This Row],[ISIN]],tblBOneExport[LEVEL1],"Bonds")</f>
        <v>1</v>
      </c>
      <c r="F205">
        <v>4547</v>
      </c>
      <c r="G205" s="155">
        <v>42947</v>
      </c>
      <c r="H205" s="155">
        <v>42978</v>
      </c>
      <c r="I205" t="s">
        <v>1774</v>
      </c>
      <c r="J205">
        <v>2028569</v>
      </c>
      <c r="K205" s="18" t="s">
        <v>1775</v>
      </c>
      <c r="L205" t="s">
        <v>752</v>
      </c>
      <c r="M205" t="s">
        <v>753</v>
      </c>
      <c r="N205" t="s">
        <v>492</v>
      </c>
      <c r="O205" t="s">
        <v>372</v>
      </c>
      <c r="P205" t="s">
        <v>1276</v>
      </c>
      <c r="Q205" t="s">
        <v>1330</v>
      </c>
      <c r="R205" t="s">
        <v>1331</v>
      </c>
      <c r="S205" t="s">
        <v>1331</v>
      </c>
      <c r="T205" t="s">
        <v>1331</v>
      </c>
      <c r="U205" t="s">
        <v>1331</v>
      </c>
      <c r="V205" t="s">
        <v>1353</v>
      </c>
      <c r="W205" t="s">
        <v>493</v>
      </c>
      <c r="X205" t="s">
        <v>1282</v>
      </c>
      <c r="Y205" s="154">
        <v>43451</v>
      </c>
      <c r="Z205" s="154">
        <v>43451</v>
      </c>
      <c r="AA205" t="s">
        <v>1776</v>
      </c>
      <c r="AB205" t="s">
        <v>1777</v>
      </c>
      <c r="AC205">
        <v>2.265474E-3</v>
      </c>
      <c r="AD205" s="16">
        <v>2.0382845000000002E-3</v>
      </c>
      <c r="AE205" s="16">
        <v>4.6554000000000004E-6</v>
      </c>
      <c r="AF205" s="16">
        <v>0</v>
      </c>
      <c r="AG205" s="16">
        <v>0</v>
      </c>
      <c r="AH205" s="16">
        <v>0</v>
      </c>
      <c r="AI205" s="16">
        <v>8.8120000000000003E-7</v>
      </c>
      <c r="AJ205" s="16">
        <v>4.1329999999999998E-7</v>
      </c>
      <c r="AK205" s="16">
        <v>4.679E-7</v>
      </c>
      <c r="AL205" s="16">
        <v>3.9438999999999996E-6</v>
      </c>
      <c r="AM205" s="16">
        <v>-8.0999999999999997E-9</v>
      </c>
      <c r="AN205" s="16">
        <v>-7.9300000000000002E-8</v>
      </c>
      <c r="AO205" s="16">
        <v>-9.0400000000000002E-8</v>
      </c>
      <c r="AP205" s="16">
        <v>0</v>
      </c>
      <c r="AQ205" s="16">
        <v>0</v>
      </c>
      <c r="AR205" s="16">
        <v>0</v>
      </c>
      <c r="AS205" s="16">
        <v>0</v>
      </c>
      <c r="AT205" s="16">
        <v>0</v>
      </c>
      <c r="AU205" s="16">
        <v>0</v>
      </c>
      <c r="AV205" s="16">
        <v>0</v>
      </c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0</v>
      </c>
      <c r="BD205" s="16">
        <v>0</v>
      </c>
      <c r="BE205" s="16">
        <v>0</v>
      </c>
      <c r="BF205" s="16">
        <v>0</v>
      </c>
      <c r="BG205" s="16">
        <v>0</v>
      </c>
      <c r="BH205" s="16">
        <v>0</v>
      </c>
      <c r="BI205" s="16">
        <v>0</v>
      </c>
      <c r="BJ205" s="16">
        <v>5.4148000000000002E-6</v>
      </c>
      <c r="BK205" s="16"/>
      <c r="BL205" s="16">
        <v>2028569</v>
      </c>
      <c r="BM205" s="61" t="s">
        <v>1285</v>
      </c>
    </row>
    <row r="206" spans="5:65" x14ac:dyDescent="0.25">
      <c r="E206" s="7">
        <f>COUNTIFS(tblBOneExport[ISIN],tblBOneExport[[#This Row],[ISIN]],tblBOneExport[LEVEL1],"Bonds")</f>
        <v>1</v>
      </c>
      <c r="F206">
        <v>4547</v>
      </c>
      <c r="G206" s="155">
        <v>42947</v>
      </c>
      <c r="H206" s="155">
        <v>42978</v>
      </c>
      <c r="I206" t="s">
        <v>1778</v>
      </c>
      <c r="J206">
        <v>2034280</v>
      </c>
      <c r="K206" s="18" t="s">
        <v>1779</v>
      </c>
      <c r="L206" t="s">
        <v>640</v>
      </c>
      <c r="M206" t="s">
        <v>641</v>
      </c>
      <c r="N206" t="s">
        <v>492</v>
      </c>
      <c r="O206" t="s">
        <v>372</v>
      </c>
      <c r="P206" t="s">
        <v>1276</v>
      </c>
      <c r="Q206" t="s">
        <v>1330</v>
      </c>
      <c r="R206" t="s">
        <v>1352</v>
      </c>
      <c r="S206" t="s">
        <v>1352</v>
      </c>
      <c r="T206" t="s">
        <v>1352</v>
      </c>
      <c r="U206" t="s">
        <v>1352</v>
      </c>
      <c r="V206" t="s">
        <v>1780</v>
      </c>
      <c r="W206" t="s">
        <v>493</v>
      </c>
      <c r="X206" t="s">
        <v>1282</v>
      </c>
      <c r="Y206" s="154">
        <v>43456</v>
      </c>
      <c r="Z206" s="154">
        <v>43456</v>
      </c>
      <c r="AA206" t="s">
        <v>1354</v>
      </c>
      <c r="AB206" t="s">
        <v>1355</v>
      </c>
      <c r="AC206">
        <v>1.787585E-3</v>
      </c>
      <c r="AD206" s="16">
        <v>2.0917672000000001E-3</v>
      </c>
      <c r="AE206" s="16">
        <v>3.7660999999999998E-6</v>
      </c>
      <c r="AF206" s="16">
        <v>0</v>
      </c>
      <c r="AG206" s="16">
        <v>0</v>
      </c>
      <c r="AH206" s="16">
        <v>0</v>
      </c>
      <c r="AI206" s="16">
        <v>7.3890000000000003E-7</v>
      </c>
      <c r="AJ206" s="16">
        <v>3.2599999999999998E-7</v>
      </c>
      <c r="AK206" s="16">
        <v>4.129E-7</v>
      </c>
      <c r="AL206" s="16">
        <v>3.1258000000000002E-6</v>
      </c>
      <c r="AM206" s="16">
        <v>-6.4000000000000002E-9</v>
      </c>
      <c r="AN206" s="16">
        <v>-5.4399999999999997E-8</v>
      </c>
      <c r="AO206" s="16">
        <v>-4.4099999999999998E-8</v>
      </c>
      <c r="AP206" s="16">
        <v>0</v>
      </c>
      <c r="AQ206" s="16">
        <v>0</v>
      </c>
      <c r="AR206" s="16">
        <v>0</v>
      </c>
      <c r="AS206" s="16">
        <v>0</v>
      </c>
      <c r="AT206" s="16">
        <v>0</v>
      </c>
      <c r="AU206" s="16">
        <v>0</v>
      </c>
      <c r="AV206" s="16">
        <v>0</v>
      </c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0</v>
      </c>
      <c r="BD206" s="16">
        <v>0</v>
      </c>
      <c r="BE206" s="16">
        <v>0</v>
      </c>
      <c r="BF206" s="16">
        <v>0</v>
      </c>
      <c r="BG206" s="16">
        <v>0</v>
      </c>
      <c r="BH206" s="16">
        <v>0</v>
      </c>
      <c r="BI206" s="16">
        <v>0</v>
      </c>
      <c r="BJ206" s="16">
        <v>4.7191000000000003E-6</v>
      </c>
      <c r="BK206" s="16"/>
      <c r="BL206" s="16">
        <v>2034280</v>
      </c>
      <c r="BM206" s="61" t="s">
        <v>1285</v>
      </c>
    </row>
    <row r="207" spans="5:65" x14ac:dyDescent="0.25">
      <c r="E207" s="7">
        <f>COUNTIFS(tblBOneExport[ISIN],tblBOneExport[[#This Row],[ISIN]],tblBOneExport[LEVEL1],"Bonds")</f>
        <v>1</v>
      </c>
      <c r="F207">
        <v>4547</v>
      </c>
      <c r="G207" s="155">
        <v>42947</v>
      </c>
      <c r="H207" s="155">
        <v>42978</v>
      </c>
      <c r="I207" t="s">
        <v>1781</v>
      </c>
      <c r="J207">
        <v>2039754</v>
      </c>
      <c r="K207" s="18" t="s">
        <v>1782</v>
      </c>
      <c r="L207" t="s">
        <v>1232</v>
      </c>
      <c r="M207" t="s">
        <v>1233</v>
      </c>
      <c r="N207" t="s">
        <v>492</v>
      </c>
      <c r="O207" t="s">
        <v>372</v>
      </c>
      <c r="P207" t="s">
        <v>1276</v>
      </c>
      <c r="Q207" t="s">
        <v>1277</v>
      </c>
      <c r="R207" t="s">
        <v>1278</v>
      </c>
      <c r="S207" t="s">
        <v>1312</v>
      </c>
      <c r="T207" t="s">
        <v>1313</v>
      </c>
      <c r="U207" t="s">
        <v>1314</v>
      </c>
      <c r="V207" t="s">
        <v>1288</v>
      </c>
      <c r="W207" t="s">
        <v>493</v>
      </c>
      <c r="X207" t="s">
        <v>1282</v>
      </c>
      <c r="Y207" s="154">
        <v>48992</v>
      </c>
      <c r="Z207" s="154">
        <v>48992</v>
      </c>
      <c r="AA207" t="s">
        <v>1308</v>
      </c>
      <c r="AB207" t="s">
        <v>1309</v>
      </c>
      <c r="AC207">
        <v>6.7064055999999997E-3</v>
      </c>
      <c r="AD207" s="16">
        <v>1.7858671900000001E-2</v>
      </c>
      <c r="AE207" s="16">
        <v>1.1957830000000001E-4</v>
      </c>
      <c r="AF207" s="16">
        <v>0</v>
      </c>
      <c r="AG207" s="16">
        <v>0</v>
      </c>
      <c r="AH207" s="16">
        <v>0</v>
      </c>
      <c r="AI207" s="16">
        <v>1.8657200000000002E-5</v>
      </c>
      <c r="AJ207" s="16">
        <v>8.5306999999999995E-6</v>
      </c>
      <c r="AK207" s="16">
        <v>1.01265E-5</v>
      </c>
      <c r="AL207" s="16">
        <v>1.1628449999999999E-4</v>
      </c>
      <c r="AM207" s="16">
        <v>2.368E-6</v>
      </c>
      <c r="AN207" s="16">
        <v>-1.5435100000000001E-5</v>
      </c>
      <c r="AO207" s="16">
        <v>7.17E-8</v>
      </c>
      <c r="AP207" s="16">
        <v>0</v>
      </c>
      <c r="AQ207" s="16">
        <v>0</v>
      </c>
      <c r="AR207" s="16">
        <v>0</v>
      </c>
      <c r="AS207" s="16">
        <v>0</v>
      </c>
      <c r="AT207" s="16">
        <v>0</v>
      </c>
      <c r="AU207" s="16">
        <v>0</v>
      </c>
      <c r="AV207" s="16">
        <v>0</v>
      </c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0</v>
      </c>
      <c r="BD207" s="16">
        <v>0</v>
      </c>
      <c r="BE207" s="16">
        <v>0</v>
      </c>
      <c r="BF207" s="16">
        <v>0</v>
      </c>
      <c r="BG207" s="16">
        <v>0</v>
      </c>
      <c r="BH207" s="16">
        <v>0</v>
      </c>
      <c r="BI207" s="16">
        <v>0</v>
      </c>
      <c r="BJ207" s="16">
        <v>1.194679E-4</v>
      </c>
      <c r="BK207" s="16"/>
      <c r="BL207" s="16">
        <v>2039754</v>
      </c>
      <c r="BM207" s="61" t="s">
        <v>1285</v>
      </c>
    </row>
    <row r="208" spans="5:65" x14ac:dyDescent="0.25">
      <c r="E208" s="7">
        <f>COUNTIFS(tblBOneExport[ISIN],tblBOneExport[[#This Row],[ISIN]],tblBOneExport[LEVEL1],"Bonds")</f>
        <v>1</v>
      </c>
      <c r="F208">
        <v>4547</v>
      </c>
      <c r="G208" s="155">
        <v>42947</v>
      </c>
      <c r="H208" s="155">
        <v>42978</v>
      </c>
      <c r="I208" t="s">
        <v>1783</v>
      </c>
      <c r="J208">
        <v>2038660</v>
      </c>
      <c r="K208" s="18" t="s">
        <v>1784</v>
      </c>
      <c r="L208" t="s">
        <v>749</v>
      </c>
      <c r="M208" t="s">
        <v>747</v>
      </c>
      <c r="N208" t="s">
        <v>492</v>
      </c>
      <c r="O208" t="s">
        <v>372</v>
      </c>
      <c r="P208" t="s">
        <v>1276</v>
      </c>
      <c r="Q208" t="s">
        <v>1277</v>
      </c>
      <c r="R208" t="s">
        <v>1278</v>
      </c>
      <c r="S208" t="s">
        <v>1306</v>
      </c>
      <c r="T208" t="s">
        <v>1349</v>
      </c>
      <c r="U208" t="s">
        <v>1349</v>
      </c>
      <c r="V208" t="s">
        <v>1288</v>
      </c>
      <c r="W208" t="s">
        <v>493</v>
      </c>
      <c r="X208" t="s">
        <v>1282</v>
      </c>
      <c r="Y208" s="154">
        <v>44392</v>
      </c>
      <c r="Z208" s="154">
        <v>44392</v>
      </c>
      <c r="AA208" t="s">
        <v>1359</v>
      </c>
      <c r="AB208" t="s">
        <v>1360</v>
      </c>
      <c r="AC208">
        <v>5.4547177000000002E-3</v>
      </c>
      <c r="AD208" s="16">
        <v>5.3240361000000003E-3</v>
      </c>
      <c r="AE208" s="16">
        <v>2.9212300000000002E-5</v>
      </c>
      <c r="AF208" s="16">
        <v>0</v>
      </c>
      <c r="AG208" s="16">
        <v>0</v>
      </c>
      <c r="AH208" s="16">
        <v>0</v>
      </c>
      <c r="AI208" s="16">
        <v>4.9675999999999997E-6</v>
      </c>
      <c r="AJ208" s="16">
        <v>1.3998999999999999E-6</v>
      </c>
      <c r="AK208" s="16">
        <v>3.5677000000000002E-6</v>
      </c>
      <c r="AL208" s="16">
        <v>2.5570100000000001E-5</v>
      </c>
      <c r="AM208" s="16">
        <v>1.0321E-6</v>
      </c>
      <c r="AN208" s="16">
        <v>-1.1294999999999999E-6</v>
      </c>
      <c r="AO208" s="16">
        <v>-1.9600000000000001E-7</v>
      </c>
      <c r="AP208" s="16">
        <v>0</v>
      </c>
      <c r="AQ208" s="16">
        <v>0</v>
      </c>
      <c r="AR208" s="16">
        <v>0</v>
      </c>
      <c r="AS208" s="16">
        <v>0</v>
      </c>
      <c r="AT208" s="16">
        <v>0</v>
      </c>
      <c r="AU208" s="16">
        <v>0</v>
      </c>
      <c r="AV208" s="16">
        <v>0</v>
      </c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0</v>
      </c>
      <c r="BD208" s="16">
        <v>0</v>
      </c>
      <c r="BE208" s="16">
        <v>0</v>
      </c>
      <c r="BF208" s="16">
        <v>0</v>
      </c>
      <c r="BG208" s="16">
        <v>0</v>
      </c>
      <c r="BH208" s="16">
        <v>0</v>
      </c>
      <c r="BI208" s="16">
        <v>0</v>
      </c>
      <c r="BJ208" s="16">
        <v>4.1916999999999999E-5</v>
      </c>
      <c r="BK208" s="16"/>
      <c r="BL208" s="16">
        <v>2038660</v>
      </c>
      <c r="BM208" s="61" t="s">
        <v>1285</v>
      </c>
    </row>
    <row r="209" spans="5:65" x14ac:dyDescent="0.25">
      <c r="E209" s="7">
        <f>COUNTIFS(tblBOneExport[ISIN],tblBOneExport[[#This Row],[ISIN]],tblBOneExport[LEVEL1],"Bonds")</f>
        <v>1</v>
      </c>
      <c r="F209">
        <v>4547</v>
      </c>
      <c r="G209" s="155">
        <v>42947</v>
      </c>
      <c r="H209" s="155">
        <v>42978</v>
      </c>
      <c r="I209" t="s">
        <v>1785</v>
      </c>
      <c r="J209">
        <v>2039251</v>
      </c>
      <c r="K209" s="18" t="s">
        <v>1786</v>
      </c>
      <c r="L209" t="s">
        <v>1152</v>
      </c>
      <c r="M209" t="s">
        <v>1153</v>
      </c>
      <c r="N209" t="s">
        <v>492</v>
      </c>
      <c r="O209" t="s">
        <v>372</v>
      </c>
      <c r="P209" t="s">
        <v>1276</v>
      </c>
      <c r="Q209" t="s">
        <v>1330</v>
      </c>
      <c r="R209" t="s">
        <v>1331</v>
      </c>
      <c r="S209" t="s">
        <v>1331</v>
      </c>
      <c r="T209" t="s">
        <v>1331</v>
      </c>
      <c r="U209" t="s">
        <v>1331</v>
      </c>
      <c r="V209" t="s">
        <v>1780</v>
      </c>
      <c r="W209" t="s">
        <v>493</v>
      </c>
      <c r="X209" t="s">
        <v>1282</v>
      </c>
      <c r="Y209" s="154">
        <v>43455</v>
      </c>
      <c r="Z209" s="154">
        <v>43455</v>
      </c>
      <c r="AA209" t="s">
        <v>1563</v>
      </c>
      <c r="AB209" t="s">
        <v>1564</v>
      </c>
      <c r="AC209">
        <v>1.7869095999999999E-3</v>
      </c>
      <c r="AD209" s="16">
        <v>2.2680019999999999E-3</v>
      </c>
      <c r="AE209" s="16">
        <v>4.0813999999999996E-6</v>
      </c>
      <c r="AF209" s="16">
        <v>0</v>
      </c>
      <c r="AG209" s="16">
        <v>0</v>
      </c>
      <c r="AH209" s="16">
        <v>0</v>
      </c>
      <c r="AI209" s="16">
        <v>7.8810000000000002E-7</v>
      </c>
      <c r="AJ209" s="16">
        <v>3.2580000000000002E-7</v>
      </c>
      <c r="AK209" s="16">
        <v>4.623E-7</v>
      </c>
      <c r="AL209" s="16">
        <v>3.1199E-6</v>
      </c>
      <c r="AM209" s="16">
        <v>-6.4000000000000002E-9</v>
      </c>
      <c r="AN209" s="16">
        <v>2.1089999999999999E-7</v>
      </c>
      <c r="AO209" s="16">
        <v>-3.7399999999999997E-8</v>
      </c>
      <c r="AP209" s="16">
        <v>0</v>
      </c>
      <c r="AQ209" s="16">
        <v>0</v>
      </c>
      <c r="AR209" s="16">
        <v>0</v>
      </c>
      <c r="AS209" s="16">
        <v>0</v>
      </c>
      <c r="AT209" s="16">
        <v>0</v>
      </c>
      <c r="AU209" s="16">
        <v>0</v>
      </c>
      <c r="AV209" s="16">
        <v>0</v>
      </c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0</v>
      </c>
      <c r="BD209" s="16">
        <v>0</v>
      </c>
      <c r="BE209" s="16">
        <v>0</v>
      </c>
      <c r="BF209" s="16">
        <v>0</v>
      </c>
      <c r="BG209" s="16">
        <v>0</v>
      </c>
      <c r="BH209" s="16">
        <v>0</v>
      </c>
      <c r="BI209" s="16">
        <v>0</v>
      </c>
      <c r="BJ209" s="16">
        <v>5.2610000000000001E-6</v>
      </c>
      <c r="BK209" s="16"/>
      <c r="BL209" s="16">
        <v>2039251</v>
      </c>
      <c r="BM209" s="61" t="s">
        <v>1285</v>
      </c>
    </row>
    <row r="210" spans="5:65" x14ac:dyDescent="0.25">
      <c r="E210" s="7">
        <f>COUNTIFS(tblBOneExport[ISIN],tblBOneExport[[#This Row],[ISIN]],tblBOneExport[LEVEL1],"Bonds")</f>
        <v>1</v>
      </c>
      <c r="F210">
        <v>4547</v>
      </c>
      <c r="G210" s="155">
        <v>42947</v>
      </c>
      <c r="H210" s="155">
        <v>42978</v>
      </c>
      <c r="I210" t="s">
        <v>1787</v>
      </c>
      <c r="J210">
        <v>2041384</v>
      </c>
      <c r="K210" s="18" t="s">
        <v>1788</v>
      </c>
      <c r="L210" t="s">
        <v>927</v>
      </c>
      <c r="M210" t="s">
        <v>925</v>
      </c>
      <c r="N210" t="s">
        <v>492</v>
      </c>
      <c r="O210" t="s">
        <v>372</v>
      </c>
      <c r="P210" t="s">
        <v>1276</v>
      </c>
      <c r="Q210" t="s">
        <v>1277</v>
      </c>
      <c r="R210" t="s">
        <v>1278</v>
      </c>
      <c r="S210" t="s">
        <v>1348</v>
      </c>
      <c r="T210" t="s">
        <v>1349</v>
      </c>
      <c r="U210" t="s">
        <v>1349</v>
      </c>
      <c r="V210" t="s">
        <v>1288</v>
      </c>
      <c r="W210" t="s">
        <v>493</v>
      </c>
      <c r="X210" t="s">
        <v>1282</v>
      </c>
      <c r="Y210" s="154">
        <v>49034</v>
      </c>
      <c r="Z210" s="154">
        <v>49034</v>
      </c>
      <c r="AA210" t="s">
        <v>1359</v>
      </c>
      <c r="AB210" t="s">
        <v>1360</v>
      </c>
      <c r="AC210">
        <v>5.7375563000000001E-3</v>
      </c>
      <c r="AD210" s="16">
        <v>2.2576257400000001E-2</v>
      </c>
      <c r="AE210" s="16">
        <v>1.289021E-4</v>
      </c>
      <c r="AF210" s="16">
        <v>0</v>
      </c>
      <c r="AG210" s="16">
        <v>0</v>
      </c>
      <c r="AH210" s="16">
        <v>0</v>
      </c>
      <c r="AI210" s="16">
        <v>1.2824E-5</v>
      </c>
      <c r="AJ210" s="16">
        <v>7.3647E-6</v>
      </c>
      <c r="AK210" s="16">
        <v>5.4593999999999998E-6</v>
      </c>
      <c r="AL210" s="16">
        <v>1.010436E-4</v>
      </c>
      <c r="AM210" s="16">
        <v>2.0947E-6</v>
      </c>
      <c r="AN210" s="16">
        <v>1.21411E-5</v>
      </c>
      <c r="AO210" s="16">
        <v>2.8934000000000001E-6</v>
      </c>
      <c r="AP210" s="16">
        <v>0</v>
      </c>
      <c r="AQ210" s="16">
        <v>0</v>
      </c>
      <c r="AR210" s="16">
        <v>0</v>
      </c>
      <c r="AS210" s="16">
        <v>0</v>
      </c>
      <c r="AT210" s="16">
        <v>0</v>
      </c>
      <c r="AU210" s="16">
        <v>0</v>
      </c>
      <c r="AV210" s="16">
        <v>0</v>
      </c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0</v>
      </c>
      <c r="BD210" s="16">
        <v>0</v>
      </c>
      <c r="BE210" s="16">
        <v>0</v>
      </c>
      <c r="BF210" s="16">
        <v>0</v>
      </c>
      <c r="BG210" s="16">
        <v>0</v>
      </c>
      <c r="BH210" s="16">
        <v>0</v>
      </c>
      <c r="BI210" s="16">
        <v>0</v>
      </c>
      <c r="BJ210" s="16">
        <v>6.32255E-5</v>
      </c>
      <c r="BK210" s="16"/>
      <c r="BL210" s="16">
        <v>2041384</v>
      </c>
      <c r="BM210" s="61" t="s">
        <v>1285</v>
      </c>
    </row>
    <row r="211" spans="5:65" x14ac:dyDescent="0.25">
      <c r="E211" s="7">
        <f>COUNTIFS(tblBOneExport[ISIN],tblBOneExport[[#This Row],[ISIN]],tblBOneExport[LEVEL1],"Bonds")</f>
        <v>1</v>
      </c>
      <c r="F211">
        <v>4547</v>
      </c>
      <c r="G211" s="155">
        <v>42947</v>
      </c>
      <c r="H211" s="155">
        <v>42978</v>
      </c>
      <c r="I211" t="s">
        <v>1789</v>
      </c>
      <c r="J211">
        <v>2073393</v>
      </c>
      <c r="K211" s="18" t="s">
        <v>1790</v>
      </c>
      <c r="L211" t="s">
        <v>1197</v>
      </c>
      <c r="M211" t="s">
        <v>1189</v>
      </c>
      <c r="N211" t="s">
        <v>492</v>
      </c>
      <c r="O211" t="s">
        <v>372</v>
      </c>
      <c r="P211" t="s">
        <v>1276</v>
      </c>
      <c r="Q211" t="s">
        <v>1330</v>
      </c>
      <c r="R211" t="s">
        <v>1331</v>
      </c>
      <c r="S211" t="s">
        <v>1331</v>
      </c>
      <c r="T211" t="s">
        <v>1331</v>
      </c>
      <c r="U211" t="s">
        <v>1331</v>
      </c>
      <c r="V211" t="s">
        <v>1303</v>
      </c>
      <c r="W211" t="s">
        <v>493</v>
      </c>
      <c r="X211" t="s">
        <v>1282</v>
      </c>
      <c r="Y211" s="154">
        <v>59999</v>
      </c>
      <c r="Z211" s="154">
        <v>59999</v>
      </c>
      <c r="AA211" t="s">
        <v>1359</v>
      </c>
      <c r="AB211" t="s">
        <v>1360</v>
      </c>
      <c r="AC211">
        <v>2.6653711000000002E-3</v>
      </c>
      <c r="AD211" s="16">
        <v>4.4336805799999997E-2</v>
      </c>
      <c r="AE211" s="16">
        <v>1.162388E-4</v>
      </c>
      <c r="AF211" s="16">
        <v>0</v>
      </c>
      <c r="AG211" s="16">
        <v>0</v>
      </c>
      <c r="AH211" s="16">
        <v>0</v>
      </c>
      <c r="AI211" s="16">
        <v>5.0207000000000001E-6</v>
      </c>
      <c r="AJ211" s="16">
        <v>3.6128E-6</v>
      </c>
      <c r="AK211" s="16">
        <v>1.4078000000000001E-6</v>
      </c>
      <c r="AL211" s="16">
        <v>1.057826E-4</v>
      </c>
      <c r="AM211" s="16">
        <v>-1.074E-7</v>
      </c>
      <c r="AN211" s="16">
        <v>3.9474999999999999E-6</v>
      </c>
      <c r="AO211" s="16">
        <v>1.4881E-6</v>
      </c>
      <c r="AP211" s="16">
        <v>0</v>
      </c>
      <c r="AQ211" s="16">
        <v>0</v>
      </c>
      <c r="AR211" s="16">
        <v>0</v>
      </c>
      <c r="AS211" s="16">
        <v>0</v>
      </c>
      <c r="AT211" s="16">
        <v>0</v>
      </c>
      <c r="AU211" s="16">
        <v>0</v>
      </c>
      <c r="AV211" s="16">
        <v>0</v>
      </c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0</v>
      </c>
      <c r="BD211" s="16">
        <v>0</v>
      </c>
      <c r="BE211" s="16">
        <v>0</v>
      </c>
      <c r="BF211" s="16">
        <v>0</v>
      </c>
      <c r="BG211" s="16">
        <v>0</v>
      </c>
      <c r="BH211" s="16">
        <v>0</v>
      </c>
      <c r="BI211" s="16">
        <v>0</v>
      </c>
      <c r="BJ211" s="16">
        <v>1.64808E-5</v>
      </c>
      <c r="BK211" s="16"/>
      <c r="BL211" s="16">
        <v>2073393</v>
      </c>
      <c r="BM211" s="61" t="s">
        <v>1285</v>
      </c>
    </row>
    <row r="212" spans="5:65" x14ac:dyDescent="0.25">
      <c r="E212" s="7">
        <f>COUNTIFS(tblBOneExport[ISIN],tblBOneExport[[#This Row],[ISIN]],tblBOneExport[LEVEL1],"Bonds")</f>
        <v>1</v>
      </c>
      <c r="F212">
        <v>4547</v>
      </c>
      <c r="G212" s="155">
        <v>42947</v>
      </c>
      <c r="H212" s="155">
        <v>42978</v>
      </c>
      <c r="I212" t="s">
        <v>1791</v>
      </c>
      <c r="J212">
        <v>2064734</v>
      </c>
      <c r="K212" s="18" t="s">
        <v>1792</v>
      </c>
      <c r="L212" t="s">
        <v>771</v>
      </c>
      <c r="M212" t="s">
        <v>767</v>
      </c>
      <c r="N212" t="s">
        <v>492</v>
      </c>
      <c r="O212" t="s">
        <v>372</v>
      </c>
      <c r="P212" t="s">
        <v>1276</v>
      </c>
      <c r="Q212" t="s">
        <v>1277</v>
      </c>
      <c r="R212" t="s">
        <v>1278</v>
      </c>
      <c r="S212" t="s">
        <v>1348</v>
      </c>
      <c r="T212" t="s">
        <v>1349</v>
      </c>
      <c r="U212" t="s">
        <v>1349</v>
      </c>
      <c r="V212" t="s">
        <v>1288</v>
      </c>
      <c r="W212" t="s">
        <v>493</v>
      </c>
      <c r="X212" t="s">
        <v>1282</v>
      </c>
      <c r="Y212" s="154">
        <v>49030</v>
      </c>
      <c r="Z212" s="154">
        <v>49030</v>
      </c>
      <c r="AA212" t="s">
        <v>1541</v>
      </c>
      <c r="AB212" t="s">
        <v>1542</v>
      </c>
      <c r="AC212">
        <v>2.4965736E-3</v>
      </c>
      <c r="AD212" s="16">
        <v>2.01461525E-2</v>
      </c>
      <c r="AE212" s="16">
        <v>5.0153700000000001E-5</v>
      </c>
      <c r="AF212" s="16">
        <v>0</v>
      </c>
      <c r="AG212" s="16">
        <v>0</v>
      </c>
      <c r="AH212" s="16">
        <v>0</v>
      </c>
      <c r="AI212" s="16">
        <v>5.7802000000000002E-6</v>
      </c>
      <c r="AJ212" s="16">
        <v>3.2007000000000001E-6</v>
      </c>
      <c r="AK212" s="16">
        <v>2.5795E-6</v>
      </c>
      <c r="AL212" s="16">
        <v>4.4083499999999999E-5</v>
      </c>
      <c r="AM212" s="16">
        <v>9.1080000000000003E-7</v>
      </c>
      <c r="AN212" s="16">
        <v>4.9009999999999997E-7</v>
      </c>
      <c r="AO212" s="16">
        <v>-2.0020000000000001E-7</v>
      </c>
      <c r="AP212" s="16">
        <v>0</v>
      </c>
      <c r="AQ212" s="16">
        <v>0</v>
      </c>
      <c r="AR212" s="16">
        <v>0</v>
      </c>
      <c r="AS212" s="16">
        <v>0</v>
      </c>
      <c r="AT212" s="16">
        <v>0</v>
      </c>
      <c r="AU212" s="16">
        <v>0</v>
      </c>
      <c r="AV212" s="16">
        <v>0</v>
      </c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0</v>
      </c>
      <c r="BD212" s="16">
        <v>0</v>
      </c>
      <c r="BE212" s="16">
        <v>0</v>
      </c>
      <c r="BF212" s="16">
        <v>0</v>
      </c>
      <c r="BG212" s="16">
        <v>0</v>
      </c>
      <c r="BH212" s="16">
        <v>0</v>
      </c>
      <c r="BI212" s="16">
        <v>0</v>
      </c>
      <c r="BJ212" s="16">
        <v>2.9957100000000002E-5</v>
      </c>
      <c r="BK212" s="16"/>
      <c r="BL212" s="16">
        <v>2064734</v>
      </c>
      <c r="BM212" s="61" t="s">
        <v>1285</v>
      </c>
    </row>
    <row r="213" spans="5:65" x14ac:dyDescent="0.25">
      <c r="E213" s="7">
        <f>COUNTIFS(tblBOneExport[ISIN],tblBOneExport[[#This Row],[ISIN]],tblBOneExport[LEVEL1],"Bonds")</f>
        <v>1</v>
      </c>
      <c r="F213">
        <v>4547</v>
      </c>
      <c r="G213" s="155">
        <v>42947</v>
      </c>
      <c r="H213" s="155">
        <v>42978</v>
      </c>
      <c r="I213" t="s">
        <v>1793</v>
      </c>
      <c r="J213">
        <v>2076815</v>
      </c>
      <c r="K213" s="18" t="s">
        <v>1794</v>
      </c>
      <c r="L213" t="s">
        <v>1047</v>
      </c>
      <c r="M213" t="s">
        <v>1043</v>
      </c>
      <c r="N213" t="s">
        <v>492</v>
      </c>
      <c r="O213" t="s">
        <v>372</v>
      </c>
      <c r="P213" t="s">
        <v>1276</v>
      </c>
      <c r="Q213" t="s">
        <v>1277</v>
      </c>
      <c r="R213" t="s">
        <v>1278</v>
      </c>
      <c r="S213" t="s">
        <v>1348</v>
      </c>
      <c r="T213" t="s">
        <v>1615</v>
      </c>
      <c r="U213" t="s">
        <v>1615</v>
      </c>
      <c r="V213" t="s">
        <v>1288</v>
      </c>
      <c r="W213" t="s">
        <v>493</v>
      </c>
      <c r="X213" t="s">
        <v>1282</v>
      </c>
      <c r="Y213" s="154">
        <v>47212</v>
      </c>
      <c r="Z213" s="154">
        <v>47212</v>
      </c>
      <c r="AA213" t="s">
        <v>1541</v>
      </c>
      <c r="AB213" t="s">
        <v>1542</v>
      </c>
      <c r="AC213">
        <v>6.2260266000000002E-3</v>
      </c>
      <c r="AD213" s="16">
        <v>1.7135267499999999E-2</v>
      </c>
      <c r="AE213" s="16">
        <v>1.064392E-4</v>
      </c>
      <c r="AF213" s="16">
        <v>0</v>
      </c>
      <c r="AG213" s="16">
        <v>0</v>
      </c>
      <c r="AH213" s="16">
        <v>0</v>
      </c>
      <c r="AI213" s="16">
        <v>1.36161E-5</v>
      </c>
      <c r="AJ213" s="16">
        <v>6.8486E-6</v>
      </c>
      <c r="AK213" s="16">
        <v>6.7676000000000002E-6</v>
      </c>
      <c r="AL213" s="16">
        <v>1.1470480000000001E-4</v>
      </c>
      <c r="AM213" s="16">
        <v>6.2169999999999999E-6</v>
      </c>
      <c r="AN213" s="16">
        <v>-1.72519E-5</v>
      </c>
      <c r="AO213" s="16">
        <v>-4.6298000000000001E-6</v>
      </c>
      <c r="AP213" s="16">
        <v>0</v>
      </c>
      <c r="AQ213" s="16">
        <v>0</v>
      </c>
      <c r="AR213" s="16">
        <v>0</v>
      </c>
      <c r="AS213" s="16">
        <v>0</v>
      </c>
      <c r="AT213" s="16">
        <v>0</v>
      </c>
      <c r="AU213" s="16">
        <v>0</v>
      </c>
      <c r="AV213" s="16">
        <v>0</v>
      </c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0</v>
      </c>
      <c r="BD213" s="16">
        <v>0</v>
      </c>
      <c r="BE213" s="16">
        <v>0</v>
      </c>
      <c r="BF213" s="16">
        <v>0</v>
      </c>
      <c r="BG213" s="16">
        <v>0</v>
      </c>
      <c r="BH213" s="16">
        <v>0</v>
      </c>
      <c r="BI213" s="16">
        <v>0</v>
      </c>
      <c r="BJ213" s="16">
        <v>8.12241E-5</v>
      </c>
      <c r="BK213" s="16"/>
      <c r="BL213" s="16">
        <v>2076815</v>
      </c>
      <c r="BM213" s="61" t="s">
        <v>1285</v>
      </c>
    </row>
    <row r="214" spans="5:65" x14ac:dyDescent="0.25">
      <c r="E214" s="7">
        <f>COUNTIFS(tblBOneExport[ISIN],tblBOneExport[[#This Row],[ISIN]],tblBOneExport[LEVEL1],"Bonds")</f>
        <v>1</v>
      </c>
      <c r="F214">
        <v>4547</v>
      </c>
      <c r="G214" s="155">
        <v>42947</v>
      </c>
      <c r="H214" s="155">
        <v>42978</v>
      </c>
      <c r="I214" t="s">
        <v>1795</v>
      </c>
      <c r="J214">
        <v>2081883</v>
      </c>
      <c r="K214" s="18" t="s">
        <v>1796</v>
      </c>
      <c r="L214" t="s">
        <v>924</v>
      </c>
      <c r="M214" t="s">
        <v>925</v>
      </c>
      <c r="N214" t="s">
        <v>492</v>
      </c>
      <c r="O214" t="s">
        <v>372</v>
      </c>
      <c r="P214" t="s">
        <v>1276</v>
      </c>
      <c r="Q214" t="s">
        <v>1277</v>
      </c>
      <c r="R214" t="s">
        <v>1278</v>
      </c>
      <c r="S214" t="s">
        <v>1348</v>
      </c>
      <c r="T214" t="s">
        <v>1349</v>
      </c>
      <c r="U214" t="s">
        <v>1349</v>
      </c>
      <c r="V214" t="s">
        <v>1288</v>
      </c>
      <c r="W214" t="s">
        <v>493</v>
      </c>
      <c r="X214" t="s">
        <v>1282</v>
      </c>
      <c r="Y214" s="154">
        <v>45384</v>
      </c>
      <c r="Z214" s="154">
        <v>45384</v>
      </c>
      <c r="AA214" t="s">
        <v>1359</v>
      </c>
      <c r="AB214" t="s">
        <v>1360</v>
      </c>
      <c r="AC214">
        <v>3.2189395999999999E-3</v>
      </c>
      <c r="AD214" s="16">
        <v>1.0800931E-2</v>
      </c>
      <c r="AE214" s="16">
        <v>3.4861299999999998E-5</v>
      </c>
      <c r="AF214" s="16">
        <v>0</v>
      </c>
      <c r="AG214" s="16">
        <v>0</v>
      </c>
      <c r="AH214" s="16">
        <v>0</v>
      </c>
      <c r="AI214" s="16">
        <v>4.9062999999999999E-6</v>
      </c>
      <c r="AJ214" s="16">
        <v>1.9E-6</v>
      </c>
      <c r="AK214" s="16">
        <v>3.0062999999999999E-6</v>
      </c>
      <c r="AL214" s="16">
        <v>3.03317E-5</v>
      </c>
      <c r="AM214" s="16">
        <v>1.9112999999999998E-6</v>
      </c>
      <c r="AN214" s="16">
        <v>-7.4140000000000001E-7</v>
      </c>
      <c r="AO214" s="16">
        <v>3.6479999999999998E-7</v>
      </c>
      <c r="AP214" s="16">
        <v>0</v>
      </c>
      <c r="AQ214" s="16">
        <v>0</v>
      </c>
      <c r="AR214" s="16">
        <v>0</v>
      </c>
      <c r="AS214" s="16">
        <v>0</v>
      </c>
      <c r="AT214" s="16">
        <v>0</v>
      </c>
      <c r="AU214" s="16">
        <v>0</v>
      </c>
      <c r="AV214" s="16">
        <v>0</v>
      </c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0</v>
      </c>
      <c r="BD214" s="16">
        <v>0</v>
      </c>
      <c r="BE214" s="16">
        <v>0</v>
      </c>
      <c r="BF214" s="16">
        <v>0</v>
      </c>
      <c r="BG214" s="16">
        <v>0</v>
      </c>
      <c r="BH214" s="16">
        <v>0</v>
      </c>
      <c r="BI214" s="16">
        <v>0</v>
      </c>
      <c r="BJ214" s="16">
        <v>3.5316900000000001E-5</v>
      </c>
      <c r="BK214" s="16"/>
      <c r="BL214" s="16">
        <v>2081883</v>
      </c>
      <c r="BM214" s="61" t="s">
        <v>1285</v>
      </c>
    </row>
    <row r="215" spans="5:65" x14ac:dyDescent="0.25">
      <c r="E215" s="7">
        <f>COUNTIFS(tblBOneExport[ISIN],tblBOneExport[[#This Row],[ISIN]],tblBOneExport[LEVEL1],"Bonds")</f>
        <v>1</v>
      </c>
      <c r="F215">
        <v>4547</v>
      </c>
      <c r="G215" s="155">
        <v>42947</v>
      </c>
      <c r="H215" s="155">
        <v>42978</v>
      </c>
      <c r="I215" t="s">
        <v>1797</v>
      </c>
      <c r="J215">
        <v>2102400</v>
      </c>
      <c r="K215" s="18" t="s">
        <v>1798</v>
      </c>
      <c r="L215" t="s">
        <v>762</v>
      </c>
      <c r="M215" t="s">
        <v>763</v>
      </c>
      <c r="N215" t="s">
        <v>492</v>
      </c>
      <c r="O215" t="s">
        <v>372</v>
      </c>
      <c r="P215" t="s">
        <v>1276</v>
      </c>
      <c r="Q215" t="s">
        <v>1277</v>
      </c>
      <c r="R215" t="s">
        <v>1278</v>
      </c>
      <c r="S215" t="s">
        <v>1306</v>
      </c>
      <c r="T215" t="s">
        <v>1307</v>
      </c>
      <c r="U215" t="s">
        <v>1307</v>
      </c>
      <c r="V215" t="s">
        <v>1288</v>
      </c>
      <c r="W215" t="s">
        <v>493</v>
      </c>
      <c r="X215" t="s">
        <v>1282</v>
      </c>
      <c r="Y215" s="154">
        <v>43424</v>
      </c>
      <c r="Z215" s="154">
        <v>43424</v>
      </c>
      <c r="AA215" t="s">
        <v>1359</v>
      </c>
      <c r="AB215" t="s">
        <v>1360</v>
      </c>
      <c r="AC215">
        <v>2.8814397999999998E-3</v>
      </c>
      <c r="AD215" s="16">
        <v>2.7540139999999999E-3</v>
      </c>
      <c r="AE215" s="16">
        <v>7.9874999999999993E-6</v>
      </c>
      <c r="AF215" s="16">
        <v>0</v>
      </c>
      <c r="AG215" s="16">
        <v>0</v>
      </c>
      <c r="AH215" s="16">
        <v>0</v>
      </c>
      <c r="AI215" s="16">
        <v>2.7141E-6</v>
      </c>
      <c r="AJ215" s="16">
        <v>5.228E-7</v>
      </c>
      <c r="AK215" s="16">
        <v>2.1913000000000001E-6</v>
      </c>
      <c r="AL215" s="16">
        <v>4.8281000000000004E-6</v>
      </c>
      <c r="AM215" s="16">
        <v>-9.6999999999999992E-9</v>
      </c>
      <c r="AN215" s="16">
        <v>8.6749999999999995E-7</v>
      </c>
      <c r="AO215" s="16">
        <v>-4.2220000000000001E-7</v>
      </c>
      <c r="AP215" s="16">
        <v>0</v>
      </c>
      <c r="AQ215" s="16">
        <v>0</v>
      </c>
      <c r="AR215" s="16">
        <v>0</v>
      </c>
      <c r="AS215" s="16">
        <v>0</v>
      </c>
      <c r="AT215" s="16">
        <v>0</v>
      </c>
      <c r="AU215" s="16">
        <v>0</v>
      </c>
      <c r="AV215" s="16">
        <v>0</v>
      </c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0</v>
      </c>
      <c r="BD215" s="16">
        <v>0</v>
      </c>
      <c r="BE215" s="16">
        <v>0</v>
      </c>
      <c r="BF215" s="16">
        <v>0</v>
      </c>
      <c r="BG215" s="16">
        <v>0</v>
      </c>
      <c r="BH215" s="16">
        <v>0</v>
      </c>
      <c r="BI215" s="16">
        <v>0</v>
      </c>
      <c r="BJ215" s="16">
        <v>2.5033700000000001E-5</v>
      </c>
      <c r="BK215" s="16"/>
      <c r="BL215" s="16">
        <v>2102400</v>
      </c>
      <c r="BM215" s="61" t="s">
        <v>1285</v>
      </c>
    </row>
    <row r="216" spans="5:65" x14ac:dyDescent="0.25">
      <c r="E216" s="7">
        <f>COUNTIFS(tblBOneExport[ISIN],tblBOneExport[[#This Row],[ISIN]],tblBOneExport[LEVEL1],"Bonds")</f>
        <v>1</v>
      </c>
      <c r="F216">
        <v>4547</v>
      </c>
      <c r="G216" s="155">
        <v>42947</v>
      </c>
      <c r="H216" s="155">
        <v>42978</v>
      </c>
      <c r="I216" t="s">
        <v>1799</v>
      </c>
      <c r="J216">
        <v>2121243</v>
      </c>
      <c r="K216" s="18" t="s">
        <v>1800</v>
      </c>
      <c r="L216" t="s">
        <v>606</v>
      </c>
      <c r="M216" t="s">
        <v>607</v>
      </c>
      <c r="N216" t="s">
        <v>492</v>
      </c>
      <c r="O216" t="s">
        <v>372</v>
      </c>
      <c r="P216" t="s">
        <v>1276</v>
      </c>
      <c r="Q216" t="s">
        <v>1277</v>
      </c>
      <c r="R216" t="s">
        <v>1300</v>
      </c>
      <c r="S216" t="s">
        <v>1301</v>
      </c>
      <c r="T216" t="s">
        <v>1302</v>
      </c>
      <c r="U216" t="s">
        <v>1302</v>
      </c>
      <c r="V216" t="s">
        <v>1288</v>
      </c>
      <c r="W216" t="s">
        <v>493</v>
      </c>
      <c r="X216" t="s">
        <v>1282</v>
      </c>
      <c r="Y216" s="154">
        <v>44364</v>
      </c>
      <c r="Z216" s="154">
        <v>44364</v>
      </c>
      <c r="AA216" t="s">
        <v>1359</v>
      </c>
      <c r="AB216" t="s">
        <v>1360</v>
      </c>
      <c r="AC216">
        <v>4.6082370000000003E-3</v>
      </c>
      <c r="AD216" s="16">
        <v>3.0119076000000001E-3</v>
      </c>
      <c r="AE216" s="16">
        <v>1.4013699999999999E-5</v>
      </c>
      <c r="AF216" s="16">
        <v>0</v>
      </c>
      <c r="AG216" s="16">
        <v>0</v>
      </c>
      <c r="AH216" s="16">
        <v>0</v>
      </c>
      <c r="AI216" s="16">
        <v>4.9686000000000002E-6</v>
      </c>
      <c r="AJ216" s="16">
        <v>1.1621000000000001E-6</v>
      </c>
      <c r="AK216" s="16">
        <v>3.8066000000000001E-6</v>
      </c>
      <c r="AL216" s="16">
        <v>2.1501600000000001E-5</v>
      </c>
      <c r="AM216" s="16">
        <v>8.7260000000000002E-7</v>
      </c>
      <c r="AN216" s="16">
        <v>-1.03173E-5</v>
      </c>
      <c r="AO216" s="16">
        <v>-2.1392000000000002E-6</v>
      </c>
      <c r="AP216" s="16">
        <v>0</v>
      </c>
      <c r="AQ216" s="16">
        <v>0</v>
      </c>
      <c r="AR216" s="16">
        <v>0</v>
      </c>
      <c r="AS216" s="16">
        <v>0</v>
      </c>
      <c r="AT216" s="16">
        <v>0</v>
      </c>
      <c r="AU216" s="16">
        <v>0</v>
      </c>
      <c r="AV216" s="16">
        <v>0</v>
      </c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0</v>
      </c>
      <c r="BD216" s="16">
        <v>0</v>
      </c>
      <c r="BE216" s="16">
        <v>0</v>
      </c>
      <c r="BF216" s="16">
        <v>0</v>
      </c>
      <c r="BG216" s="16">
        <v>0</v>
      </c>
      <c r="BH216" s="16">
        <v>0</v>
      </c>
      <c r="BI216" s="16">
        <v>0</v>
      </c>
      <c r="BJ216" s="16">
        <v>4.5564500000000001E-5</v>
      </c>
      <c r="BK216" s="16"/>
      <c r="BL216" s="16">
        <v>2121243</v>
      </c>
      <c r="BM216" s="61" t="s">
        <v>1285</v>
      </c>
    </row>
    <row r="217" spans="5:65" x14ac:dyDescent="0.25">
      <c r="E217" s="7">
        <f>COUNTIFS(tblBOneExport[ISIN],tblBOneExport[[#This Row],[ISIN]],tblBOneExport[LEVEL1],"Bonds")</f>
        <v>1</v>
      </c>
      <c r="F217">
        <v>4547</v>
      </c>
      <c r="G217" s="155">
        <v>42947</v>
      </c>
      <c r="H217" s="155">
        <v>42978</v>
      </c>
      <c r="I217" t="s">
        <v>1801</v>
      </c>
      <c r="J217">
        <v>2117090</v>
      </c>
      <c r="K217" s="18" t="s">
        <v>1802</v>
      </c>
      <c r="L217" t="s">
        <v>647</v>
      </c>
      <c r="M217" t="s">
        <v>645</v>
      </c>
      <c r="N217" t="s">
        <v>492</v>
      </c>
      <c r="O217" t="s">
        <v>372</v>
      </c>
      <c r="P217" t="s">
        <v>1276</v>
      </c>
      <c r="Q217" t="s">
        <v>1277</v>
      </c>
      <c r="R217" t="s">
        <v>1278</v>
      </c>
      <c r="S217" t="s">
        <v>1306</v>
      </c>
      <c r="T217" t="s">
        <v>1307</v>
      </c>
      <c r="U217" t="s">
        <v>1307</v>
      </c>
      <c r="V217" t="s">
        <v>1281</v>
      </c>
      <c r="W217" t="s">
        <v>493</v>
      </c>
      <c r="X217" t="s">
        <v>1282</v>
      </c>
      <c r="Y217" s="154">
        <v>44169</v>
      </c>
      <c r="Z217" s="154">
        <v>44169</v>
      </c>
      <c r="AA217" t="s">
        <v>1432</v>
      </c>
      <c r="AB217" t="s">
        <v>1433</v>
      </c>
      <c r="AC217">
        <v>7.4461410000000003E-4</v>
      </c>
      <c r="AD217" s="16">
        <v>3.7561296000000002E-3</v>
      </c>
      <c r="AE217" s="16">
        <v>2.8177000000000001E-6</v>
      </c>
      <c r="AF217" s="16">
        <v>0</v>
      </c>
      <c r="AG217" s="16">
        <v>0</v>
      </c>
      <c r="AH217" s="16">
        <v>0</v>
      </c>
      <c r="AI217" s="16">
        <v>6.9309999999999998E-7</v>
      </c>
      <c r="AJ217" s="16">
        <v>1.674E-7</v>
      </c>
      <c r="AK217" s="16">
        <v>5.257E-7</v>
      </c>
      <c r="AL217" s="16">
        <v>2.8710999999999999E-6</v>
      </c>
      <c r="AM217" s="16">
        <v>1.2209999999999999E-7</v>
      </c>
      <c r="AN217" s="16">
        <v>-6.3379999999999997E-7</v>
      </c>
      <c r="AO217" s="16">
        <v>-1.127E-7</v>
      </c>
      <c r="AP217" s="16">
        <v>0</v>
      </c>
      <c r="AQ217" s="16">
        <v>0</v>
      </c>
      <c r="AR217" s="16">
        <v>0</v>
      </c>
      <c r="AS217" s="16">
        <v>0</v>
      </c>
      <c r="AT217" s="16">
        <v>0</v>
      </c>
      <c r="AU217" s="16">
        <v>0</v>
      </c>
      <c r="AV217" s="16">
        <v>0</v>
      </c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0</v>
      </c>
      <c r="BD217" s="16">
        <v>0</v>
      </c>
      <c r="BE217" s="16">
        <v>0</v>
      </c>
      <c r="BF217" s="16">
        <v>0</v>
      </c>
      <c r="BG217" s="16">
        <v>0</v>
      </c>
      <c r="BH217" s="16">
        <v>0</v>
      </c>
      <c r="BI217" s="16">
        <v>0</v>
      </c>
      <c r="BJ217" s="16">
        <v>6.2588000000000001E-6</v>
      </c>
      <c r="BK217" s="16"/>
      <c r="BL217" s="16">
        <v>2117090</v>
      </c>
      <c r="BM217" s="61" t="s">
        <v>1285</v>
      </c>
    </row>
    <row r="218" spans="5:65" x14ac:dyDescent="0.25">
      <c r="E218" s="7">
        <f>COUNTIFS(tblBOneExport[ISIN],tblBOneExport[[#This Row],[ISIN]],tblBOneExport[LEVEL1],"Bonds")</f>
        <v>1</v>
      </c>
      <c r="F218">
        <v>4547</v>
      </c>
      <c r="G218" s="155">
        <v>42947</v>
      </c>
      <c r="H218" s="155">
        <v>42978</v>
      </c>
      <c r="I218" t="s">
        <v>1803</v>
      </c>
      <c r="J218">
        <v>2122841</v>
      </c>
      <c r="K218" s="18" t="s">
        <v>1804</v>
      </c>
      <c r="L218" t="s">
        <v>966</v>
      </c>
      <c r="M218" t="s">
        <v>967</v>
      </c>
      <c r="N218" t="s">
        <v>492</v>
      </c>
      <c r="O218" t="s">
        <v>372</v>
      </c>
      <c r="P218" t="s">
        <v>1276</v>
      </c>
      <c r="Q218" t="s">
        <v>1330</v>
      </c>
      <c r="R218" t="s">
        <v>1331</v>
      </c>
      <c r="S218" t="s">
        <v>1331</v>
      </c>
      <c r="T218" t="s">
        <v>1331</v>
      </c>
      <c r="U218" t="s">
        <v>1331</v>
      </c>
      <c r="V218" t="s">
        <v>1353</v>
      </c>
      <c r="W218" t="s">
        <v>493</v>
      </c>
      <c r="X218" t="s">
        <v>1282</v>
      </c>
      <c r="Y218" s="154">
        <v>43462</v>
      </c>
      <c r="Z218" s="154">
        <v>43462</v>
      </c>
      <c r="AA218" t="s">
        <v>1294</v>
      </c>
      <c r="AB218" t="s">
        <v>1295</v>
      </c>
      <c r="AC218">
        <v>9.5485329999999997E-4</v>
      </c>
      <c r="AD218" s="16">
        <v>2.0814208999999999E-3</v>
      </c>
      <c r="AE218" s="16">
        <v>2.0014E-6</v>
      </c>
      <c r="AF218" s="16">
        <v>0</v>
      </c>
      <c r="AG218" s="16">
        <v>0</v>
      </c>
      <c r="AH218" s="16">
        <v>0</v>
      </c>
      <c r="AI218" s="16">
        <v>4.439E-7</v>
      </c>
      <c r="AJ218" s="16">
        <v>1.74E-7</v>
      </c>
      <c r="AK218" s="16">
        <v>2.699E-7</v>
      </c>
      <c r="AL218" s="16">
        <v>1.6749E-6</v>
      </c>
      <c r="AM218" s="16">
        <v>-3.4999999999999999E-9</v>
      </c>
      <c r="AN218" s="16">
        <v>-9.8200000000000006E-8</v>
      </c>
      <c r="AO218" s="16">
        <v>-1.92E-8</v>
      </c>
      <c r="AP218" s="16">
        <v>0</v>
      </c>
      <c r="AQ218" s="16">
        <v>0</v>
      </c>
      <c r="AR218" s="16">
        <v>0</v>
      </c>
      <c r="AS218" s="16">
        <v>0</v>
      </c>
      <c r="AT218" s="16">
        <v>0</v>
      </c>
      <c r="AU218" s="16">
        <v>0</v>
      </c>
      <c r="AV218" s="16">
        <v>0</v>
      </c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0</v>
      </c>
      <c r="BD218" s="16">
        <v>0</v>
      </c>
      <c r="BE218" s="16">
        <v>0</v>
      </c>
      <c r="BF218" s="16">
        <v>0</v>
      </c>
      <c r="BG218" s="16">
        <v>0</v>
      </c>
      <c r="BH218" s="16">
        <v>0</v>
      </c>
      <c r="BI218" s="16">
        <v>0</v>
      </c>
      <c r="BJ218" s="16">
        <v>3.2669999999999998E-6</v>
      </c>
      <c r="BK218" s="16"/>
      <c r="BL218" s="16">
        <v>2122841</v>
      </c>
      <c r="BM218" s="61" t="s">
        <v>1285</v>
      </c>
    </row>
    <row r="219" spans="5:65" x14ac:dyDescent="0.25">
      <c r="E219" s="7">
        <f>COUNTIFS(tblBOneExport[ISIN],tblBOneExport[[#This Row],[ISIN]],tblBOneExport[LEVEL1],"Bonds")</f>
        <v>1</v>
      </c>
      <c r="F219">
        <v>4547</v>
      </c>
      <c r="G219" s="155">
        <v>42947</v>
      </c>
      <c r="H219" s="155">
        <v>42978</v>
      </c>
      <c r="I219" t="s">
        <v>1805</v>
      </c>
      <c r="J219">
        <v>2123388</v>
      </c>
      <c r="K219" s="18" t="s">
        <v>1806</v>
      </c>
      <c r="L219" t="s">
        <v>634</v>
      </c>
      <c r="M219" t="s">
        <v>635</v>
      </c>
      <c r="N219" t="s">
        <v>492</v>
      </c>
      <c r="O219" t="s">
        <v>372</v>
      </c>
      <c r="P219" t="s">
        <v>1276</v>
      </c>
      <c r="Q219" t="s">
        <v>1277</v>
      </c>
      <c r="R219" t="s">
        <v>1278</v>
      </c>
      <c r="S219" t="s">
        <v>1306</v>
      </c>
      <c r="T219" t="s">
        <v>1349</v>
      </c>
      <c r="U219" t="s">
        <v>1349</v>
      </c>
      <c r="V219" t="s">
        <v>1332</v>
      </c>
      <c r="W219" t="s">
        <v>493</v>
      </c>
      <c r="X219" t="s">
        <v>1282</v>
      </c>
      <c r="Y219" s="154">
        <v>46199</v>
      </c>
      <c r="Z219" s="154">
        <v>46199</v>
      </c>
      <c r="AA219" t="s">
        <v>1359</v>
      </c>
      <c r="AB219" t="s">
        <v>1360</v>
      </c>
      <c r="AC219">
        <v>9.8809530999999992E-3</v>
      </c>
      <c r="AD219" s="16">
        <v>1.59927378E-2</v>
      </c>
      <c r="AE219" s="16">
        <v>1.579587E-4</v>
      </c>
      <c r="AF219" s="16">
        <v>0</v>
      </c>
      <c r="AG219" s="16">
        <v>0</v>
      </c>
      <c r="AH219" s="16">
        <v>0</v>
      </c>
      <c r="AI219" s="16">
        <v>1.50348E-5</v>
      </c>
      <c r="AJ219" s="16">
        <v>8.1720999999999992E-6</v>
      </c>
      <c r="AK219" s="16">
        <v>6.8627000000000004E-6</v>
      </c>
      <c r="AL219" s="16">
        <v>1.4952950000000001E-4</v>
      </c>
      <c r="AM219" s="16">
        <v>8.6535999999999996E-6</v>
      </c>
      <c r="AN219" s="16">
        <v>-1.39445E-5</v>
      </c>
      <c r="AO219" s="16">
        <v>7.3389000000000002E-6</v>
      </c>
      <c r="AP219" s="16">
        <v>0</v>
      </c>
      <c r="AQ219" s="16">
        <v>0</v>
      </c>
      <c r="AR219" s="16">
        <v>0</v>
      </c>
      <c r="AS219" s="16">
        <v>0</v>
      </c>
      <c r="AT219" s="16">
        <v>0</v>
      </c>
      <c r="AU219" s="16">
        <v>0</v>
      </c>
      <c r="AV219" s="16">
        <v>0</v>
      </c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0</v>
      </c>
      <c r="BD219" s="16">
        <v>0</v>
      </c>
      <c r="BE219" s="16">
        <v>0</v>
      </c>
      <c r="BF219" s="16">
        <v>0</v>
      </c>
      <c r="BG219" s="16">
        <v>0</v>
      </c>
      <c r="BH219" s="16">
        <v>0</v>
      </c>
      <c r="BI219" s="16">
        <v>0</v>
      </c>
      <c r="BJ219" s="16">
        <v>8.1596100000000003E-5</v>
      </c>
      <c r="BK219" s="16"/>
      <c r="BL219" s="16">
        <v>2123388</v>
      </c>
      <c r="BM219" s="61" t="s">
        <v>1285</v>
      </c>
    </row>
    <row r="220" spans="5:65" x14ac:dyDescent="0.25">
      <c r="E220" s="7">
        <f>COUNTIFS(tblBOneExport[ISIN],tblBOneExport[[#This Row],[ISIN]],tblBOneExport[LEVEL1],"Bonds")</f>
        <v>1</v>
      </c>
      <c r="F220">
        <v>4547</v>
      </c>
      <c r="G220" s="155">
        <v>42947</v>
      </c>
      <c r="H220" s="155">
        <v>42978</v>
      </c>
      <c r="I220" t="s">
        <v>1807</v>
      </c>
      <c r="J220">
        <v>2144836</v>
      </c>
      <c r="K220" s="18" t="s">
        <v>1808</v>
      </c>
      <c r="L220" t="s">
        <v>951</v>
      </c>
      <c r="M220" t="s">
        <v>947</v>
      </c>
      <c r="N220" t="s">
        <v>492</v>
      </c>
      <c r="O220" t="s">
        <v>372</v>
      </c>
      <c r="P220" t="s">
        <v>1276</v>
      </c>
      <c r="Q220" t="s">
        <v>1277</v>
      </c>
      <c r="R220" t="s">
        <v>1278</v>
      </c>
      <c r="S220" t="s">
        <v>1306</v>
      </c>
      <c r="T220" t="s">
        <v>1349</v>
      </c>
      <c r="U220" t="s">
        <v>1349</v>
      </c>
      <c r="V220" t="s">
        <v>1332</v>
      </c>
      <c r="W220" t="s">
        <v>493</v>
      </c>
      <c r="X220" t="s">
        <v>1282</v>
      </c>
      <c r="Y220" s="154">
        <v>46219</v>
      </c>
      <c r="Z220" s="154">
        <v>46219</v>
      </c>
      <c r="AA220" t="s">
        <v>1359</v>
      </c>
      <c r="AB220" t="s">
        <v>1360</v>
      </c>
      <c r="AC220">
        <v>2.9678713000000001E-3</v>
      </c>
      <c r="AD220" s="16">
        <v>1.47867699E-2</v>
      </c>
      <c r="AE220" s="16">
        <v>4.3903299999999997E-5</v>
      </c>
      <c r="AF220" s="16">
        <v>0</v>
      </c>
      <c r="AG220" s="16">
        <v>0</v>
      </c>
      <c r="AH220" s="16">
        <v>0</v>
      </c>
      <c r="AI220" s="16">
        <v>4.4889999999999997E-6</v>
      </c>
      <c r="AJ220" s="16">
        <v>2.4735000000000001E-6</v>
      </c>
      <c r="AK220" s="16">
        <v>2.0155E-6</v>
      </c>
      <c r="AL220" s="16">
        <v>4.5362099999999997E-5</v>
      </c>
      <c r="AM220" s="16">
        <v>2.6245999999999998E-6</v>
      </c>
      <c r="AN220" s="16">
        <v>-5.6628999999999996E-6</v>
      </c>
      <c r="AO220" s="16">
        <v>-2.8500000000000002E-7</v>
      </c>
      <c r="AP220" s="16">
        <v>0</v>
      </c>
      <c r="AQ220" s="16">
        <v>0</v>
      </c>
      <c r="AR220" s="16">
        <v>0</v>
      </c>
      <c r="AS220" s="16">
        <v>0</v>
      </c>
      <c r="AT220" s="16">
        <v>0</v>
      </c>
      <c r="AU220" s="16">
        <v>0</v>
      </c>
      <c r="AV220" s="16">
        <v>0</v>
      </c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0</v>
      </c>
      <c r="BD220" s="16">
        <v>0</v>
      </c>
      <c r="BE220" s="16">
        <v>0</v>
      </c>
      <c r="BF220" s="16">
        <v>0</v>
      </c>
      <c r="BG220" s="16">
        <v>0</v>
      </c>
      <c r="BH220" s="16">
        <v>0</v>
      </c>
      <c r="BI220" s="16">
        <v>0</v>
      </c>
      <c r="BJ220" s="16">
        <v>2.4026700000000002E-5</v>
      </c>
      <c r="BK220" s="16"/>
      <c r="BL220" s="16">
        <v>2144836</v>
      </c>
      <c r="BM220" s="61" t="s">
        <v>1285</v>
      </c>
    </row>
    <row r="221" spans="5:65" x14ac:dyDescent="0.25">
      <c r="E221" s="7">
        <f>COUNTIFS(tblBOneExport[ISIN],tblBOneExport[[#This Row],[ISIN]],tblBOneExport[LEVEL1],"Bonds")</f>
        <v>1</v>
      </c>
      <c r="F221">
        <v>4547</v>
      </c>
      <c r="G221" s="155">
        <v>42947</v>
      </c>
      <c r="H221" s="155">
        <v>42978</v>
      </c>
      <c r="I221" t="s">
        <v>1809</v>
      </c>
      <c r="J221">
        <v>2216959</v>
      </c>
      <c r="K221" s="18" t="s">
        <v>1810</v>
      </c>
      <c r="L221" t="s">
        <v>1088</v>
      </c>
      <c r="M221" t="s">
        <v>1089</v>
      </c>
      <c r="N221" t="s">
        <v>492</v>
      </c>
      <c r="O221" t="s">
        <v>372</v>
      </c>
      <c r="P221" t="s">
        <v>1276</v>
      </c>
      <c r="Q221" t="s">
        <v>1277</v>
      </c>
      <c r="R221" t="s">
        <v>1278</v>
      </c>
      <c r="S221" t="s">
        <v>1635</v>
      </c>
      <c r="T221" t="s">
        <v>1636</v>
      </c>
      <c r="U221" t="s">
        <v>1636</v>
      </c>
      <c r="V221" t="s">
        <v>1293</v>
      </c>
      <c r="W221" t="s">
        <v>493</v>
      </c>
      <c r="X221" t="s">
        <v>1282</v>
      </c>
      <c r="Y221" s="154">
        <v>43819</v>
      </c>
      <c r="Z221" s="154">
        <v>43819</v>
      </c>
      <c r="AA221" t="s">
        <v>1294</v>
      </c>
      <c r="AB221" t="s">
        <v>1295</v>
      </c>
      <c r="AC221">
        <v>1.2063235E-3</v>
      </c>
      <c r="AD221" s="16">
        <v>3.1945894E-3</v>
      </c>
      <c r="AE221" s="16">
        <v>3.8804000000000002E-6</v>
      </c>
      <c r="AF221" s="16">
        <v>0</v>
      </c>
      <c r="AG221" s="16">
        <v>0</v>
      </c>
      <c r="AH221" s="16">
        <v>0</v>
      </c>
      <c r="AI221" s="16">
        <v>7.4229999999999997E-7</v>
      </c>
      <c r="AJ221" s="16">
        <v>2.3020000000000001E-7</v>
      </c>
      <c r="AK221" s="16">
        <v>5.1210000000000004E-7</v>
      </c>
      <c r="AL221" s="16">
        <v>2.8853999999999999E-6</v>
      </c>
      <c r="AM221" s="16">
        <v>7.8600000000000002E-8</v>
      </c>
      <c r="AN221" s="16">
        <v>1.9969999999999999E-7</v>
      </c>
      <c r="AO221" s="16">
        <v>5.3099999999999999E-8</v>
      </c>
      <c r="AP221" s="16">
        <v>0</v>
      </c>
      <c r="AQ221" s="16">
        <v>0</v>
      </c>
      <c r="AR221" s="16">
        <v>0</v>
      </c>
      <c r="AS221" s="16">
        <v>0</v>
      </c>
      <c r="AT221" s="16">
        <v>0</v>
      </c>
      <c r="AU221" s="16">
        <v>0</v>
      </c>
      <c r="AV221" s="16">
        <v>0</v>
      </c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0</v>
      </c>
      <c r="BD221" s="16">
        <v>0</v>
      </c>
      <c r="BE221" s="16">
        <v>0</v>
      </c>
      <c r="BF221" s="16">
        <v>0</v>
      </c>
      <c r="BG221" s="16">
        <v>0</v>
      </c>
      <c r="BH221" s="16">
        <v>0</v>
      </c>
      <c r="BI221" s="16">
        <v>0</v>
      </c>
      <c r="BJ221" s="16">
        <v>5.8427E-6</v>
      </c>
      <c r="BK221" s="16"/>
      <c r="BL221" s="16">
        <v>2216959</v>
      </c>
      <c r="BM221" s="61" t="s">
        <v>1285</v>
      </c>
    </row>
    <row r="222" spans="5:65" x14ac:dyDescent="0.25">
      <c r="E222" s="7">
        <f>COUNTIFS(tblBOneExport[ISIN],tblBOneExport[[#This Row],[ISIN]],tblBOneExport[LEVEL1],"Bonds")</f>
        <v>1</v>
      </c>
      <c r="F222">
        <v>4547</v>
      </c>
      <c r="G222" s="155">
        <v>42947</v>
      </c>
      <c r="H222" s="155">
        <v>42978</v>
      </c>
      <c r="I222" t="s">
        <v>1811</v>
      </c>
      <c r="J222">
        <v>2232317</v>
      </c>
      <c r="K222" s="18" t="s">
        <v>1812</v>
      </c>
      <c r="L222" t="s">
        <v>871</v>
      </c>
      <c r="M222" t="s">
        <v>869</v>
      </c>
      <c r="N222" t="s">
        <v>492</v>
      </c>
      <c r="O222" t="s">
        <v>372</v>
      </c>
      <c r="P222" t="s">
        <v>1276</v>
      </c>
      <c r="Q222" t="s">
        <v>1277</v>
      </c>
      <c r="R222" t="s">
        <v>1278</v>
      </c>
      <c r="S222" t="s">
        <v>1306</v>
      </c>
      <c r="T222" t="s">
        <v>1422</v>
      </c>
      <c r="U222" t="s">
        <v>1422</v>
      </c>
      <c r="V222" t="s">
        <v>1288</v>
      </c>
      <c r="W222" t="s">
        <v>493</v>
      </c>
      <c r="X222" t="s">
        <v>1282</v>
      </c>
      <c r="Y222" s="154">
        <v>49296</v>
      </c>
      <c r="Z222" s="154">
        <v>49205</v>
      </c>
      <c r="AA222" t="s">
        <v>1359</v>
      </c>
      <c r="AB222" t="s">
        <v>1360</v>
      </c>
      <c r="AC222">
        <v>1.7583868000000001E-3</v>
      </c>
      <c r="AD222" s="16">
        <v>2.2111094899999999E-2</v>
      </c>
      <c r="AE222" s="16">
        <v>3.8695300000000002E-5</v>
      </c>
      <c r="AF222" s="16">
        <v>0</v>
      </c>
      <c r="AG222" s="16">
        <v>0</v>
      </c>
      <c r="AH222" s="16">
        <v>0</v>
      </c>
      <c r="AI222" s="16">
        <v>5.4917999999999997E-6</v>
      </c>
      <c r="AJ222" s="16">
        <v>2.2579E-6</v>
      </c>
      <c r="AK222" s="16">
        <v>3.2339000000000001E-6</v>
      </c>
      <c r="AL222" s="16">
        <v>2.89843E-5</v>
      </c>
      <c r="AM222" s="16">
        <v>6.426E-7</v>
      </c>
      <c r="AN222" s="16">
        <v>-1.8909999999999999E-7</v>
      </c>
      <c r="AO222" s="16">
        <v>4.4082999999999998E-6</v>
      </c>
      <c r="AP222" s="16">
        <v>0</v>
      </c>
      <c r="AQ222" s="16">
        <v>0</v>
      </c>
      <c r="AR222" s="16">
        <v>0</v>
      </c>
      <c r="AS222" s="16">
        <v>0</v>
      </c>
      <c r="AT222" s="16">
        <v>0</v>
      </c>
      <c r="AU222" s="16">
        <v>0</v>
      </c>
      <c r="AV222" s="16">
        <v>0</v>
      </c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0</v>
      </c>
      <c r="BD222" s="16">
        <v>0</v>
      </c>
      <c r="BE222" s="16">
        <v>0</v>
      </c>
      <c r="BF222" s="16">
        <v>0</v>
      </c>
      <c r="BG222" s="16">
        <v>0</v>
      </c>
      <c r="BH222" s="16">
        <v>0</v>
      </c>
      <c r="BI222" s="16">
        <v>0</v>
      </c>
      <c r="BJ222" s="16">
        <v>3.79311E-5</v>
      </c>
      <c r="BK222" s="16"/>
      <c r="BL222" s="16">
        <v>2232317</v>
      </c>
      <c r="BM222" s="61" t="s">
        <v>1285</v>
      </c>
    </row>
    <row r="223" spans="5:65" x14ac:dyDescent="0.25">
      <c r="E223" s="7">
        <f>COUNTIFS(tblBOneExport[ISIN],tblBOneExport[[#This Row],[ISIN]],tblBOneExport[LEVEL1],"Bonds")</f>
        <v>1</v>
      </c>
      <c r="F223">
        <v>4547</v>
      </c>
      <c r="G223" s="155">
        <v>42947</v>
      </c>
      <c r="H223" s="155">
        <v>42978</v>
      </c>
      <c r="I223" t="s">
        <v>1813</v>
      </c>
      <c r="J223">
        <v>2240770</v>
      </c>
      <c r="K223" s="18" t="s">
        <v>1814</v>
      </c>
      <c r="L223" t="s">
        <v>1140</v>
      </c>
      <c r="M223" t="s">
        <v>1141</v>
      </c>
      <c r="N223" t="s">
        <v>492</v>
      </c>
      <c r="O223" t="s">
        <v>372</v>
      </c>
      <c r="P223" t="s">
        <v>1276</v>
      </c>
      <c r="Q223" t="s">
        <v>1330</v>
      </c>
      <c r="R223" t="s">
        <v>181</v>
      </c>
      <c r="S223" t="s">
        <v>181</v>
      </c>
      <c r="T223" t="s">
        <v>181</v>
      </c>
      <c r="U223" t="s">
        <v>181</v>
      </c>
      <c r="V223" t="s">
        <v>1303</v>
      </c>
      <c r="W223" t="s">
        <v>493</v>
      </c>
      <c r="X223" t="s">
        <v>1282</v>
      </c>
      <c r="Y223" s="154">
        <v>53673</v>
      </c>
      <c r="Z223" s="154">
        <v>53673</v>
      </c>
      <c r="AA223" t="s">
        <v>1815</v>
      </c>
      <c r="AB223" t="s">
        <v>1816</v>
      </c>
      <c r="AC223">
        <v>2.0197856999999999E-3</v>
      </c>
      <c r="AD223" s="16">
        <v>3.2487624299999997E-2</v>
      </c>
      <c r="AE223" s="16">
        <v>6.4889799999999997E-5</v>
      </c>
      <c r="AF223" s="16">
        <v>0</v>
      </c>
      <c r="AG223" s="16">
        <v>0</v>
      </c>
      <c r="AH223" s="16">
        <v>0</v>
      </c>
      <c r="AI223" s="16">
        <v>4.5244999999999996E-6</v>
      </c>
      <c r="AJ223" s="16">
        <v>2.9762E-6</v>
      </c>
      <c r="AK223" s="16">
        <v>1.5484000000000001E-6</v>
      </c>
      <c r="AL223" s="16">
        <v>6.39334E-5</v>
      </c>
      <c r="AM223" s="16">
        <v>-4.4899999999999998E-8</v>
      </c>
      <c r="AN223" s="16">
        <v>-9.8969000000000001E-6</v>
      </c>
      <c r="AO223" s="16">
        <v>6.3287000000000001E-6</v>
      </c>
      <c r="AP223" s="16">
        <v>0</v>
      </c>
      <c r="AQ223" s="16">
        <v>0</v>
      </c>
      <c r="AR223" s="16">
        <v>0</v>
      </c>
      <c r="AS223" s="16">
        <v>0</v>
      </c>
      <c r="AT223" s="16">
        <v>0</v>
      </c>
      <c r="AU223" s="16">
        <v>0</v>
      </c>
      <c r="AV223" s="16">
        <v>0</v>
      </c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0</v>
      </c>
      <c r="BD223" s="16">
        <v>0</v>
      </c>
      <c r="BE223" s="16">
        <v>0</v>
      </c>
      <c r="BF223" s="16">
        <v>0</v>
      </c>
      <c r="BG223" s="16">
        <v>0</v>
      </c>
      <c r="BH223" s="16">
        <v>0</v>
      </c>
      <c r="BI223" s="16">
        <v>0</v>
      </c>
      <c r="BJ223" s="16">
        <v>1.85035E-5</v>
      </c>
      <c r="BK223" s="16"/>
      <c r="BL223" s="16">
        <v>2240770</v>
      </c>
      <c r="BM223" s="61" t="s">
        <v>1285</v>
      </c>
    </row>
    <row r="224" spans="5:65" x14ac:dyDescent="0.25">
      <c r="E224" s="7">
        <f>COUNTIFS(tblBOneExport[ISIN],tblBOneExport[[#This Row],[ISIN]],tblBOneExport[LEVEL1],"Bonds")</f>
        <v>1</v>
      </c>
      <c r="F224">
        <v>4547</v>
      </c>
      <c r="G224" s="155">
        <v>42947</v>
      </c>
      <c r="H224" s="155">
        <v>42978</v>
      </c>
      <c r="I224" t="s">
        <v>1817</v>
      </c>
      <c r="J224">
        <v>2225869</v>
      </c>
      <c r="K224" s="18" t="s">
        <v>1818</v>
      </c>
      <c r="L224" t="s">
        <v>573</v>
      </c>
      <c r="M224" t="s">
        <v>571</v>
      </c>
      <c r="N224" t="s">
        <v>492</v>
      </c>
      <c r="O224" t="s">
        <v>372</v>
      </c>
      <c r="P224" t="s">
        <v>1276</v>
      </c>
      <c r="Q224" t="s">
        <v>1277</v>
      </c>
      <c r="R224" t="s">
        <v>1278</v>
      </c>
      <c r="S224" t="s">
        <v>1512</v>
      </c>
      <c r="T224" t="s">
        <v>1513</v>
      </c>
      <c r="U224" t="s">
        <v>1513</v>
      </c>
      <c r="V224" t="s">
        <v>1332</v>
      </c>
      <c r="W224" t="s">
        <v>493</v>
      </c>
      <c r="X224" t="s">
        <v>1282</v>
      </c>
      <c r="Y224" s="154">
        <v>43084</v>
      </c>
      <c r="Z224" s="154">
        <v>43084</v>
      </c>
      <c r="AA224" t="s">
        <v>1432</v>
      </c>
      <c r="AB224" t="s">
        <v>1433</v>
      </c>
      <c r="AC224">
        <v>1.0943997400000001E-2</v>
      </c>
      <c r="AD224" s="16">
        <v>2.4494380000000002E-4</v>
      </c>
      <c r="AE224" s="16">
        <v>2.7122000000000001E-6</v>
      </c>
      <c r="AF224" s="16">
        <v>0</v>
      </c>
      <c r="AG224" s="16">
        <v>0</v>
      </c>
      <c r="AH224" s="16">
        <v>0</v>
      </c>
      <c r="AI224" s="16">
        <v>6.3083999999999996E-6</v>
      </c>
      <c r="AJ224" s="16">
        <v>1.5795000000000001E-6</v>
      </c>
      <c r="AK224" s="16">
        <v>4.729E-6</v>
      </c>
      <c r="AL224" s="16">
        <v>-3.3920000000000002E-7</v>
      </c>
      <c r="AM224" s="16">
        <v>4.566E-7</v>
      </c>
      <c r="AN224" s="16">
        <v>-7.1011999999999999E-6</v>
      </c>
      <c r="AO224" s="16">
        <v>3.8442999999999998E-6</v>
      </c>
      <c r="AP224" s="16">
        <v>0</v>
      </c>
      <c r="AQ224" s="16">
        <v>0</v>
      </c>
      <c r="AR224" s="16">
        <v>0</v>
      </c>
      <c r="AS224" s="16">
        <v>0</v>
      </c>
      <c r="AT224" s="16">
        <v>0</v>
      </c>
      <c r="AU224" s="16">
        <v>0</v>
      </c>
      <c r="AV224" s="16">
        <v>0</v>
      </c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0</v>
      </c>
      <c r="BD224" s="16">
        <v>0</v>
      </c>
      <c r="BE224" s="16">
        <v>0</v>
      </c>
      <c r="BF224" s="16">
        <v>0</v>
      </c>
      <c r="BG224" s="16">
        <v>0</v>
      </c>
      <c r="BH224" s="16">
        <v>0</v>
      </c>
      <c r="BI224" s="16">
        <v>0</v>
      </c>
      <c r="BJ224" s="16">
        <v>7.3558800000000005E-5</v>
      </c>
      <c r="BK224" s="16"/>
      <c r="BL224" s="16">
        <v>2225869</v>
      </c>
      <c r="BM224" s="61" t="s">
        <v>1285</v>
      </c>
    </row>
    <row r="225" spans="5:65" x14ac:dyDescent="0.25">
      <c r="E225" s="7">
        <f>COUNTIFS(tblBOneExport[ISIN],tblBOneExport[[#This Row],[ISIN]],tblBOneExport[LEVEL1],"Bonds")</f>
        <v>1</v>
      </c>
      <c r="F225">
        <v>4547</v>
      </c>
      <c r="G225" s="155">
        <v>42947</v>
      </c>
      <c r="H225" s="155">
        <v>42978</v>
      </c>
      <c r="I225" t="s">
        <v>1819</v>
      </c>
      <c r="J225">
        <v>2259757</v>
      </c>
      <c r="K225" s="18" t="s">
        <v>1820</v>
      </c>
      <c r="L225" t="s">
        <v>651</v>
      </c>
      <c r="M225" t="s">
        <v>645</v>
      </c>
      <c r="N225" t="s">
        <v>492</v>
      </c>
      <c r="O225" t="s">
        <v>372</v>
      </c>
      <c r="P225" t="s">
        <v>1276</v>
      </c>
      <c r="Q225" t="s">
        <v>1277</v>
      </c>
      <c r="R225" t="s">
        <v>1278</v>
      </c>
      <c r="S225" t="s">
        <v>1306</v>
      </c>
      <c r="T225" t="s">
        <v>1307</v>
      </c>
      <c r="U225" t="s">
        <v>1307</v>
      </c>
      <c r="V225" t="s">
        <v>1332</v>
      </c>
      <c r="W225" t="s">
        <v>493</v>
      </c>
      <c r="X225" t="s">
        <v>1282</v>
      </c>
      <c r="Y225" s="154">
        <v>43070</v>
      </c>
      <c r="Z225" s="154">
        <v>43070</v>
      </c>
      <c r="AA225" t="s">
        <v>1432</v>
      </c>
      <c r="AB225" t="s">
        <v>1433</v>
      </c>
      <c r="AC225">
        <v>3.6200385000000001E-3</v>
      </c>
      <c r="AD225" s="16">
        <v>8.0354730000000004E-4</v>
      </c>
      <c r="AE225" s="16">
        <v>2.9284000000000002E-6</v>
      </c>
      <c r="AF225" s="16">
        <v>0</v>
      </c>
      <c r="AG225" s="16">
        <v>0</v>
      </c>
      <c r="AH225" s="16">
        <v>0</v>
      </c>
      <c r="AI225" s="16">
        <v>2.5936999999999998E-6</v>
      </c>
      <c r="AJ225" s="16">
        <v>5.0539999999999996E-7</v>
      </c>
      <c r="AK225" s="16">
        <v>2.0883E-6</v>
      </c>
      <c r="AL225" s="16">
        <v>-1.9859999999999999E-7</v>
      </c>
      <c r="AM225" s="16">
        <v>1.3470000000000001E-7</v>
      </c>
      <c r="AN225" s="16">
        <v>-1.8585000000000001E-6</v>
      </c>
      <c r="AO225" s="16">
        <v>2.3918999999999999E-6</v>
      </c>
      <c r="AP225" s="16">
        <v>0</v>
      </c>
      <c r="AQ225" s="16">
        <v>0</v>
      </c>
      <c r="AR225" s="16">
        <v>0</v>
      </c>
      <c r="AS225" s="16">
        <v>0</v>
      </c>
      <c r="AT225" s="16">
        <v>0</v>
      </c>
      <c r="AU225" s="16">
        <v>0</v>
      </c>
      <c r="AV225" s="16">
        <v>0</v>
      </c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0</v>
      </c>
      <c r="BD225" s="16">
        <v>0</v>
      </c>
      <c r="BE225" s="16">
        <v>0</v>
      </c>
      <c r="BF225" s="16">
        <v>0</v>
      </c>
      <c r="BG225" s="16">
        <v>0</v>
      </c>
      <c r="BH225" s="16">
        <v>0</v>
      </c>
      <c r="BI225" s="16">
        <v>0</v>
      </c>
      <c r="BJ225" s="16">
        <v>3.0097700000000002E-5</v>
      </c>
      <c r="BK225" s="16"/>
      <c r="BL225" s="16">
        <v>2259757</v>
      </c>
      <c r="BM225" s="61" t="s">
        <v>1285</v>
      </c>
    </row>
    <row r="226" spans="5:65" x14ac:dyDescent="0.25">
      <c r="E226" s="7">
        <f>COUNTIFS(tblBOneExport[ISIN],tblBOneExport[[#This Row],[ISIN]],tblBOneExport[LEVEL1],"Bonds")</f>
        <v>1</v>
      </c>
      <c r="F226">
        <v>4547</v>
      </c>
      <c r="G226" s="155">
        <v>42947</v>
      </c>
      <c r="H226" s="155">
        <v>42978</v>
      </c>
      <c r="I226" t="s">
        <v>1821</v>
      </c>
      <c r="J226">
        <v>2260375</v>
      </c>
      <c r="K226" s="18" t="s">
        <v>1822</v>
      </c>
      <c r="L226" t="s">
        <v>1068</v>
      </c>
      <c r="M226" t="s">
        <v>1069</v>
      </c>
      <c r="N226" t="s">
        <v>492</v>
      </c>
      <c r="O226" t="s">
        <v>372</v>
      </c>
      <c r="P226" t="s">
        <v>1276</v>
      </c>
      <c r="Q226" t="s">
        <v>1277</v>
      </c>
      <c r="R226" t="s">
        <v>1300</v>
      </c>
      <c r="S226" t="s">
        <v>1301</v>
      </c>
      <c r="T226" t="s">
        <v>1302</v>
      </c>
      <c r="U226" t="s">
        <v>1302</v>
      </c>
      <c r="V226" t="s">
        <v>1332</v>
      </c>
      <c r="W226" t="s">
        <v>493</v>
      </c>
      <c r="X226" t="s">
        <v>1282</v>
      </c>
      <c r="Y226" s="154">
        <v>43119</v>
      </c>
      <c r="Z226" s="154">
        <v>43119</v>
      </c>
      <c r="AA226" t="s">
        <v>1359</v>
      </c>
      <c r="AB226" t="s">
        <v>1360</v>
      </c>
      <c r="AC226">
        <v>2.5242537E-3</v>
      </c>
      <c r="AD226" s="16">
        <v>1.0368763E-3</v>
      </c>
      <c r="AE226" s="16">
        <v>2.6431000000000002E-6</v>
      </c>
      <c r="AF226" s="16">
        <v>0</v>
      </c>
      <c r="AG226" s="16">
        <v>0</v>
      </c>
      <c r="AH226" s="16">
        <v>0</v>
      </c>
      <c r="AI226" s="16">
        <v>1.3684999999999999E-6</v>
      </c>
      <c r="AJ226" s="16">
        <v>3.9270000000000002E-7</v>
      </c>
      <c r="AK226" s="16">
        <v>9.7580000000000004E-7</v>
      </c>
      <c r="AL226" s="16">
        <v>1.4709999999999999E-7</v>
      </c>
      <c r="AM226" s="16">
        <v>1.335E-7</v>
      </c>
      <c r="AN226" s="16">
        <v>1.1940999999999999E-6</v>
      </c>
      <c r="AO226" s="16">
        <v>-6.6600000000000001E-8</v>
      </c>
      <c r="AP226" s="16">
        <v>0</v>
      </c>
      <c r="AQ226" s="16">
        <v>0</v>
      </c>
      <c r="AR226" s="16">
        <v>0</v>
      </c>
      <c r="AS226" s="16">
        <v>0</v>
      </c>
      <c r="AT226" s="16">
        <v>0</v>
      </c>
      <c r="AU226" s="16">
        <v>0</v>
      </c>
      <c r="AV226" s="16">
        <v>0</v>
      </c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0</v>
      </c>
      <c r="BD226" s="16">
        <v>0</v>
      </c>
      <c r="BE226" s="16">
        <v>0</v>
      </c>
      <c r="BF226" s="16">
        <v>0</v>
      </c>
      <c r="BG226" s="16">
        <v>0</v>
      </c>
      <c r="BH226" s="16">
        <v>0</v>
      </c>
      <c r="BI226" s="16">
        <v>0</v>
      </c>
      <c r="BJ226" s="16">
        <v>1.0346100000000001E-5</v>
      </c>
      <c r="BK226" s="16"/>
      <c r="BL226" s="16">
        <v>2260375</v>
      </c>
      <c r="BM226" s="61" t="s">
        <v>1285</v>
      </c>
    </row>
    <row r="227" spans="5:65" x14ac:dyDescent="0.25">
      <c r="E227" s="7">
        <f>COUNTIFS(tblBOneExport[ISIN],tblBOneExport[[#This Row],[ISIN]],tblBOneExport[LEVEL1],"Bonds")</f>
        <v>1</v>
      </c>
      <c r="F227">
        <v>4547</v>
      </c>
      <c r="G227" s="155">
        <v>42947</v>
      </c>
      <c r="H227" s="155">
        <v>42978</v>
      </c>
      <c r="I227" t="s">
        <v>1823</v>
      </c>
      <c r="J227">
        <v>2322944</v>
      </c>
      <c r="K227" s="18" t="s">
        <v>1824</v>
      </c>
      <c r="L227" t="s">
        <v>969</v>
      </c>
      <c r="M227" t="s">
        <v>967</v>
      </c>
      <c r="N227" t="s">
        <v>492</v>
      </c>
      <c r="O227" t="s">
        <v>372</v>
      </c>
      <c r="P227" t="s">
        <v>1276</v>
      </c>
      <c r="Q227" t="s">
        <v>1330</v>
      </c>
      <c r="R227" t="s">
        <v>1331</v>
      </c>
      <c r="S227" t="s">
        <v>1331</v>
      </c>
      <c r="T227" t="s">
        <v>1331</v>
      </c>
      <c r="U227" t="s">
        <v>1331</v>
      </c>
      <c r="V227" t="s">
        <v>1353</v>
      </c>
      <c r="W227" t="s">
        <v>493</v>
      </c>
      <c r="X227" t="s">
        <v>1282</v>
      </c>
      <c r="Y227" s="154">
        <v>43166</v>
      </c>
      <c r="Z227" s="154">
        <v>43166</v>
      </c>
      <c r="AA227" t="s">
        <v>1294</v>
      </c>
      <c r="AB227" t="s">
        <v>1295</v>
      </c>
      <c r="AC227">
        <v>8.1458943999999991E-3</v>
      </c>
      <c r="AD227" s="16">
        <v>8.1793299999999996E-4</v>
      </c>
      <c r="AE227" s="16">
        <v>6.7272999999999999E-6</v>
      </c>
      <c r="AF227" s="16">
        <v>0</v>
      </c>
      <c r="AG227" s="16">
        <v>0</v>
      </c>
      <c r="AH227" s="16">
        <v>0</v>
      </c>
      <c r="AI227" s="16">
        <v>2.5314E-6</v>
      </c>
      <c r="AJ227" s="16">
        <v>1.3504E-6</v>
      </c>
      <c r="AK227" s="16">
        <v>1.1809E-6</v>
      </c>
      <c r="AL227" s="16">
        <v>1.5571000000000001E-6</v>
      </c>
      <c r="AM227" s="16">
        <v>2.16E-7</v>
      </c>
      <c r="AN227" s="16">
        <v>2.8868999999999998E-6</v>
      </c>
      <c r="AO227" s="16">
        <v>-2.481E-7</v>
      </c>
      <c r="AP227" s="16">
        <v>0</v>
      </c>
      <c r="AQ227" s="16">
        <v>0</v>
      </c>
      <c r="AR227" s="16">
        <v>0</v>
      </c>
      <c r="AS227" s="16">
        <v>0</v>
      </c>
      <c r="AT227" s="16">
        <v>0</v>
      </c>
      <c r="AU227" s="16">
        <v>0</v>
      </c>
      <c r="AV227" s="16">
        <v>0</v>
      </c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0</v>
      </c>
      <c r="BD227" s="16">
        <v>0</v>
      </c>
      <c r="BE227" s="16">
        <v>0</v>
      </c>
      <c r="BF227" s="16">
        <v>0</v>
      </c>
      <c r="BG227" s="16">
        <v>0</v>
      </c>
      <c r="BH227" s="16">
        <v>0</v>
      </c>
      <c r="BI227" s="16">
        <v>0</v>
      </c>
      <c r="BJ227" s="16">
        <v>1.14731E-5</v>
      </c>
      <c r="BK227" s="16"/>
      <c r="BL227" s="16">
        <v>2322944</v>
      </c>
      <c r="BM227" s="61" t="s">
        <v>1285</v>
      </c>
    </row>
    <row r="228" spans="5:65" x14ac:dyDescent="0.25">
      <c r="E228" s="7">
        <f>COUNTIFS(tblBOneExport[ISIN],tblBOneExport[[#This Row],[ISIN]],tblBOneExport[LEVEL1],"Bonds")</f>
        <v>1</v>
      </c>
      <c r="F228">
        <v>4547</v>
      </c>
      <c r="G228" s="155">
        <v>42947</v>
      </c>
      <c r="H228" s="155">
        <v>42978</v>
      </c>
      <c r="I228" t="s">
        <v>1825</v>
      </c>
      <c r="J228">
        <v>2354611</v>
      </c>
      <c r="K228" s="18" t="s">
        <v>1826</v>
      </c>
      <c r="L228" t="s">
        <v>1266</v>
      </c>
      <c r="M228" t="s">
        <v>1267</v>
      </c>
      <c r="N228" t="s">
        <v>492</v>
      </c>
      <c r="O228" t="s">
        <v>372</v>
      </c>
      <c r="P228" t="s">
        <v>1276</v>
      </c>
      <c r="Q228" t="s">
        <v>1277</v>
      </c>
      <c r="R228" t="s">
        <v>1278</v>
      </c>
      <c r="S228" t="s">
        <v>1306</v>
      </c>
      <c r="T228" t="s">
        <v>1827</v>
      </c>
      <c r="U228" t="s">
        <v>1827</v>
      </c>
      <c r="V228" t="s">
        <v>1288</v>
      </c>
      <c r="W228" t="s">
        <v>493</v>
      </c>
      <c r="X228" t="s">
        <v>1282</v>
      </c>
      <c r="Y228" s="154">
        <v>45854</v>
      </c>
      <c r="Z228" s="154">
        <v>45854</v>
      </c>
      <c r="AA228" t="s">
        <v>1359</v>
      </c>
      <c r="AB228" t="s">
        <v>1360</v>
      </c>
      <c r="AC228">
        <v>2.8862795E-3</v>
      </c>
      <c r="AD228" s="16">
        <v>1.49820431E-2</v>
      </c>
      <c r="AE228" s="16">
        <v>4.3248899999999999E-5</v>
      </c>
      <c r="AF228" s="16">
        <v>0</v>
      </c>
      <c r="AG228" s="16">
        <v>0</v>
      </c>
      <c r="AH228" s="16">
        <v>0</v>
      </c>
      <c r="AI228" s="16">
        <v>5.8034000000000002E-6</v>
      </c>
      <c r="AJ228" s="16">
        <v>2.0671000000000001E-6</v>
      </c>
      <c r="AK228" s="16">
        <v>3.7363000000000001E-6</v>
      </c>
      <c r="AL228" s="16">
        <v>3.86821E-5</v>
      </c>
      <c r="AM228" s="16">
        <v>1.9921E-6</v>
      </c>
      <c r="AN228" s="16">
        <v>-1.4287E-6</v>
      </c>
      <c r="AO228" s="16">
        <v>1.9219999999999999E-7</v>
      </c>
      <c r="AP228" s="16">
        <v>0</v>
      </c>
      <c r="AQ228" s="16">
        <v>0</v>
      </c>
      <c r="AR228" s="16">
        <v>0</v>
      </c>
      <c r="AS228" s="16">
        <v>0</v>
      </c>
      <c r="AT228" s="16">
        <v>0</v>
      </c>
      <c r="AU228" s="16">
        <v>0</v>
      </c>
      <c r="AV228" s="16">
        <v>0</v>
      </c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0</v>
      </c>
      <c r="BD228" s="16">
        <v>0</v>
      </c>
      <c r="BE228" s="16">
        <v>0</v>
      </c>
      <c r="BF228" s="16">
        <v>0</v>
      </c>
      <c r="BG228" s="16">
        <v>0</v>
      </c>
      <c r="BH228" s="16">
        <v>0</v>
      </c>
      <c r="BI228" s="16">
        <v>0</v>
      </c>
      <c r="BJ228" s="16">
        <v>4.4044800000000002E-5</v>
      </c>
      <c r="BK228" s="16"/>
      <c r="BL228" s="16">
        <v>2354611</v>
      </c>
      <c r="BM228" s="61" t="s">
        <v>1285</v>
      </c>
    </row>
    <row r="229" spans="5:65" x14ac:dyDescent="0.25">
      <c r="E229" s="7">
        <f>COUNTIFS(tblBOneExport[ISIN],tblBOneExport[[#This Row],[ISIN]],tblBOneExport[LEVEL1],"Bonds")</f>
        <v>1</v>
      </c>
      <c r="F229">
        <v>4547</v>
      </c>
      <c r="G229" s="155">
        <v>42947</v>
      </c>
      <c r="H229" s="155">
        <v>42978</v>
      </c>
      <c r="I229" t="s">
        <v>1828</v>
      </c>
      <c r="J229">
        <v>2352603</v>
      </c>
      <c r="K229" s="18" t="s">
        <v>1829</v>
      </c>
      <c r="L229" t="s">
        <v>1030</v>
      </c>
      <c r="M229" t="s">
        <v>1031</v>
      </c>
      <c r="N229" t="s">
        <v>492</v>
      </c>
      <c r="O229" t="s">
        <v>372</v>
      </c>
      <c r="P229" t="s">
        <v>1276</v>
      </c>
      <c r="Q229" t="s">
        <v>1277</v>
      </c>
      <c r="R229" t="s">
        <v>1278</v>
      </c>
      <c r="S229" t="s">
        <v>1306</v>
      </c>
      <c r="T229" t="s">
        <v>1307</v>
      </c>
      <c r="U229" t="s">
        <v>1307</v>
      </c>
      <c r="V229" t="s">
        <v>1293</v>
      </c>
      <c r="W229" t="s">
        <v>493</v>
      </c>
      <c r="X229" t="s">
        <v>1282</v>
      </c>
      <c r="Y229" s="154">
        <v>43249</v>
      </c>
      <c r="Z229" s="154">
        <v>43249</v>
      </c>
      <c r="AA229" t="s">
        <v>1294</v>
      </c>
      <c r="AB229" t="s">
        <v>1295</v>
      </c>
      <c r="AC229">
        <v>9.1396633999999994E-3</v>
      </c>
      <c r="AD229" s="16">
        <v>1.2039240999999999E-3</v>
      </c>
      <c r="AE229" s="16">
        <v>1.11038E-5</v>
      </c>
      <c r="AF229" s="16">
        <v>0</v>
      </c>
      <c r="AG229" s="16">
        <v>0</v>
      </c>
      <c r="AH229" s="16">
        <v>0</v>
      </c>
      <c r="AI229" s="16">
        <v>5.6007999999999998E-6</v>
      </c>
      <c r="AJ229" s="16">
        <v>1.6023000000000001E-6</v>
      </c>
      <c r="AK229" s="16">
        <v>3.9983999999999997E-6</v>
      </c>
      <c r="AL229" s="16">
        <v>6.8711000000000002E-6</v>
      </c>
      <c r="AM229" s="16">
        <v>3.3379999999999998E-7</v>
      </c>
      <c r="AN229" s="16">
        <v>-6.0199999999999996E-8</v>
      </c>
      <c r="AO229" s="16">
        <v>-1.3079E-6</v>
      </c>
      <c r="AP229" s="16">
        <v>0</v>
      </c>
      <c r="AQ229" s="16">
        <v>0</v>
      </c>
      <c r="AR229" s="16">
        <v>0</v>
      </c>
      <c r="AS229" s="16">
        <v>0</v>
      </c>
      <c r="AT229" s="16">
        <v>0</v>
      </c>
      <c r="AU229" s="16">
        <v>0</v>
      </c>
      <c r="AV229" s="16">
        <v>0</v>
      </c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0</v>
      </c>
      <c r="BD229" s="16">
        <v>0</v>
      </c>
      <c r="BE229" s="16">
        <v>0</v>
      </c>
      <c r="BF229" s="16">
        <v>0</v>
      </c>
      <c r="BG229" s="16">
        <v>0</v>
      </c>
      <c r="BH229" s="16">
        <v>0</v>
      </c>
      <c r="BI229" s="16">
        <v>0</v>
      </c>
      <c r="BJ229" s="16">
        <v>4.6331400000000002E-5</v>
      </c>
      <c r="BK229" s="16"/>
      <c r="BL229" s="16">
        <v>2352603</v>
      </c>
      <c r="BM229" s="61" t="s">
        <v>1285</v>
      </c>
    </row>
    <row r="230" spans="5:65" x14ac:dyDescent="0.25">
      <c r="E230" s="7">
        <f>COUNTIFS(tblBOneExport[ISIN],tblBOneExport[[#This Row],[ISIN]],tblBOneExport[LEVEL1],"Bonds")</f>
        <v>1</v>
      </c>
      <c r="F230">
        <v>4547</v>
      </c>
      <c r="G230" s="155">
        <v>42947</v>
      </c>
      <c r="H230" s="155">
        <v>42978</v>
      </c>
      <c r="I230" t="s">
        <v>1830</v>
      </c>
      <c r="J230">
        <v>2353590</v>
      </c>
      <c r="K230" s="18" t="s">
        <v>1831</v>
      </c>
      <c r="L230" t="s">
        <v>597</v>
      </c>
      <c r="M230" t="s">
        <v>595</v>
      </c>
      <c r="N230" t="s">
        <v>492</v>
      </c>
      <c r="O230" t="s">
        <v>372</v>
      </c>
      <c r="P230" t="s">
        <v>1276</v>
      </c>
      <c r="Q230" t="s">
        <v>1277</v>
      </c>
      <c r="R230" t="s">
        <v>1278</v>
      </c>
      <c r="S230" t="s">
        <v>1306</v>
      </c>
      <c r="T230" t="s">
        <v>1307</v>
      </c>
      <c r="U230" t="s">
        <v>1307</v>
      </c>
      <c r="V230" t="s">
        <v>1293</v>
      </c>
      <c r="W230" t="s">
        <v>493</v>
      </c>
      <c r="X230" t="s">
        <v>1282</v>
      </c>
      <c r="Y230" s="154">
        <v>44011</v>
      </c>
      <c r="Z230" s="154">
        <v>44011</v>
      </c>
      <c r="AA230" t="s">
        <v>1294</v>
      </c>
      <c r="AB230" t="s">
        <v>1295</v>
      </c>
      <c r="AC230">
        <v>9.2774732000000006E-3</v>
      </c>
      <c r="AD230" s="16">
        <v>2.8160757000000002E-3</v>
      </c>
      <c r="AE230" s="16">
        <v>2.63253E-5</v>
      </c>
      <c r="AF230" s="16">
        <v>0</v>
      </c>
      <c r="AG230" s="16">
        <v>0</v>
      </c>
      <c r="AH230" s="16">
        <v>0</v>
      </c>
      <c r="AI230" s="16">
        <v>7.2613000000000003E-6</v>
      </c>
      <c r="AJ230" s="16">
        <v>1.9057E-6</v>
      </c>
      <c r="AK230" s="16">
        <v>5.3556E-6</v>
      </c>
      <c r="AL230" s="16">
        <v>3.0151400000000001E-5</v>
      </c>
      <c r="AM230" s="16">
        <v>7.4150000000000002E-7</v>
      </c>
      <c r="AN230" s="16">
        <v>-8.7788999999999999E-6</v>
      </c>
      <c r="AO230" s="16">
        <v>-2.3085E-6</v>
      </c>
      <c r="AP230" s="16">
        <v>0</v>
      </c>
      <c r="AQ230" s="16">
        <v>0</v>
      </c>
      <c r="AR230" s="16">
        <v>0</v>
      </c>
      <c r="AS230" s="16">
        <v>0</v>
      </c>
      <c r="AT230" s="16">
        <v>0</v>
      </c>
      <c r="AU230" s="16">
        <v>0</v>
      </c>
      <c r="AV230" s="16">
        <v>0</v>
      </c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0</v>
      </c>
      <c r="BD230" s="16">
        <v>0</v>
      </c>
      <c r="BE230" s="16">
        <v>0</v>
      </c>
      <c r="BF230" s="16">
        <v>0</v>
      </c>
      <c r="BG230" s="16">
        <v>0</v>
      </c>
      <c r="BH230" s="16">
        <v>0</v>
      </c>
      <c r="BI230" s="16">
        <v>0</v>
      </c>
      <c r="BJ230" s="16">
        <v>6.3156000000000003E-5</v>
      </c>
      <c r="BK230" s="16"/>
      <c r="BL230" s="16">
        <v>2353590</v>
      </c>
      <c r="BM230" s="61" t="s">
        <v>1285</v>
      </c>
    </row>
    <row r="231" spans="5:65" x14ac:dyDescent="0.25">
      <c r="E231" s="7">
        <f>COUNTIFS(tblBOneExport[ISIN],tblBOneExport[[#This Row],[ISIN]],tblBOneExport[LEVEL1],"Bonds")</f>
        <v>1</v>
      </c>
      <c r="F231">
        <v>4547</v>
      </c>
      <c r="G231" s="155">
        <v>42947</v>
      </c>
      <c r="H231" s="155">
        <v>42978</v>
      </c>
      <c r="I231" t="s">
        <v>1832</v>
      </c>
      <c r="J231">
        <v>2378111</v>
      </c>
      <c r="K231" s="18" t="s">
        <v>1833</v>
      </c>
      <c r="L231" t="s">
        <v>1214</v>
      </c>
      <c r="M231" t="s">
        <v>1215</v>
      </c>
      <c r="N231" t="s">
        <v>492</v>
      </c>
      <c r="O231" t="s">
        <v>372</v>
      </c>
      <c r="P231" t="s">
        <v>1276</v>
      </c>
      <c r="Q231" t="s">
        <v>1277</v>
      </c>
      <c r="R231" t="s">
        <v>1278</v>
      </c>
      <c r="S231" t="s">
        <v>1717</v>
      </c>
      <c r="T231" t="s">
        <v>1717</v>
      </c>
      <c r="U231" t="s">
        <v>1717</v>
      </c>
      <c r="V231" t="s">
        <v>1303</v>
      </c>
      <c r="W231" t="s">
        <v>493</v>
      </c>
      <c r="X231" t="s">
        <v>1282</v>
      </c>
      <c r="Y231" s="154">
        <v>56698</v>
      </c>
      <c r="Z231" s="154">
        <v>56790</v>
      </c>
      <c r="AA231" t="s">
        <v>1359</v>
      </c>
      <c r="AB231" t="s">
        <v>1360</v>
      </c>
      <c r="AC231">
        <v>9.6462322999999999E-3</v>
      </c>
      <c r="AD231" s="16">
        <v>3.9218516000000002E-2</v>
      </c>
      <c r="AE231" s="16">
        <v>3.7297330000000002E-4</v>
      </c>
      <c r="AF231" s="16">
        <v>0</v>
      </c>
      <c r="AG231" s="16">
        <v>0</v>
      </c>
      <c r="AH231" s="16">
        <v>0</v>
      </c>
      <c r="AI231" s="16">
        <v>1.8748599999999999E-5</v>
      </c>
      <c r="AJ231" s="16">
        <v>1.3400800000000001E-5</v>
      </c>
      <c r="AK231" s="16">
        <v>5.3477999999999999E-6</v>
      </c>
      <c r="AL231" s="16">
        <v>3.1855929999999999E-4</v>
      </c>
      <c r="AM231" s="16">
        <v>-2.5303999999999999E-6</v>
      </c>
      <c r="AN231" s="16">
        <v>2.1889799999999998E-5</v>
      </c>
      <c r="AO231" s="16">
        <v>1.3775600000000001E-5</v>
      </c>
      <c r="AP231" s="16">
        <v>0</v>
      </c>
      <c r="AQ231" s="16">
        <v>0</v>
      </c>
      <c r="AR231" s="16">
        <v>0</v>
      </c>
      <c r="AS231" s="16">
        <v>0</v>
      </c>
      <c r="AT231" s="16">
        <v>0</v>
      </c>
      <c r="AU231" s="16">
        <v>0</v>
      </c>
      <c r="AV231" s="16">
        <v>0</v>
      </c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0</v>
      </c>
      <c r="BD231" s="16">
        <v>0</v>
      </c>
      <c r="BE231" s="16">
        <v>0</v>
      </c>
      <c r="BF231" s="16">
        <v>0</v>
      </c>
      <c r="BG231" s="16">
        <v>0</v>
      </c>
      <c r="BH231" s="16">
        <v>0</v>
      </c>
      <c r="BI231" s="16">
        <v>0</v>
      </c>
      <c r="BJ231" s="16">
        <v>6.2727700000000006E-5</v>
      </c>
      <c r="BK231" s="16"/>
      <c r="BL231" s="16">
        <v>2378111</v>
      </c>
      <c r="BM231" s="61" t="s">
        <v>1285</v>
      </c>
    </row>
    <row r="232" spans="5:65" x14ac:dyDescent="0.25">
      <c r="E232" s="7">
        <f>COUNTIFS(tblBOneExport[ISIN],tblBOneExport[[#This Row],[ISIN]],tblBOneExport[LEVEL1],"Bonds")</f>
        <v>1</v>
      </c>
      <c r="F232">
        <v>4547</v>
      </c>
      <c r="G232" s="155">
        <v>42947</v>
      </c>
      <c r="H232" s="155">
        <v>42978</v>
      </c>
      <c r="I232" t="s">
        <v>1834</v>
      </c>
      <c r="J232">
        <v>2511447</v>
      </c>
      <c r="K232" s="18" t="s">
        <v>1835</v>
      </c>
      <c r="L232" t="s">
        <v>972</v>
      </c>
      <c r="M232" t="s">
        <v>973</v>
      </c>
      <c r="N232" t="s">
        <v>492</v>
      </c>
      <c r="O232" t="s">
        <v>372</v>
      </c>
      <c r="P232" t="s">
        <v>1276</v>
      </c>
      <c r="Q232" t="s">
        <v>1277</v>
      </c>
      <c r="R232" t="s">
        <v>1278</v>
      </c>
      <c r="S232" t="s">
        <v>1279</v>
      </c>
      <c r="T232" t="s">
        <v>1280</v>
      </c>
      <c r="U232" t="s">
        <v>1280</v>
      </c>
      <c r="V232" t="s">
        <v>1408</v>
      </c>
      <c r="W232" t="s">
        <v>493</v>
      </c>
      <c r="X232" t="s">
        <v>1282</v>
      </c>
      <c r="Y232" s="154">
        <v>44174</v>
      </c>
      <c r="Z232" s="154">
        <v>44174</v>
      </c>
      <c r="AA232" t="s">
        <v>1308</v>
      </c>
      <c r="AB232" t="s">
        <v>1309</v>
      </c>
      <c r="AC232">
        <v>2.0597047000000001E-3</v>
      </c>
      <c r="AD232" s="16">
        <v>4.1748193000000003E-3</v>
      </c>
      <c r="AE232" s="16">
        <v>8.6595000000000007E-6</v>
      </c>
      <c r="AF232" s="16">
        <v>0</v>
      </c>
      <c r="AG232" s="16">
        <v>0</v>
      </c>
      <c r="AH232" s="16">
        <v>0</v>
      </c>
      <c r="AI232" s="16">
        <v>1.1998999999999999E-6</v>
      </c>
      <c r="AJ232" s="16">
        <v>4.6629999999999999E-7</v>
      </c>
      <c r="AK232" s="16">
        <v>7.3359999999999995E-7</v>
      </c>
      <c r="AL232" s="16">
        <v>8.1526000000000005E-6</v>
      </c>
      <c r="AM232" s="16">
        <v>3.4620000000000002E-7</v>
      </c>
      <c r="AN232" s="16">
        <v>-9.9189999999999998E-7</v>
      </c>
      <c r="AO232" s="16">
        <v>2.9900000000000002E-7</v>
      </c>
      <c r="AP232" s="16">
        <v>0</v>
      </c>
      <c r="AQ232" s="16">
        <v>0</v>
      </c>
      <c r="AR232" s="16">
        <v>0</v>
      </c>
      <c r="AS232" s="16">
        <v>0</v>
      </c>
      <c r="AT232" s="16">
        <v>0</v>
      </c>
      <c r="AU232" s="16">
        <v>0</v>
      </c>
      <c r="AV232" s="16">
        <v>0</v>
      </c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0</v>
      </c>
      <c r="BD232" s="16">
        <v>0</v>
      </c>
      <c r="BE232" s="16">
        <v>0</v>
      </c>
      <c r="BF232" s="16">
        <v>0</v>
      </c>
      <c r="BG232" s="16">
        <v>0</v>
      </c>
      <c r="BH232" s="16">
        <v>0</v>
      </c>
      <c r="BI232" s="16">
        <v>0</v>
      </c>
      <c r="BJ232" s="16">
        <v>8.6592E-6</v>
      </c>
      <c r="BK232" s="16"/>
      <c r="BL232" s="16">
        <v>2511447</v>
      </c>
      <c r="BM232" s="61" t="s">
        <v>1285</v>
      </c>
    </row>
    <row r="233" spans="5:65" x14ac:dyDescent="0.25">
      <c r="E233" s="7">
        <f>COUNTIFS(tblBOneExport[ISIN],tblBOneExport[[#This Row],[ISIN]],tblBOneExport[LEVEL1],"Bonds")</f>
        <v>1</v>
      </c>
      <c r="F233">
        <v>4547</v>
      </c>
      <c r="G233" s="155">
        <v>42947</v>
      </c>
      <c r="H233" s="155">
        <v>42978</v>
      </c>
      <c r="I233" t="s">
        <v>1836</v>
      </c>
      <c r="J233">
        <v>2562331</v>
      </c>
      <c r="K233" s="18" t="s">
        <v>1837</v>
      </c>
      <c r="L233" t="s">
        <v>624</v>
      </c>
      <c r="M233" t="s">
        <v>625</v>
      </c>
      <c r="N233" t="s">
        <v>492</v>
      </c>
      <c r="O233" t="s">
        <v>372</v>
      </c>
      <c r="P233" t="s">
        <v>1276</v>
      </c>
      <c r="Q233" t="s">
        <v>1277</v>
      </c>
      <c r="R233" t="s">
        <v>1278</v>
      </c>
      <c r="S233" t="s">
        <v>1717</v>
      </c>
      <c r="T233" t="s">
        <v>1717</v>
      </c>
      <c r="U233" t="s">
        <v>1717</v>
      </c>
      <c r="V233" t="s">
        <v>1303</v>
      </c>
      <c r="W233" t="s">
        <v>493</v>
      </c>
      <c r="X233" t="s">
        <v>1282</v>
      </c>
      <c r="Y233" s="154">
        <v>56955</v>
      </c>
      <c r="Z233" s="154">
        <v>56955</v>
      </c>
      <c r="AA233" t="s">
        <v>1359</v>
      </c>
      <c r="AB233" t="s">
        <v>1360</v>
      </c>
      <c r="AC233">
        <v>5.0578491000000001E-3</v>
      </c>
      <c r="AD233" s="16">
        <v>3.6798753599999998E-2</v>
      </c>
      <c r="AE233" s="16">
        <v>1.838349E-4</v>
      </c>
      <c r="AF233" s="16">
        <v>0</v>
      </c>
      <c r="AG233" s="16">
        <v>0</v>
      </c>
      <c r="AH233" s="16">
        <v>0</v>
      </c>
      <c r="AI233" s="16">
        <v>9.8076000000000008E-6</v>
      </c>
      <c r="AJ233" s="16">
        <v>7.0009000000000002E-6</v>
      </c>
      <c r="AK233" s="16">
        <v>2.8068E-6</v>
      </c>
      <c r="AL233" s="16">
        <v>1.7182260000000001E-4</v>
      </c>
      <c r="AM233" s="16">
        <v>-1.3734000000000001E-6</v>
      </c>
      <c r="AN233" s="16">
        <v>6.5007000000000003E-6</v>
      </c>
      <c r="AO233" s="16">
        <v>-4.2961999999999996E-6</v>
      </c>
      <c r="AP233" s="16">
        <v>0</v>
      </c>
      <c r="AQ233" s="16">
        <v>0</v>
      </c>
      <c r="AR233" s="16">
        <v>0</v>
      </c>
      <c r="AS233" s="16">
        <v>0</v>
      </c>
      <c r="AT233" s="16">
        <v>0</v>
      </c>
      <c r="AU233" s="16">
        <v>0</v>
      </c>
      <c r="AV233" s="16">
        <v>0</v>
      </c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0</v>
      </c>
      <c r="BD233" s="16">
        <v>0</v>
      </c>
      <c r="BE233" s="16">
        <v>0</v>
      </c>
      <c r="BF233" s="16">
        <v>0</v>
      </c>
      <c r="BG233" s="16">
        <v>0</v>
      </c>
      <c r="BH233" s="16">
        <v>0</v>
      </c>
      <c r="BI233" s="16">
        <v>0</v>
      </c>
      <c r="BJ233" s="16">
        <v>3.2512699999999998E-5</v>
      </c>
      <c r="BK233" s="16"/>
      <c r="BL233" s="16">
        <v>2562331</v>
      </c>
      <c r="BM233" s="61" t="s">
        <v>1285</v>
      </c>
    </row>
    <row r="234" spans="5:65" x14ac:dyDescent="0.25">
      <c r="E234" s="7">
        <f>COUNTIFS(tblBOneExport[ISIN],tblBOneExport[[#This Row],[ISIN]],tblBOneExport[LEVEL1],"Bonds")</f>
        <v>1</v>
      </c>
      <c r="F234">
        <v>4547</v>
      </c>
      <c r="G234" s="155">
        <v>42947</v>
      </c>
      <c r="H234" s="155">
        <v>42978</v>
      </c>
      <c r="I234" t="s">
        <v>1838</v>
      </c>
      <c r="J234">
        <v>2553265</v>
      </c>
      <c r="K234" s="18" t="s">
        <v>1839</v>
      </c>
      <c r="L234" t="s">
        <v>1001</v>
      </c>
      <c r="M234" t="s">
        <v>999</v>
      </c>
      <c r="N234" t="s">
        <v>492</v>
      </c>
      <c r="O234" t="s">
        <v>372</v>
      </c>
      <c r="P234" t="s">
        <v>1276</v>
      </c>
      <c r="Q234" t="s">
        <v>1330</v>
      </c>
      <c r="R234" t="s">
        <v>1352</v>
      </c>
      <c r="S234" t="s">
        <v>1352</v>
      </c>
      <c r="T234" t="s">
        <v>1352</v>
      </c>
      <c r="U234" t="s">
        <v>1352</v>
      </c>
      <c r="V234" t="s">
        <v>1353</v>
      </c>
      <c r="W234" t="s">
        <v>493</v>
      </c>
      <c r="X234" t="s">
        <v>1282</v>
      </c>
      <c r="Y234" s="154">
        <v>43531</v>
      </c>
      <c r="Z234" s="154">
        <v>43531</v>
      </c>
      <c r="AA234" t="s">
        <v>1354</v>
      </c>
      <c r="AB234" t="s">
        <v>1355</v>
      </c>
      <c r="AC234">
        <v>2.4349589999999999E-4</v>
      </c>
      <c r="AD234" s="16">
        <v>1.7459738999999999E-3</v>
      </c>
      <c r="AE234" s="16">
        <v>4.284E-7</v>
      </c>
      <c r="AF234" s="16">
        <v>0</v>
      </c>
      <c r="AG234" s="16">
        <v>0</v>
      </c>
      <c r="AH234" s="16">
        <v>0</v>
      </c>
      <c r="AI234" s="16">
        <v>9.76E-8</v>
      </c>
      <c r="AJ234" s="16">
        <v>4.43E-8</v>
      </c>
      <c r="AK234" s="16">
        <v>5.3300000000000001E-8</v>
      </c>
      <c r="AL234" s="16">
        <v>4.4939999999999999E-7</v>
      </c>
      <c r="AM234" s="16">
        <v>-1.0000000000000001E-9</v>
      </c>
      <c r="AN234" s="16">
        <v>-1.076E-7</v>
      </c>
      <c r="AO234" s="16">
        <v>-1.0999999999999999E-8</v>
      </c>
      <c r="AP234" s="16">
        <v>0</v>
      </c>
      <c r="AQ234" s="16">
        <v>0</v>
      </c>
      <c r="AR234" s="16">
        <v>0</v>
      </c>
      <c r="AS234" s="16">
        <v>0</v>
      </c>
      <c r="AT234" s="16">
        <v>0</v>
      </c>
      <c r="AU234" s="16">
        <v>0</v>
      </c>
      <c r="AV234" s="16">
        <v>0</v>
      </c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0</v>
      </c>
      <c r="BD234" s="16">
        <v>0</v>
      </c>
      <c r="BE234" s="16">
        <v>0</v>
      </c>
      <c r="BF234" s="16">
        <v>0</v>
      </c>
      <c r="BG234" s="16">
        <v>0</v>
      </c>
      <c r="BH234" s="16">
        <v>0</v>
      </c>
      <c r="BI234" s="16">
        <v>0</v>
      </c>
      <c r="BJ234" s="16">
        <v>6.567E-7</v>
      </c>
      <c r="BK234" s="16"/>
      <c r="BL234" s="16">
        <v>2553265</v>
      </c>
      <c r="BM234" s="61" t="s">
        <v>1285</v>
      </c>
    </row>
    <row r="235" spans="5:65" x14ac:dyDescent="0.25">
      <c r="E235" s="7">
        <f>COUNTIFS(tblBOneExport[ISIN],tblBOneExport[[#This Row],[ISIN]],tblBOneExport[LEVEL1],"Bonds")</f>
        <v>1</v>
      </c>
      <c r="F235">
        <v>4547</v>
      </c>
      <c r="G235" s="155">
        <v>42947</v>
      </c>
      <c r="H235" s="155">
        <v>42978</v>
      </c>
      <c r="I235" t="s">
        <v>1840</v>
      </c>
      <c r="J235">
        <v>2613723</v>
      </c>
      <c r="K235" s="18" t="s">
        <v>1841</v>
      </c>
      <c r="L235" t="s">
        <v>653</v>
      </c>
      <c r="M235" t="s">
        <v>645</v>
      </c>
      <c r="N235" t="s">
        <v>492</v>
      </c>
      <c r="O235" t="s">
        <v>372</v>
      </c>
      <c r="P235" t="s">
        <v>1276</v>
      </c>
      <c r="Q235" t="s">
        <v>1277</v>
      </c>
      <c r="R235" t="s">
        <v>1278</v>
      </c>
      <c r="S235" t="s">
        <v>1306</v>
      </c>
      <c r="T235" t="s">
        <v>1307</v>
      </c>
      <c r="U235" t="s">
        <v>1307</v>
      </c>
      <c r="V235" t="s">
        <v>1332</v>
      </c>
      <c r="W235" t="s">
        <v>493</v>
      </c>
      <c r="X235" t="s">
        <v>1282</v>
      </c>
      <c r="Y235" s="154">
        <v>44719</v>
      </c>
      <c r="Z235" s="154">
        <v>44719</v>
      </c>
      <c r="AA235" t="s">
        <v>1432</v>
      </c>
      <c r="AB235" t="s">
        <v>1433</v>
      </c>
      <c r="AC235">
        <v>4.1022089999999999E-3</v>
      </c>
      <c r="AD235" s="16">
        <v>6.4444966000000003E-3</v>
      </c>
      <c r="AE235" s="16">
        <v>2.6601499999999999E-5</v>
      </c>
      <c r="AF235" s="16">
        <v>0</v>
      </c>
      <c r="AG235" s="16">
        <v>0</v>
      </c>
      <c r="AH235" s="16">
        <v>0</v>
      </c>
      <c r="AI235" s="16">
        <v>4.5314000000000004E-6</v>
      </c>
      <c r="AJ235" s="16">
        <v>1.6062E-6</v>
      </c>
      <c r="AK235" s="16">
        <v>2.9252E-6</v>
      </c>
      <c r="AL235" s="16">
        <v>3.03193E-5</v>
      </c>
      <c r="AM235" s="16">
        <v>3.0361E-6</v>
      </c>
      <c r="AN235" s="16">
        <v>-8.6490999999999999E-6</v>
      </c>
      <c r="AO235" s="16">
        <v>3.9989999999999997E-7</v>
      </c>
      <c r="AP235" s="16">
        <v>0</v>
      </c>
      <c r="AQ235" s="16">
        <v>0</v>
      </c>
      <c r="AR235" s="16">
        <v>0</v>
      </c>
      <c r="AS235" s="16">
        <v>0</v>
      </c>
      <c r="AT235" s="16">
        <v>0</v>
      </c>
      <c r="AU235" s="16">
        <v>0</v>
      </c>
      <c r="AV235" s="16">
        <v>0</v>
      </c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0</v>
      </c>
      <c r="BD235" s="16">
        <v>0</v>
      </c>
      <c r="BE235" s="16">
        <v>0</v>
      </c>
      <c r="BF235" s="16">
        <v>0</v>
      </c>
      <c r="BG235" s="16">
        <v>0</v>
      </c>
      <c r="BH235" s="16">
        <v>0</v>
      </c>
      <c r="BI235" s="16">
        <v>0</v>
      </c>
      <c r="BJ235" s="16">
        <v>3.5537999999999998E-5</v>
      </c>
      <c r="BK235" s="16"/>
      <c r="BL235" s="16">
        <v>2613723</v>
      </c>
      <c r="BM235" s="61" t="s">
        <v>1285</v>
      </c>
    </row>
    <row r="236" spans="5:65" x14ac:dyDescent="0.25">
      <c r="E236" s="7">
        <f>COUNTIFS(tblBOneExport[ISIN],tblBOneExport[[#This Row],[ISIN]],tblBOneExport[LEVEL1],"Bonds")</f>
        <v>1</v>
      </c>
      <c r="F236">
        <v>4547</v>
      </c>
      <c r="G236" s="155">
        <v>42947</v>
      </c>
      <c r="H236" s="155">
        <v>42978</v>
      </c>
      <c r="I236" t="s">
        <v>1842</v>
      </c>
      <c r="J236">
        <v>2701428</v>
      </c>
      <c r="K236" s="18" t="s">
        <v>1843</v>
      </c>
      <c r="L236" t="s">
        <v>620</v>
      </c>
      <c r="M236" t="s">
        <v>621</v>
      </c>
      <c r="N236" t="s">
        <v>492</v>
      </c>
      <c r="O236" t="s">
        <v>372</v>
      </c>
      <c r="P236" t="s">
        <v>1276</v>
      </c>
      <c r="Q236" t="s">
        <v>1277</v>
      </c>
      <c r="R236" t="s">
        <v>1278</v>
      </c>
      <c r="S236" t="s">
        <v>1279</v>
      </c>
      <c r="T236" t="s">
        <v>1280</v>
      </c>
      <c r="U236" t="s">
        <v>1280</v>
      </c>
      <c r="V236" t="s">
        <v>1332</v>
      </c>
      <c r="W236" t="s">
        <v>493</v>
      </c>
      <c r="X236" t="s">
        <v>1282</v>
      </c>
      <c r="Y236" s="154">
        <v>46850</v>
      </c>
      <c r="Z236" s="154">
        <v>46850</v>
      </c>
      <c r="AA236" t="s">
        <v>1308</v>
      </c>
      <c r="AB236" t="s">
        <v>1309</v>
      </c>
      <c r="AC236">
        <v>8.5527989000000002E-3</v>
      </c>
      <c r="AD236" s="16">
        <v>1.8799057399999999E-2</v>
      </c>
      <c r="AE236" s="16">
        <v>1.603969E-4</v>
      </c>
      <c r="AF236" s="16">
        <v>0</v>
      </c>
      <c r="AG236" s="16">
        <v>0</v>
      </c>
      <c r="AH236" s="16">
        <v>0</v>
      </c>
      <c r="AI236" s="16">
        <v>1.63107E-5</v>
      </c>
      <c r="AJ236" s="16">
        <v>8.5214999999999996E-6</v>
      </c>
      <c r="AK236" s="16">
        <v>7.7891999999999999E-6</v>
      </c>
      <c r="AL236" s="16">
        <v>1.623025E-4</v>
      </c>
      <c r="AM236" s="16">
        <v>8.6354000000000004E-6</v>
      </c>
      <c r="AN236" s="16">
        <v>-2.1139299999999999E-5</v>
      </c>
      <c r="AO236" s="16">
        <v>2.9229999999999998E-6</v>
      </c>
      <c r="AP236" s="16">
        <v>0</v>
      </c>
      <c r="AQ236" s="16">
        <v>0</v>
      </c>
      <c r="AR236" s="16">
        <v>0</v>
      </c>
      <c r="AS236" s="16">
        <v>0</v>
      </c>
      <c r="AT236" s="16">
        <v>0</v>
      </c>
      <c r="AU236" s="16">
        <v>0</v>
      </c>
      <c r="AV236" s="16">
        <v>0</v>
      </c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0</v>
      </c>
      <c r="BD236" s="16">
        <v>0</v>
      </c>
      <c r="BE236" s="16">
        <v>0</v>
      </c>
      <c r="BF236" s="16">
        <v>0</v>
      </c>
      <c r="BG236" s="16">
        <v>0</v>
      </c>
      <c r="BH236" s="16">
        <v>0</v>
      </c>
      <c r="BI236" s="16">
        <v>0</v>
      </c>
      <c r="BJ236" s="16">
        <v>9.3424600000000007E-5</v>
      </c>
      <c r="BK236" s="16"/>
      <c r="BL236" s="16">
        <v>2701428</v>
      </c>
      <c r="BM236" s="61" t="s">
        <v>1285</v>
      </c>
    </row>
    <row r="237" spans="5:65" x14ac:dyDescent="0.25">
      <c r="E237" s="7">
        <f>COUNTIFS(tblBOneExport[ISIN],tblBOneExport[[#This Row],[ISIN]],tblBOneExport[LEVEL1],"Bonds")</f>
        <v>1</v>
      </c>
      <c r="F237">
        <v>4547</v>
      </c>
      <c r="G237" s="155">
        <v>42947</v>
      </c>
      <c r="H237" s="155">
        <v>42978</v>
      </c>
      <c r="I237" t="s">
        <v>1844</v>
      </c>
      <c r="J237">
        <v>2749512</v>
      </c>
      <c r="K237" s="18" t="s">
        <v>1845</v>
      </c>
      <c r="L237" t="s">
        <v>510</v>
      </c>
      <c r="M237" t="s">
        <v>506</v>
      </c>
      <c r="N237" t="s">
        <v>492</v>
      </c>
      <c r="O237" t="s">
        <v>372</v>
      </c>
      <c r="P237" t="s">
        <v>1276</v>
      </c>
      <c r="Q237" t="s">
        <v>1277</v>
      </c>
      <c r="R237" t="s">
        <v>1322</v>
      </c>
      <c r="S237" t="s">
        <v>1323</v>
      </c>
      <c r="T237" t="s">
        <v>1323</v>
      </c>
      <c r="U237" t="s">
        <v>1323</v>
      </c>
      <c r="V237" t="s">
        <v>1281</v>
      </c>
      <c r="W237" t="s">
        <v>493</v>
      </c>
      <c r="X237" t="s">
        <v>1282</v>
      </c>
      <c r="Y237" s="154">
        <v>52100</v>
      </c>
      <c r="Z237" s="154">
        <v>52100</v>
      </c>
      <c r="AA237" t="s">
        <v>1418</v>
      </c>
      <c r="AB237" t="s">
        <v>1419</v>
      </c>
      <c r="AC237">
        <v>1.0355665000000001E-3</v>
      </c>
      <c r="AD237" s="16">
        <v>2.9741543499999998E-2</v>
      </c>
      <c r="AE237" s="16">
        <v>3.0514600000000001E-5</v>
      </c>
      <c r="AF237" s="16">
        <v>0</v>
      </c>
      <c r="AG237" s="16">
        <v>0</v>
      </c>
      <c r="AH237" s="16">
        <v>0</v>
      </c>
      <c r="AI237" s="16">
        <v>2.3763999999999998E-6</v>
      </c>
      <c r="AJ237" s="16">
        <v>1.5302E-6</v>
      </c>
      <c r="AK237" s="16">
        <v>8.4629999999999995E-7</v>
      </c>
      <c r="AL237" s="16">
        <v>2.9335700000000001E-5</v>
      </c>
      <c r="AM237" s="16">
        <v>-2.0000000000000001E-9</v>
      </c>
      <c r="AN237" s="16">
        <v>-5.7200999999999997E-6</v>
      </c>
      <c r="AO237" s="16">
        <v>4.5225000000000003E-6</v>
      </c>
      <c r="AP237" s="16">
        <v>0</v>
      </c>
      <c r="AQ237" s="16">
        <v>0</v>
      </c>
      <c r="AR237" s="16">
        <v>0</v>
      </c>
      <c r="AS237" s="16">
        <v>0</v>
      </c>
      <c r="AT237" s="16">
        <v>0</v>
      </c>
      <c r="AU237" s="16">
        <v>0</v>
      </c>
      <c r="AV237" s="16">
        <v>0</v>
      </c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0</v>
      </c>
      <c r="BD237" s="16">
        <v>0</v>
      </c>
      <c r="BE237" s="16">
        <v>0</v>
      </c>
      <c r="BF237" s="16">
        <v>0</v>
      </c>
      <c r="BG237" s="16">
        <v>0</v>
      </c>
      <c r="BH237" s="16">
        <v>0</v>
      </c>
      <c r="BI237" s="16">
        <v>0</v>
      </c>
      <c r="BJ237" s="16">
        <v>9.9997000000000002E-6</v>
      </c>
      <c r="BK237" s="16"/>
      <c r="BL237" s="16">
        <v>2749512</v>
      </c>
      <c r="BM237" s="61" t="s">
        <v>1285</v>
      </c>
    </row>
    <row r="238" spans="5:65" x14ac:dyDescent="0.25">
      <c r="E238" s="7">
        <f>COUNTIFS(tblBOneExport[ISIN],tblBOneExport[[#This Row],[ISIN]],tblBOneExport[LEVEL1],"Bonds")</f>
        <v>1</v>
      </c>
      <c r="F238">
        <v>4547</v>
      </c>
      <c r="G238" s="155">
        <v>42947</v>
      </c>
      <c r="H238" s="155">
        <v>42978</v>
      </c>
      <c r="I238" t="s">
        <v>1846</v>
      </c>
      <c r="J238">
        <v>2765824</v>
      </c>
      <c r="K238" s="18" t="s">
        <v>1847</v>
      </c>
      <c r="L238" t="s">
        <v>839</v>
      </c>
      <c r="M238" t="s">
        <v>840</v>
      </c>
      <c r="N238" t="s">
        <v>492</v>
      </c>
      <c r="O238" t="s">
        <v>372</v>
      </c>
      <c r="P238" t="s">
        <v>1276</v>
      </c>
      <c r="Q238" t="s">
        <v>1277</v>
      </c>
      <c r="R238" t="s">
        <v>1278</v>
      </c>
      <c r="S238" t="s">
        <v>1279</v>
      </c>
      <c r="T238" t="s">
        <v>1343</v>
      </c>
      <c r="U238" t="s">
        <v>1343</v>
      </c>
      <c r="V238" t="s">
        <v>1332</v>
      </c>
      <c r="W238" t="s">
        <v>493</v>
      </c>
      <c r="X238" t="s">
        <v>1282</v>
      </c>
      <c r="Y238" s="154">
        <v>44817</v>
      </c>
      <c r="Z238" s="154">
        <v>44725</v>
      </c>
      <c r="AA238" t="s">
        <v>1432</v>
      </c>
      <c r="AB238" t="s">
        <v>1433</v>
      </c>
      <c r="AC238">
        <v>5.8609059999999999E-3</v>
      </c>
      <c r="AD238" s="16">
        <v>9.2870790000000002E-3</v>
      </c>
      <c r="AE238" s="16">
        <v>5.46127E-5</v>
      </c>
      <c r="AF238" s="16">
        <v>0</v>
      </c>
      <c r="AG238" s="16">
        <v>0</v>
      </c>
      <c r="AH238" s="16">
        <v>0</v>
      </c>
      <c r="AI238" s="16">
        <v>5.4635000000000003E-6</v>
      </c>
      <c r="AJ238" s="16">
        <v>2.3147E-6</v>
      </c>
      <c r="AK238" s="16">
        <v>3.1487999999999998E-6</v>
      </c>
      <c r="AL238" s="16">
        <v>4.6638899999999998E-5</v>
      </c>
      <c r="AM238" s="16">
        <v>4.6647000000000004E-6</v>
      </c>
      <c r="AN238" s="16">
        <v>5.4222000000000004E-6</v>
      </c>
      <c r="AO238" s="16">
        <v>-2.9119E-6</v>
      </c>
      <c r="AP238" s="16">
        <v>0</v>
      </c>
      <c r="AQ238" s="16">
        <v>0</v>
      </c>
      <c r="AR238" s="16">
        <v>0</v>
      </c>
      <c r="AS238" s="16">
        <v>0</v>
      </c>
      <c r="AT238" s="16">
        <v>0</v>
      </c>
      <c r="AU238" s="16">
        <v>0</v>
      </c>
      <c r="AV238" s="16">
        <v>0</v>
      </c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0</v>
      </c>
      <c r="BD238" s="16">
        <v>0</v>
      </c>
      <c r="BE238" s="16">
        <v>0</v>
      </c>
      <c r="BF238" s="16">
        <v>0</v>
      </c>
      <c r="BG238" s="16">
        <v>0</v>
      </c>
      <c r="BH238" s="16">
        <v>0</v>
      </c>
      <c r="BI238" s="16">
        <v>0</v>
      </c>
      <c r="BJ238" s="16">
        <v>3.6825800000000002E-5</v>
      </c>
      <c r="BK238" s="16"/>
      <c r="BL238" s="16">
        <v>2765824</v>
      </c>
      <c r="BM238" s="61" t="s">
        <v>1285</v>
      </c>
    </row>
    <row r="239" spans="5:65" x14ac:dyDescent="0.25">
      <c r="E239" s="7">
        <f>COUNTIFS(tblBOneExport[ISIN],tblBOneExport[[#This Row],[ISIN]],tblBOneExport[LEVEL1],"Bonds")</f>
        <v>1</v>
      </c>
      <c r="F239">
        <v>4547</v>
      </c>
      <c r="G239" s="155">
        <v>42947</v>
      </c>
      <c r="H239" s="155">
        <v>42978</v>
      </c>
      <c r="I239" t="s">
        <v>1848</v>
      </c>
      <c r="J239">
        <v>2773233</v>
      </c>
      <c r="K239" s="18" t="s">
        <v>1849</v>
      </c>
      <c r="L239" t="s">
        <v>1079</v>
      </c>
      <c r="M239" t="s">
        <v>1075</v>
      </c>
      <c r="N239" t="s">
        <v>492</v>
      </c>
      <c r="O239" t="s">
        <v>372</v>
      </c>
      <c r="P239" t="s">
        <v>1276</v>
      </c>
      <c r="Q239" t="s">
        <v>1277</v>
      </c>
      <c r="R239" t="s">
        <v>1322</v>
      </c>
      <c r="S239" t="s">
        <v>1326</v>
      </c>
      <c r="T239" t="s">
        <v>1326</v>
      </c>
      <c r="U239" t="s">
        <v>1326</v>
      </c>
      <c r="V239" t="s">
        <v>1288</v>
      </c>
      <c r="W239" t="s">
        <v>493</v>
      </c>
      <c r="X239" t="s">
        <v>1282</v>
      </c>
      <c r="Y239" s="154">
        <v>44461</v>
      </c>
      <c r="Z239" s="154">
        <v>44461</v>
      </c>
      <c r="AA239" t="s">
        <v>1359</v>
      </c>
      <c r="AB239" t="s">
        <v>1360</v>
      </c>
      <c r="AC239">
        <v>2.4424968E-3</v>
      </c>
      <c r="AD239" s="16">
        <v>6.1569466000000002E-3</v>
      </c>
      <c r="AE239" s="16">
        <v>1.51164E-5</v>
      </c>
      <c r="AF239" s="16">
        <v>0</v>
      </c>
      <c r="AG239" s="16">
        <v>0</v>
      </c>
      <c r="AH239" s="16">
        <v>0</v>
      </c>
      <c r="AI239" s="16">
        <v>2.1948000000000001E-6</v>
      </c>
      <c r="AJ239" s="16">
        <v>6.7990000000000005E-7</v>
      </c>
      <c r="AK239" s="16">
        <v>1.5148000000000001E-6</v>
      </c>
      <c r="AL239" s="16">
        <v>1.4082499999999999E-5</v>
      </c>
      <c r="AM239" s="16">
        <v>1.5696E-6</v>
      </c>
      <c r="AN239" s="16">
        <v>-8.6749999999999995E-7</v>
      </c>
      <c r="AO239" s="16">
        <v>-2.9349999999999997E-7</v>
      </c>
      <c r="AP239" s="16">
        <v>0</v>
      </c>
      <c r="AQ239" s="16">
        <v>0</v>
      </c>
      <c r="AR239" s="16">
        <v>0</v>
      </c>
      <c r="AS239" s="16">
        <v>0</v>
      </c>
      <c r="AT239" s="16">
        <v>0</v>
      </c>
      <c r="AU239" s="16">
        <v>0</v>
      </c>
      <c r="AV239" s="16">
        <v>0</v>
      </c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0</v>
      </c>
      <c r="BD239" s="16">
        <v>0</v>
      </c>
      <c r="BE239" s="16">
        <v>0</v>
      </c>
      <c r="BF239" s="16">
        <v>0</v>
      </c>
      <c r="BG239" s="16">
        <v>0</v>
      </c>
      <c r="BH239" s="16">
        <v>0</v>
      </c>
      <c r="BI239" s="16">
        <v>0</v>
      </c>
      <c r="BJ239" s="16">
        <v>1.7671000000000001E-5</v>
      </c>
      <c r="BK239" s="16"/>
      <c r="BL239" s="16">
        <v>2773233</v>
      </c>
      <c r="BM239" s="61" t="s">
        <v>1285</v>
      </c>
    </row>
    <row r="240" spans="5:65" x14ac:dyDescent="0.25">
      <c r="E240" s="7">
        <f>COUNTIFS(tblBOneExport[ISIN],tblBOneExport[[#This Row],[ISIN]],tblBOneExport[LEVEL1],"Bonds")</f>
        <v>1</v>
      </c>
      <c r="F240">
        <v>4547</v>
      </c>
      <c r="G240" s="155">
        <v>42947</v>
      </c>
      <c r="H240" s="155">
        <v>42978</v>
      </c>
      <c r="I240" t="s">
        <v>1850</v>
      </c>
      <c r="J240">
        <v>2773235</v>
      </c>
      <c r="K240" s="18" t="s">
        <v>1851</v>
      </c>
      <c r="L240" t="s">
        <v>1074</v>
      </c>
      <c r="M240" t="s">
        <v>1075</v>
      </c>
      <c r="N240" t="s">
        <v>492</v>
      </c>
      <c r="O240" t="s">
        <v>372</v>
      </c>
      <c r="P240" t="s">
        <v>1276</v>
      </c>
      <c r="Q240" t="s">
        <v>1277</v>
      </c>
      <c r="R240" t="s">
        <v>1322</v>
      </c>
      <c r="S240" t="s">
        <v>1326</v>
      </c>
      <c r="T240" t="s">
        <v>1326</v>
      </c>
      <c r="U240" t="s">
        <v>1326</v>
      </c>
      <c r="V240" t="s">
        <v>1288</v>
      </c>
      <c r="W240" t="s">
        <v>493</v>
      </c>
      <c r="X240" t="s">
        <v>1282</v>
      </c>
      <c r="Y240" s="154">
        <v>47018</v>
      </c>
      <c r="Z240" s="154">
        <v>47018</v>
      </c>
      <c r="AA240" t="s">
        <v>1359</v>
      </c>
      <c r="AB240" t="s">
        <v>1360</v>
      </c>
      <c r="AC240">
        <v>1.1699111999999999E-3</v>
      </c>
      <c r="AD240" s="16">
        <v>2.1058811600000001E-2</v>
      </c>
      <c r="AE240" s="16">
        <v>2.45468E-5</v>
      </c>
      <c r="AF240" s="16">
        <v>0</v>
      </c>
      <c r="AG240" s="16">
        <v>0</v>
      </c>
      <c r="AH240" s="16">
        <v>0</v>
      </c>
      <c r="AI240" s="16">
        <v>2.1957E-6</v>
      </c>
      <c r="AJ240" s="16">
        <v>1.2242000000000001E-6</v>
      </c>
      <c r="AK240" s="16">
        <v>9.7149999999999993E-7</v>
      </c>
      <c r="AL240" s="16">
        <v>2.28625E-5</v>
      </c>
      <c r="AM240" s="16">
        <v>1.2270000000000001E-6</v>
      </c>
      <c r="AN240" s="16">
        <v>-3.8140000000000001E-7</v>
      </c>
      <c r="AO240" s="16">
        <v>-1.3E-7</v>
      </c>
      <c r="AP240" s="16">
        <v>0</v>
      </c>
      <c r="AQ240" s="16">
        <v>0</v>
      </c>
      <c r="AR240" s="16">
        <v>0</v>
      </c>
      <c r="AS240" s="16">
        <v>0</v>
      </c>
      <c r="AT240" s="16">
        <v>0</v>
      </c>
      <c r="AU240" s="16">
        <v>0</v>
      </c>
      <c r="AV240" s="16">
        <v>0</v>
      </c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0</v>
      </c>
      <c r="BD240" s="16">
        <v>0</v>
      </c>
      <c r="BE240" s="16">
        <v>0</v>
      </c>
      <c r="BF240" s="16">
        <v>0</v>
      </c>
      <c r="BG240" s="16">
        <v>0</v>
      </c>
      <c r="BH240" s="16">
        <v>0</v>
      </c>
      <c r="BI240" s="16">
        <v>0</v>
      </c>
      <c r="BJ240" s="16">
        <v>1.1487299999999999E-5</v>
      </c>
      <c r="BK240" s="16"/>
      <c r="BL240" s="16">
        <v>2773235</v>
      </c>
      <c r="BM240" s="61" t="s">
        <v>1285</v>
      </c>
    </row>
    <row r="241" spans="5:65" x14ac:dyDescent="0.25">
      <c r="E241" s="7">
        <f>COUNTIFS(tblBOneExport[ISIN],tblBOneExport[[#This Row],[ISIN]],tblBOneExport[LEVEL1],"Bonds")</f>
        <v>1</v>
      </c>
      <c r="F241">
        <v>4547</v>
      </c>
      <c r="G241" s="155">
        <v>42947</v>
      </c>
      <c r="H241" s="155">
        <v>42978</v>
      </c>
      <c r="I241" t="s">
        <v>1852</v>
      </c>
      <c r="J241">
        <v>2773234</v>
      </c>
      <c r="K241" s="18" t="s">
        <v>1853</v>
      </c>
      <c r="L241" t="s">
        <v>1077</v>
      </c>
      <c r="M241" t="s">
        <v>1075</v>
      </c>
      <c r="N241" t="s">
        <v>492</v>
      </c>
      <c r="O241" t="s">
        <v>372</v>
      </c>
      <c r="P241" t="s">
        <v>1276</v>
      </c>
      <c r="Q241" t="s">
        <v>1277</v>
      </c>
      <c r="R241" t="s">
        <v>1322</v>
      </c>
      <c r="S241" t="s">
        <v>1326</v>
      </c>
      <c r="T241" t="s">
        <v>1326</v>
      </c>
      <c r="U241" t="s">
        <v>1326</v>
      </c>
      <c r="V241" t="s">
        <v>1288</v>
      </c>
      <c r="W241" t="s">
        <v>493</v>
      </c>
      <c r="X241" t="s">
        <v>1282</v>
      </c>
      <c r="Y241" s="154">
        <v>50670</v>
      </c>
      <c r="Z241" s="154">
        <v>50670</v>
      </c>
      <c r="AA241" t="s">
        <v>1359</v>
      </c>
      <c r="AB241" t="s">
        <v>1360</v>
      </c>
      <c r="AC241">
        <v>2.8290962999999998E-3</v>
      </c>
      <c r="AD241" s="16">
        <v>2.5612938599999999E-2</v>
      </c>
      <c r="AE241" s="16">
        <v>7.1998700000000006E-5</v>
      </c>
      <c r="AF241" s="16">
        <v>0</v>
      </c>
      <c r="AG241" s="16">
        <v>0</v>
      </c>
      <c r="AH241" s="16">
        <v>0</v>
      </c>
      <c r="AI241" s="16">
        <v>6.6149E-6</v>
      </c>
      <c r="AJ241" s="16">
        <v>3.9731000000000001E-6</v>
      </c>
      <c r="AK241" s="16">
        <v>2.6417999999999998E-6</v>
      </c>
      <c r="AL241" s="16">
        <v>4.2360600000000002E-5</v>
      </c>
      <c r="AM241" s="16">
        <v>8.3450000000000001E-7</v>
      </c>
      <c r="AN241" s="16">
        <v>2.3818299999999999E-5</v>
      </c>
      <c r="AO241" s="16">
        <v>-7.9510000000000002E-7</v>
      </c>
      <c r="AP241" s="16">
        <v>0</v>
      </c>
      <c r="AQ241" s="16">
        <v>0</v>
      </c>
      <c r="AR241" s="16">
        <v>0</v>
      </c>
      <c r="AS241" s="16">
        <v>0</v>
      </c>
      <c r="AT241" s="16">
        <v>0</v>
      </c>
      <c r="AU241" s="16">
        <v>0</v>
      </c>
      <c r="AV241" s="16">
        <v>0</v>
      </c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0</v>
      </c>
      <c r="BD241" s="16">
        <v>0</v>
      </c>
      <c r="BE241" s="16">
        <v>0</v>
      </c>
      <c r="BF241" s="16">
        <v>0</v>
      </c>
      <c r="BG241" s="16">
        <v>0</v>
      </c>
      <c r="BH241" s="16">
        <v>0</v>
      </c>
      <c r="BI241" s="16">
        <v>0</v>
      </c>
      <c r="BJ241" s="16">
        <v>2.9533899999999999E-5</v>
      </c>
      <c r="BK241" s="16"/>
      <c r="BL241" s="16">
        <v>2773234</v>
      </c>
      <c r="BM241" s="61" t="s">
        <v>1285</v>
      </c>
    </row>
    <row r="242" spans="5:65" x14ac:dyDescent="0.25">
      <c r="E242" s="7">
        <f>COUNTIFS(tblBOneExport[ISIN],tblBOneExport[[#This Row],[ISIN]],tblBOneExport[LEVEL1],"Bonds")</f>
        <v>1</v>
      </c>
      <c r="F242">
        <v>4547</v>
      </c>
      <c r="G242" s="155">
        <v>42947</v>
      </c>
      <c r="H242" s="155">
        <v>42978</v>
      </c>
      <c r="I242" t="s">
        <v>1854</v>
      </c>
      <c r="J242">
        <v>2785466</v>
      </c>
      <c r="K242" s="18" t="s">
        <v>1855</v>
      </c>
      <c r="L242" t="s">
        <v>558</v>
      </c>
      <c r="M242" t="s">
        <v>559</v>
      </c>
      <c r="N242" t="s">
        <v>492</v>
      </c>
      <c r="O242" t="s">
        <v>372</v>
      </c>
      <c r="P242" t="s">
        <v>1276</v>
      </c>
      <c r="Q242" t="s">
        <v>1277</v>
      </c>
      <c r="R242" t="s">
        <v>1278</v>
      </c>
      <c r="S242" t="s">
        <v>1348</v>
      </c>
      <c r="T242" t="s">
        <v>1349</v>
      </c>
      <c r="U242" t="s">
        <v>1349</v>
      </c>
      <c r="V242" t="s">
        <v>1288</v>
      </c>
      <c r="W242" t="s">
        <v>493</v>
      </c>
      <c r="X242" t="s">
        <v>1282</v>
      </c>
      <c r="Y242" s="154">
        <v>46300</v>
      </c>
      <c r="Z242" s="154">
        <v>46300</v>
      </c>
      <c r="AA242" t="s">
        <v>1359</v>
      </c>
      <c r="AB242" t="s">
        <v>1360</v>
      </c>
      <c r="AC242">
        <v>6.2519908000000001E-3</v>
      </c>
      <c r="AD242" s="16">
        <v>1.6261267199999999E-2</v>
      </c>
      <c r="AE242" s="16">
        <v>1.016183E-4</v>
      </c>
      <c r="AF242" s="16">
        <v>0</v>
      </c>
      <c r="AG242" s="16">
        <v>0</v>
      </c>
      <c r="AH242" s="16">
        <v>0</v>
      </c>
      <c r="AI242" s="16">
        <v>1.1243199999999999E-5</v>
      </c>
      <c r="AJ242" s="16">
        <v>5.3278E-6</v>
      </c>
      <c r="AK242" s="16">
        <v>5.9154000000000001E-6</v>
      </c>
      <c r="AL242" s="16">
        <v>1.006885E-4</v>
      </c>
      <c r="AM242" s="16">
        <v>4.5283999999999997E-6</v>
      </c>
      <c r="AN242" s="16">
        <v>-1.04246E-5</v>
      </c>
      <c r="AO242" s="16">
        <v>1.112E-7</v>
      </c>
      <c r="AP242" s="16">
        <v>0</v>
      </c>
      <c r="AQ242" s="16">
        <v>0</v>
      </c>
      <c r="AR242" s="16">
        <v>0</v>
      </c>
      <c r="AS242" s="16">
        <v>0</v>
      </c>
      <c r="AT242" s="16">
        <v>0</v>
      </c>
      <c r="AU242" s="16">
        <v>0</v>
      </c>
      <c r="AV242" s="16">
        <v>0</v>
      </c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0</v>
      </c>
      <c r="BD242" s="16">
        <v>0</v>
      </c>
      <c r="BE242" s="16">
        <v>0</v>
      </c>
      <c r="BF242" s="16">
        <v>0</v>
      </c>
      <c r="BG242" s="16">
        <v>0</v>
      </c>
      <c r="BH242" s="16">
        <v>0</v>
      </c>
      <c r="BI242" s="16">
        <v>0</v>
      </c>
      <c r="BJ242" s="16">
        <v>6.99565E-5</v>
      </c>
      <c r="BK242" s="16"/>
      <c r="BL242" s="16">
        <v>2785466</v>
      </c>
      <c r="BM242" s="61" t="s">
        <v>1285</v>
      </c>
    </row>
    <row r="243" spans="5:65" x14ac:dyDescent="0.25">
      <c r="E243" s="7">
        <f>COUNTIFS(tblBOneExport[ISIN],tblBOneExport[[#This Row],[ISIN]],tblBOneExport[LEVEL1],"Bonds")</f>
        <v>1</v>
      </c>
      <c r="F243">
        <v>4547</v>
      </c>
      <c r="G243" s="155">
        <v>42947</v>
      </c>
      <c r="H243" s="155">
        <v>42978</v>
      </c>
      <c r="I243" t="s">
        <v>1856</v>
      </c>
      <c r="J243">
        <v>2862427</v>
      </c>
      <c r="K243" s="18" t="s">
        <v>1857</v>
      </c>
      <c r="L243" t="s">
        <v>1173</v>
      </c>
      <c r="M243" t="s">
        <v>1165</v>
      </c>
      <c r="N243" t="s">
        <v>492</v>
      </c>
      <c r="O243" t="s">
        <v>372</v>
      </c>
      <c r="P243" t="s">
        <v>1276</v>
      </c>
      <c r="Q243" t="s">
        <v>1277</v>
      </c>
      <c r="R243" t="s">
        <v>1322</v>
      </c>
      <c r="S243" t="s">
        <v>1323</v>
      </c>
      <c r="T243" t="s">
        <v>1323</v>
      </c>
      <c r="U243" t="s">
        <v>1323</v>
      </c>
      <c r="V243" t="s">
        <v>1288</v>
      </c>
      <c r="W243" t="s">
        <v>493</v>
      </c>
      <c r="X243" t="s">
        <v>1282</v>
      </c>
      <c r="Y243" s="154">
        <v>57809</v>
      </c>
      <c r="Z243" s="154">
        <v>57809</v>
      </c>
      <c r="AA243" t="s">
        <v>1418</v>
      </c>
      <c r="AB243" t="s">
        <v>1419</v>
      </c>
      <c r="AC243">
        <v>3.4732646E-3</v>
      </c>
      <c r="AD243" s="16">
        <v>2.9036343499999999E-2</v>
      </c>
      <c r="AE243" s="16">
        <v>1.000462E-4</v>
      </c>
      <c r="AF243" s="16">
        <v>0</v>
      </c>
      <c r="AG243" s="16">
        <v>0</v>
      </c>
      <c r="AH243" s="16">
        <v>0</v>
      </c>
      <c r="AI243" s="16">
        <v>8.5358000000000005E-6</v>
      </c>
      <c r="AJ243" s="16">
        <v>4.7090000000000001E-6</v>
      </c>
      <c r="AK243" s="16">
        <v>3.8268000000000004E-6</v>
      </c>
      <c r="AL243" s="16">
        <v>9.4791799999999996E-5</v>
      </c>
      <c r="AM243" s="16">
        <v>-1.077E-7</v>
      </c>
      <c r="AN243" s="16">
        <v>-3.4664E-6</v>
      </c>
      <c r="AO243" s="16">
        <v>1.85E-7</v>
      </c>
      <c r="AP243" s="16">
        <v>0</v>
      </c>
      <c r="AQ243" s="16">
        <v>0</v>
      </c>
      <c r="AR243" s="16">
        <v>0</v>
      </c>
      <c r="AS243" s="16">
        <v>0</v>
      </c>
      <c r="AT243" s="16">
        <v>0</v>
      </c>
      <c r="AU243" s="16">
        <v>0</v>
      </c>
      <c r="AV243" s="16">
        <v>0</v>
      </c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0</v>
      </c>
      <c r="BD243" s="16">
        <v>0</v>
      </c>
      <c r="BE243" s="16">
        <v>0</v>
      </c>
      <c r="BF243" s="16">
        <v>0</v>
      </c>
      <c r="BG243" s="16">
        <v>0</v>
      </c>
      <c r="BH243" s="16">
        <v>0</v>
      </c>
      <c r="BI243" s="16">
        <v>0</v>
      </c>
      <c r="BJ243" s="16">
        <v>4.5099699999999998E-5</v>
      </c>
      <c r="BK243" s="16"/>
      <c r="BL243" s="16">
        <v>2862427</v>
      </c>
      <c r="BM243" s="61" t="s">
        <v>1285</v>
      </c>
    </row>
    <row r="244" spans="5:65" x14ac:dyDescent="0.25">
      <c r="E244" s="7">
        <f>COUNTIFS(tblBOneExport[ISIN],tblBOneExport[[#This Row],[ISIN]],tblBOneExport[LEVEL1],"Bonds")</f>
        <v>1</v>
      </c>
      <c r="F244">
        <v>4547</v>
      </c>
      <c r="G244" s="155">
        <v>42947</v>
      </c>
      <c r="H244" s="155">
        <v>42978</v>
      </c>
      <c r="I244" t="s">
        <v>1858</v>
      </c>
      <c r="J244">
        <v>2879894</v>
      </c>
      <c r="K244" s="18" t="s">
        <v>1859</v>
      </c>
      <c r="L244" t="s">
        <v>570</v>
      </c>
      <c r="M244" t="s">
        <v>571</v>
      </c>
      <c r="N244" t="s">
        <v>492</v>
      </c>
      <c r="O244" t="s">
        <v>372</v>
      </c>
      <c r="P244" t="s">
        <v>1276</v>
      </c>
      <c r="Q244" t="s">
        <v>1277</v>
      </c>
      <c r="R244" t="s">
        <v>1278</v>
      </c>
      <c r="S244" t="s">
        <v>1512</v>
      </c>
      <c r="T244" t="s">
        <v>1513</v>
      </c>
      <c r="U244" t="s">
        <v>1513</v>
      </c>
      <c r="V244" t="s">
        <v>1332</v>
      </c>
      <c r="W244" t="s">
        <v>493</v>
      </c>
      <c r="X244" t="s">
        <v>1282</v>
      </c>
      <c r="Y244" s="154">
        <v>45727</v>
      </c>
      <c r="Z244" s="154">
        <v>45727</v>
      </c>
      <c r="AA244" t="s">
        <v>1432</v>
      </c>
      <c r="AB244" t="s">
        <v>1433</v>
      </c>
      <c r="AC244">
        <v>1.7332044E-3</v>
      </c>
      <c r="AD244" s="16">
        <v>1.25384613E-2</v>
      </c>
      <c r="AE244" s="16">
        <v>2.1769599999999999E-5</v>
      </c>
      <c r="AF244" s="16">
        <v>0</v>
      </c>
      <c r="AG244" s="16">
        <v>0</v>
      </c>
      <c r="AH244" s="16">
        <v>0</v>
      </c>
      <c r="AI244" s="16">
        <v>2.2716E-6</v>
      </c>
      <c r="AJ244" s="16">
        <v>1.1905000000000001E-6</v>
      </c>
      <c r="AK244" s="16">
        <v>1.0810999999999999E-6</v>
      </c>
      <c r="AL244" s="16">
        <v>2.31605E-5</v>
      </c>
      <c r="AM244" s="16">
        <v>1.2337999999999999E-6</v>
      </c>
      <c r="AN244" s="16">
        <v>-3.4771999999999999E-6</v>
      </c>
      <c r="AO244" s="16">
        <v>-1.853E-7</v>
      </c>
      <c r="AP244" s="16">
        <v>0</v>
      </c>
      <c r="AQ244" s="16">
        <v>0</v>
      </c>
      <c r="AR244" s="16">
        <v>0</v>
      </c>
      <c r="AS244" s="16">
        <v>0</v>
      </c>
      <c r="AT244" s="16">
        <v>0</v>
      </c>
      <c r="AU244" s="16">
        <v>0</v>
      </c>
      <c r="AV244" s="16">
        <v>0</v>
      </c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0</v>
      </c>
      <c r="BD244" s="16">
        <v>0</v>
      </c>
      <c r="BE244" s="16">
        <v>0</v>
      </c>
      <c r="BF244" s="16">
        <v>0</v>
      </c>
      <c r="BG244" s="16">
        <v>0</v>
      </c>
      <c r="BH244" s="16">
        <v>0</v>
      </c>
      <c r="BI244" s="16">
        <v>0</v>
      </c>
      <c r="BJ244" s="16">
        <v>1.30314E-5</v>
      </c>
      <c r="BK244" s="16"/>
      <c r="BL244" s="16">
        <v>2879894</v>
      </c>
      <c r="BM244" s="61" t="s">
        <v>1285</v>
      </c>
    </row>
    <row r="245" spans="5:65" x14ac:dyDescent="0.25">
      <c r="E245" s="7">
        <f>COUNTIFS(tblBOneExport[ISIN],tblBOneExport[[#This Row],[ISIN]],tblBOneExport[LEVEL1],"Bonds")</f>
        <v>1</v>
      </c>
      <c r="F245">
        <v>4547</v>
      </c>
      <c r="G245" s="155">
        <v>42947</v>
      </c>
      <c r="H245" s="155">
        <v>42978</v>
      </c>
      <c r="I245" t="s">
        <v>1860</v>
      </c>
      <c r="J245">
        <v>2903832</v>
      </c>
      <c r="K245" s="18" t="s">
        <v>1861</v>
      </c>
      <c r="L245" t="s">
        <v>1200</v>
      </c>
      <c r="M245" t="s">
        <v>1201</v>
      </c>
      <c r="N245" t="s">
        <v>492</v>
      </c>
      <c r="O245" t="s">
        <v>372</v>
      </c>
      <c r="P245" t="s">
        <v>1276</v>
      </c>
      <c r="Q245" t="s">
        <v>1277</v>
      </c>
      <c r="R245" t="s">
        <v>1278</v>
      </c>
      <c r="S245" t="s">
        <v>1279</v>
      </c>
      <c r="T245" t="s">
        <v>1280</v>
      </c>
      <c r="U245" t="s">
        <v>1280</v>
      </c>
      <c r="V245" t="s">
        <v>1332</v>
      </c>
      <c r="W245" t="s">
        <v>493</v>
      </c>
      <c r="X245" t="s">
        <v>1282</v>
      </c>
      <c r="Y245" s="154">
        <v>44595</v>
      </c>
      <c r="Z245" s="154">
        <v>44595</v>
      </c>
      <c r="AA245" t="s">
        <v>1359</v>
      </c>
      <c r="AB245" t="s">
        <v>1360</v>
      </c>
      <c r="AC245">
        <v>7.8097944999999998E-3</v>
      </c>
      <c r="AD245" s="16">
        <v>8.6332327999999996E-3</v>
      </c>
      <c r="AE245" s="16">
        <v>6.7714500000000004E-5</v>
      </c>
      <c r="AF245" s="16">
        <v>0</v>
      </c>
      <c r="AG245" s="16">
        <v>0</v>
      </c>
      <c r="AH245" s="16">
        <v>0</v>
      </c>
      <c r="AI245" s="16">
        <v>6.4922000000000003E-6</v>
      </c>
      <c r="AJ245" s="16">
        <v>2.6388E-6</v>
      </c>
      <c r="AK245" s="16">
        <v>3.8534000000000002E-6</v>
      </c>
      <c r="AL245" s="16">
        <v>5.2055100000000002E-5</v>
      </c>
      <c r="AM245" s="16">
        <v>5.4844999999999998E-6</v>
      </c>
      <c r="AN245" s="16">
        <v>3.3042000000000001E-6</v>
      </c>
      <c r="AO245" s="16">
        <v>5.8630999999999998E-6</v>
      </c>
      <c r="AP245" s="16">
        <v>0</v>
      </c>
      <c r="AQ245" s="16">
        <v>0</v>
      </c>
      <c r="AR245" s="16">
        <v>0</v>
      </c>
      <c r="AS245" s="16">
        <v>0</v>
      </c>
      <c r="AT245" s="16">
        <v>0</v>
      </c>
      <c r="AU245" s="16">
        <v>0</v>
      </c>
      <c r="AV245" s="16">
        <v>0</v>
      </c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0</v>
      </c>
      <c r="BD245" s="16">
        <v>0</v>
      </c>
      <c r="BE245" s="16">
        <v>0</v>
      </c>
      <c r="BF245" s="16">
        <v>0</v>
      </c>
      <c r="BG245" s="16">
        <v>0</v>
      </c>
      <c r="BH245" s="16">
        <v>0</v>
      </c>
      <c r="BI245" s="16">
        <v>0</v>
      </c>
      <c r="BJ245" s="16">
        <v>4.5895600000000002E-5</v>
      </c>
      <c r="BK245" s="16"/>
      <c r="BL245" s="16">
        <v>2903832</v>
      </c>
      <c r="BM245" s="61" t="s">
        <v>1285</v>
      </c>
    </row>
    <row r="246" spans="5:65" x14ac:dyDescent="0.25">
      <c r="E246" s="7">
        <f>COUNTIFS(tblBOneExport[ISIN],tblBOneExport[[#This Row],[ISIN]],tblBOneExport[LEVEL1],"Bonds")</f>
        <v>1</v>
      </c>
      <c r="F246">
        <v>4547</v>
      </c>
      <c r="G246" s="155">
        <v>42947</v>
      </c>
      <c r="H246" s="155">
        <v>42978</v>
      </c>
      <c r="I246" t="s">
        <v>1862</v>
      </c>
      <c r="J246">
        <v>2919456</v>
      </c>
      <c r="K246" s="18" t="s">
        <v>1863</v>
      </c>
      <c r="L246" t="s">
        <v>930</v>
      </c>
      <c r="M246" t="s">
        <v>931</v>
      </c>
      <c r="N246" t="s">
        <v>492</v>
      </c>
      <c r="O246" t="s">
        <v>372</v>
      </c>
      <c r="P246" t="s">
        <v>1276</v>
      </c>
      <c r="Q246" t="s">
        <v>1277</v>
      </c>
      <c r="R246" t="s">
        <v>1278</v>
      </c>
      <c r="S246" t="s">
        <v>1279</v>
      </c>
      <c r="T246" t="s">
        <v>1864</v>
      </c>
      <c r="U246" t="s">
        <v>1864</v>
      </c>
      <c r="V246" t="s">
        <v>1288</v>
      </c>
      <c r="W246" t="s">
        <v>493</v>
      </c>
      <c r="X246" t="s">
        <v>1282</v>
      </c>
      <c r="Y246" s="154">
        <v>47166</v>
      </c>
      <c r="Z246" s="154">
        <v>47074</v>
      </c>
      <c r="AA246" t="s">
        <v>1308</v>
      </c>
      <c r="AB246" t="s">
        <v>1309</v>
      </c>
      <c r="AC246">
        <v>4.0346124999999997E-3</v>
      </c>
      <c r="AD246" s="16">
        <v>1.8408816800000002E-2</v>
      </c>
      <c r="AE246" s="16">
        <v>7.4144800000000002E-5</v>
      </c>
      <c r="AF246" s="16">
        <v>0</v>
      </c>
      <c r="AG246" s="16">
        <v>0</v>
      </c>
      <c r="AH246" s="16">
        <v>0</v>
      </c>
      <c r="AI246" s="16">
        <v>9.2193E-6</v>
      </c>
      <c r="AJ246" s="16">
        <v>4.2680999999999998E-6</v>
      </c>
      <c r="AK246" s="16">
        <v>4.9510999999999999E-6</v>
      </c>
      <c r="AL246" s="16">
        <v>7.6352800000000005E-5</v>
      </c>
      <c r="AM246" s="16">
        <v>4.1022999999999997E-6</v>
      </c>
      <c r="AN246" s="16">
        <v>-1.0852900000000001E-5</v>
      </c>
      <c r="AO246" s="16">
        <v>-5.7429999999999995E-7</v>
      </c>
      <c r="AP246" s="16">
        <v>0</v>
      </c>
      <c r="AQ246" s="16">
        <v>0</v>
      </c>
      <c r="AR246" s="16">
        <v>0</v>
      </c>
      <c r="AS246" s="16">
        <v>0</v>
      </c>
      <c r="AT246" s="16">
        <v>0</v>
      </c>
      <c r="AU246" s="16">
        <v>0</v>
      </c>
      <c r="AV246" s="16">
        <v>0</v>
      </c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0</v>
      </c>
      <c r="BD246" s="16">
        <v>0</v>
      </c>
      <c r="BE246" s="16">
        <v>0</v>
      </c>
      <c r="BF246" s="16">
        <v>0</v>
      </c>
      <c r="BG246" s="16">
        <v>0</v>
      </c>
      <c r="BH246" s="16">
        <v>0</v>
      </c>
      <c r="BI246" s="16">
        <v>0</v>
      </c>
      <c r="BJ246" s="16">
        <v>5.8817599999999997E-5</v>
      </c>
      <c r="BK246" s="16"/>
      <c r="BL246" s="16">
        <v>2919456</v>
      </c>
      <c r="BM246" s="61" t="s">
        <v>1285</v>
      </c>
    </row>
    <row r="247" spans="5:65" x14ac:dyDescent="0.25">
      <c r="E247" s="7">
        <f>COUNTIFS(tblBOneExport[ISIN],tblBOneExport[[#This Row],[ISIN]],tblBOneExport[LEVEL1],"Bonds")</f>
        <v>1</v>
      </c>
      <c r="F247">
        <v>4547</v>
      </c>
      <c r="G247" s="155">
        <v>42947</v>
      </c>
      <c r="H247" s="155">
        <v>42978</v>
      </c>
      <c r="I247" t="s">
        <v>1865</v>
      </c>
      <c r="J247">
        <v>2981494</v>
      </c>
      <c r="K247" s="18" t="s">
        <v>1866</v>
      </c>
      <c r="L247" t="s">
        <v>1235</v>
      </c>
      <c r="M247" t="s">
        <v>1233</v>
      </c>
      <c r="N247" t="s">
        <v>492</v>
      </c>
      <c r="O247" t="s">
        <v>372</v>
      </c>
      <c r="P247" t="s">
        <v>1276</v>
      </c>
      <c r="Q247" t="s">
        <v>1277</v>
      </c>
      <c r="R247" t="s">
        <v>1278</v>
      </c>
      <c r="S247" t="s">
        <v>1312</v>
      </c>
      <c r="T247" t="s">
        <v>1313</v>
      </c>
      <c r="U247" t="s">
        <v>1314</v>
      </c>
      <c r="V247" t="s">
        <v>1288</v>
      </c>
      <c r="W247" t="s">
        <v>493</v>
      </c>
      <c r="X247" t="s">
        <v>1282</v>
      </c>
      <c r="Y247" s="154">
        <v>45461</v>
      </c>
      <c r="Z247" s="154">
        <v>45461</v>
      </c>
      <c r="AA247" t="s">
        <v>1308</v>
      </c>
      <c r="AB247" t="s">
        <v>1309</v>
      </c>
      <c r="AC247">
        <v>6.4528729999999996E-3</v>
      </c>
      <c r="AD247" s="16">
        <v>1.02013821E-2</v>
      </c>
      <c r="AE247" s="16">
        <v>6.6046599999999999E-5</v>
      </c>
      <c r="AF247" s="16">
        <v>0</v>
      </c>
      <c r="AG247" s="16">
        <v>0</v>
      </c>
      <c r="AH247" s="16">
        <v>0</v>
      </c>
      <c r="AI247" s="16">
        <v>1.1002800000000001E-5</v>
      </c>
      <c r="AJ247" s="16">
        <v>3.9384999999999996E-6</v>
      </c>
      <c r="AK247" s="16">
        <v>7.0643999999999997E-6</v>
      </c>
      <c r="AL247" s="16">
        <v>6.6660099999999996E-5</v>
      </c>
      <c r="AM247" s="16">
        <v>3.9671999999999999E-6</v>
      </c>
      <c r="AN247" s="16">
        <v>-8.8563000000000002E-6</v>
      </c>
      <c r="AO247" s="16">
        <v>-2.7599999999999998E-6</v>
      </c>
      <c r="AP247" s="16">
        <v>0</v>
      </c>
      <c r="AQ247" s="16">
        <v>0</v>
      </c>
      <c r="AR247" s="16">
        <v>0</v>
      </c>
      <c r="AS247" s="16">
        <v>0</v>
      </c>
      <c r="AT247" s="16">
        <v>0</v>
      </c>
      <c r="AU247" s="16">
        <v>0</v>
      </c>
      <c r="AV247" s="16">
        <v>0</v>
      </c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0</v>
      </c>
      <c r="BD247" s="16">
        <v>0</v>
      </c>
      <c r="BE247" s="16">
        <v>0</v>
      </c>
      <c r="BF247" s="16">
        <v>0</v>
      </c>
      <c r="BG247" s="16">
        <v>0</v>
      </c>
      <c r="BH247" s="16">
        <v>0</v>
      </c>
      <c r="BI247" s="16">
        <v>0</v>
      </c>
      <c r="BJ247" s="16">
        <v>8.3309899999999993E-5</v>
      </c>
      <c r="BK247" s="16"/>
      <c r="BL247" s="16">
        <v>2981494</v>
      </c>
      <c r="BM247" s="61" t="s">
        <v>1285</v>
      </c>
    </row>
    <row r="248" spans="5:65" x14ac:dyDescent="0.25">
      <c r="E248" s="7">
        <f>COUNTIFS(tblBOneExport[ISIN],tblBOneExport[[#This Row],[ISIN]],tblBOneExport[LEVEL1],"Bonds")</f>
        <v>1</v>
      </c>
      <c r="F248">
        <v>4547</v>
      </c>
      <c r="G248" s="155">
        <v>42947</v>
      </c>
      <c r="H248" s="155">
        <v>42978</v>
      </c>
      <c r="I248" t="s">
        <v>1867</v>
      </c>
      <c r="J248">
        <v>2982085</v>
      </c>
      <c r="K248" s="18" t="s">
        <v>1868</v>
      </c>
      <c r="L248" t="s">
        <v>988</v>
      </c>
      <c r="M248" t="s">
        <v>989</v>
      </c>
      <c r="N248" t="s">
        <v>492</v>
      </c>
      <c r="O248" t="s">
        <v>372</v>
      </c>
      <c r="P248" t="s">
        <v>1276</v>
      </c>
      <c r="Q248" t="s">
        <v>1277</v>
      </c>
      <c r="R248" t="s">
        <v>1300</v>
      </c>
      <c r="S248" t="s">
        <v>1301</v>
      </c>
      <c r="T248" t="s">
        <v>1302</v>
      </c>
      <c r="U248" t="s">
        <v>1302</v>
      </c>
      <c r="V248" t="s">
        <v>1353</v>
      </c>
      <c r="W248" t="s">
        <v>493</v>
      </c>
      <c r="X248" t="s">
        <v>1282</v>
      </c>
      <c r="Y248" s="154">
        <v>44545</v>
      </c>
      <c r="Z248" s="154">
        <v>44545</v>
      </c>
      <c r="AA248" t="s">
        <v>1308</v>
      </c>
      <c r="AB248" t="s">
        <v>1309</v>
      </c>
      <c r="AC248">
        <v>4.6641898000000003E-3</v>
      </c>
      <c r="AD248" s="16">
        <v>5.8478536000000003E-3</v>
      </c>
      <c r="AE248" s="16">
        <v>2.7464700000000002E-5</v>
      </c>
      <c r="AF248" s="16">
        <v>0</v>
      </c>
      <c r="AG248" s="16">
        <v>0</v>
      </c>
      <c r="AH248" s="16">
        <v>0</v>
      </c>
      <c r="AI248" s="16">
        <v>3.4904000000000001E-6</v>
      </c>
      <c r="AJ248" s="16">
        <v>1.4742E-6</v>
      </c>
      <c r="AK248" s="16">
        <v>2.0161999999999999E-6</v>
      </c>
      <c r="AL248" s="16">
        <v>2.98267E-5</v>
      </c>
      <c r="AM248" s="16">
        <v>3.2049E-6</v>
      </c>
      <c r="AN248" s="16">
        <v>-5.1827000000000004E-6</v>
      </c>
      <c r="AO248" s="16">
        <v>-6.6960000000000001E-7</v>
      </c>
      <c r="AP248" s="16">
        <v>0</v>
      </c>
      <c r="AQ248" s="16">
        <v>0</v>
      </c>
      <c r="AR248" s="16">
        <v>0</v>
      </c>
      <c r="AS248" s="16">
        <v>0</v>
      </c>
      <c r="AT248" s="16">
        <v>0</v>
      </c>
      <c r="AU248" s="16">
        <v>0</v>
      </c>
      <c r="AV248" s="16">
        <v>0</v>
      </c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0</v>
      </c>
      <c r="BD248" s="16">
        <v>0</v>
      </c>
      <c r="BE248" s="16">
        <v>0</v>
      </c>
      <c r="BF248" s="16">
        <v>0</v>
      </c>
      <c r="BG248" s="16">
        <v>0</v>
      </c>
      <c r="BH248" s="16">
        <v>0</v>
      </c>
      <c r="BI248" s="16">
        <v>0</v>
      </c>
      <c r="BJ248" s="16">
        <v>2.4163099999999999E-5</v>
      </c>
      <c r="BK248" s="16"/>
      <c r="BL248" s="16">
        <v>2982085</v>
      </c>
      <c r="BM248" s="61" t="s">
        <v>1285</v>
      </c>
    </row>
    <row r="249" spans="5:65" x14ac:dyDescent="0.25">
      <c r="E249" s="7">
        <f>COUNTIFS(tblBOneExport[ISIN],tblBOneExport[[#This Row],[ISIN]],tblBOneExport[LEVEL1],"Bonds")</f>
        <v>1</v>
      </c>
      <c r="F249">
        <v>4547</v>
      </c>
      <c r="G249" s="155">
        <v>42947</v>
      </c>
      <c r="H249" s="155">
        <v>42978</v>
      </c>
      <c r="I249" t="s">
        <v>1869</v>
      </c>
      <c r="J249">
        <v>2995967</v>
      </c>
      <c r="K249" s="18" t="s">
        <v>1870</v>
      </c>
      <c r="L249" t="s">
        <v>1065</v>
      </c>
      <c r="M249" t="s">
        <v>1061</v>
      </c>
      <c r="N249" t="s">
        <v>492</v>
      </c>
      <c r="O249" t="s">
        <v>372</v>
      </c>
      <c r="P249" t="s">
        <v>1276</v>
      </c>
      <c r="Q249" t="s">
        <v>1277</v>
      </c>
      <c r="R249" t="s">
        <v>1278</v>
      </c>
      <c r="S249" t="s">
        <v>1279</v>
      </c>
      <c r="T249" t="s">
        <v>1343</v>
      </c>
      <c r="U249" t="s">
        <v>1343</v>
      </c>
      <c r="V249" t="s">
        <v>1408</v>
      </c>
      <c r="W249" t="s">
        <v>493</v>
      </c>
      <c r="X249" t="s">
        <v>1282</v>
      </c>
      <c r="Y249" s="154">
        <v>47241</v>
      </c>
      <c r="Z249" s="154">
        <v>47241</v>
      </c>
      <c r="AA249" t="s">
        <v>1308</v>
      </c>
      <c r="AB249" t="s">
        <v>1309</v>
      </c>
      <c r="AC249">
        <v>4.4407094999999999E-3</v>
      </c>
      <c r="AD249" s="16">
        <v>2.1667691499999999E-2</v>
      </c>
      <c r="AE249" s="16">
        <v>9.5812300000000004E-5</v>
      </c>
      <c r="AF249" s="16">
        <v>0</v>
      </c>
      <c r="AG249" s="16">
        <v>0</v>
      </c>
      <c r="AH249" s="16">
        <v>0</v>
      </c>
      <c r="AI249" s="16">
        <v>6.9511999999999996E-6</v>
      </c>
      <c r="AJ249" s="16">
        <v>4.9589000000000001E-6</v>
      </c>
      <c r="AK249" s="16">
        <v>1.9924000000000002E-6</v>
      </c>
      <c r="AL249" s="16">
        <v>9.3138400000000003E-5</v>
      </c>
      <c r="AM249" s="16">
        <v>5.0544000000000003E-6</v>
      </c>
      <c r="AN249" s="16">
        <v>-4.7795999999999999E-6</v>
      </c>
      <c r="AO249" s="16">
        <v>5.0230000000000004E-7</v>
      </c>
      <c r="AP249" s="16">
        <v>0</v>
      </c>
      <c r="AQ249" s="16">
        <v>0</v>
      </c>
      <c r="AR249" s="16">
        <v>0</v>
      </c>
      <c r="AS249" s="16">
        <v>0</v>
      </c>
      <c r="AT249" s="16">
        <v>0</v>
      </c>
      <c r="AU249" s="16">
        <v>0</v>
      </c>
      <c r="AV249" s="16">
        <v>0</v>
      </c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0</v>
      </c>
      <c r="BD249" s="16">
        <v>0</v>
      </c>
      <c r="BE249" s="16">
        <v>0</v>
      </c>
      <c r="BF249" s="16">
        <v>0</v>
      </c>
      <c r="BG249" s="16">
        <v>0</v>
      </c>
      <c r="BH249" s="16">
        <v>0</v>
      </c>
      <c r="BI249" s="16">
        <v>0</v>
      </c>
      <c r="BJ249" s="16">
        <v>2.39675E-5</v>
      </c>
      <c r="BK249" s="16"/>
      <c r="BL249" s="16">
        <v>2995967</v>
      </c>
      <c r="BM249" s="61" t="s">
        <v>1285</v>
      </c>
    </row>
    <row r="250" spans="5:65" x14ac:dyDescent="0.25">
      <c r="E250" s="7">
        <f>COUNTIFS(tblBOneExport[ISIN],tblBOneExport[[#This Row],[ISIN]],tblBOneExport[LEVEL1],"Bonds")</f>
        <v>1</v>
      </c>
      <c r="F250">
        <v>4547</v>
      </c>
      <c r="G250" s="155">
        <v>42947</v>
      </c>
      <c r="H250" s="155">
        <v>42978</v>
      </c>
      <c r="I250" t="s">
        <v>1871</v>
      </c>
      <c r="J250">
        <v>3047745</v>
      </c>
      <c r="K250" s="18" t="s">
        <v>1872</v>
      </c>
      <c r="L250" t="s">
        <v>551</v>
      </c>
      <c r="N250" t="s">
        <v>492</v>
      </c>
      <c r="O250" t="s">
        <v>372</v>
      </c>
      <c r="P250" t="s">
        <v>1276</v>
      </c>
      <c r="Q250" t="s">
        <v>1277</v>
      </c>
      <c r="R250" t="s">
        <v>1278</v>
      </c>
      <c r="S250" t="s">
        <v>1312</v>
      </c>
      <c r="T250" t="s">
        <v>1313</v>
      </c>
      <c r="U250" t="s">
        <v>1618</v>
      </c>
      <c r="V250" t="s">
        <v>1873</v>
      </c>
      <c r="W250" t="s">
        <v>493</v>
      </c>
      <c r="X250" t="s">
        <v>1427</v>
      </c>
      <c r="Y250" s="154">
        <v>50297</v>
      </c>
      <c r="AA250" t="s">
        <v>1308</v>
      </c>
      <c r="AB250" t="s">
        <v>1309</v>
      </c>
      <c r="AC250">
        <v>1.1965112E-3</v>
      </c>
      <c r="AD250" s="16">
        <v>1.48626056E-2</v>
      </c>
      <c r="AE250" s="16">
        <v>1.7804000000000001E-5</v>
      </c>
      <c r="AF250" s="16">
        <v>0</v>
      </c>
      <c r="AG250" s="16">
        <v>0</v>
      </c>
      <c r="AH250" s="16">
        <v>0</v>
      </c>
      <c r="AI250" s="16">
        <v>3.6453000000000001E-6</v>
      </c>
      <c r="AJ250" s="16">
        <v>1.6436E-6</v>
      </c>
      <c r="AK250" s="16">
        <v>2.0016999999999998E-6</v>
      </c>
      <c r="AL250" s="16">
        <v>1.3331499999999999E-5</v>
      </c>
      <c r="AM250" s="16">
        <v>3.1860000000000001E-7</v>
      </c>
      <c r="AN250" s="16">
        <v>9.9290000000000006E-7</v>
      </c>
      <c r="AO250" s="16">
        <v>-1.6570000000000001E-7</v>
      </c>
      <c r="AP250" s="16">
        <v>0</v>
      </c>
      <c r="AQ250" s="16">
        <v>0</v>
      </c>
      <c r="AR250" s="16">
        <v>0</v>
      </c>
      <c r="AS250" s="16">
        <v>0</v>
      </c>
      <c r="AT250" s="16">
        <v>0</v>
      </c>
      <c r="AU250" s="16">
        <v>0</v>
      </c>
      <c r="AV250" s="16">
        <v>0</v>
      </c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0</v>
      </c>
      <c r="BD250" s="16">
        <v>0</v>
      </c>
      <c r="BE250" s="16">
        <v>0</v>
      </c>
      <c r="BF250" s="16">
        <v>0</v>
      </c>
      <c r="BG250" s="16">
        <v>0</v>
      </c>
      <c r="BH250" s="16">
        <v>0</v>
      </c>
      <c r="BI250" s="16">
        <v>0</v>
      </c>
      <c r="BJ250" s="16">
        <v>2.31034E-5</v>
      </c>
      <c r="BK250" s="16"/>
      <c r="BL250" s="16">
        <v>3047745</v>
      </c>
      <c r="BM250" s="61" t="s">
        <v>1285</v>
      </c>
    </row>
    <row r="251" spans="5:65" x14ac:dyDescent="0.25">
      <c r="E251" s="7">
        <f>COUNTIFS(tblBOneExport[ISIN],tblBOneExport[[#This Row],[ISIN]],tblBOneExport[LEVEL1],"Bonds")</f>
        <v>1</v>
      </c>
      <c r="F251">
        <v>4547</v>
      </c>
      <c r="G251" s="155">
        <v>42947</v>
      </c>
      <c r="H251" s="155">
        <v>42978</v>
      </c>
      <c r="I251" t="s">
        <v>1874</v>
      </c>
      <c r="J251">
        <v>3052915</v>
      </c>
      <c r="K251" s="18" t="s">
        <v>1875</v>
      </c>
      <c r="L251" t="s">
        <v>637</v>
      </c>
      <c r="M251" t="s">
        <v>635</v>
      </c>
      <c r="N251" t="s">
        <v>492</v>
      </c>
      <c r="O251" t="s">
        <v>372</v>
      </c>
      <c r="P251" t="s">
        <v>1276</v>
      </c>
      <c r="Q251" t="s">
        <v>1277</v>
      </c>
      <c r="R251" t="s">
        <v>1278</v>
      </c>
      <c r="S251" t="s">
        <v>1306</v>
      </c>
      <c r="T251" t="s">
        <v>1349</v>
      </c>
      <c r="U251" t="s">
        <v>1349</v>
      </c>
      <c r="V251" t="s">
        <v>1332</v>
      </c>
      <c r="W251" t="s">
        <v>493</v>
      </c>
      <c r="X251" t="s">
        <v>1282</v>
      </c>
      <c r="Y251" s="154">
        <v>47211</v>
      </c>
      <c r="Z251" s="154">
        <v>47211</v>
      </c>
      <c r="AA251" t="s">
        <v>1359</v>
      </c>
      <c r="AB251" t="s">
        <v>1360</v>
      </c>
      <c r="AC251">
        <v>7.169931E-4</v>
      </c>
      <c r="AD251" s="16">
        <v>2.3052368600000001E-2</v>
      </c>
      <c r="AE251" s="16">
        <v>1.6431800000000001E-5</v>
      </c>
      <c r="AF251" s="16">
        <v>0</v>
      </c>
      <c r="AG251" s="16">
        <v>0</v>
      </c>
      <c r="AH251" s="16">
        <v>0</v>
      </c>
      <c r="AI251" s="16">
        <v>1.2398E-6</v>
      </c>
      <c r="AJ251" s="16">
        <v>7.9250000000000004E-7</v>
      </c>
      <c r="AK251" s="16">
        <v>4.4729999999999999E-7</v>
      </c>
      <c r="AL251" s="16">
        <v>1.5098399999999999E-5</v>
      </c>
      <c r="AM251" s="16">
        <v>8.1839999999999997E-7</v>
      </c>
      <c r="AN251" s="16">
        <v>-1.0841999999999999E-6</v>
      </c>
      <c r="AO251" s="16">
        <v>1.1778E-6</v>
      </c>
      <c r="AP251" s="16">
        <v>0</v>
      </c>
      <c r="AQ251" s="16">
        <v>0</v>
      </c>
      <c r="AR251" s="16">
        <v>0</v>
      </c>
      <c r="AS251" s="16">
        <v>0</v>
      </c>
      <c r="AT251" s="16">
        <v>0</v>
      </c>
      <c r="AU251" s="16">
        <v>0</v>
      </c>
      <c r="AV251" s="16">
        <v>0</v>
      </c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0</v>
      </c>
      <c r="BD251" s="16">
        <v>0</v>
      </c>
      <c r="BE251" s="16">
        <v>0</v>
      </c>
      <c r="BF251" s="16">
        <v>0</v>
      </c>
      <c r="BG251" s="16">
        <v>0</v>
      </c>
      <c r="BH251" s="16">
        <v>0</v>
      </c>
      <c r="BI251" s="16">
        <v>0</v>
      </c>
      <c r="BJ251" s="16">
        <v>5.3553999999999996E-6</v>
      </c>
      <c r="BK251" s="16"/>
      <c r="BL251" s="16">
        <v>3052915</v>
      </c>
      <c r="BM251" s="61" t="s">
        <v>1285</v>
      </c>
    </row>
    <row r="252" spans="5:65" x14ac:dyDescent="0.25">
      <c r="E252" s="7">
        <f>COUNTIFS(tblBOneExport[ISIN],tblBOneExport[[#This Row],[ISIN]],tblBOneExport[LEVEL1],"Bonds")</f>
        <v>1</v>
      </c>
      <c r="F252">
        <v>4547</v>
      </c>
      <c r="G252" s="155">
        <v>42947</v>
      </c>
      <c r="H252" s="155">
        <v>42978</v>
      </c>
      <c r="I252" t="s">
        <v>1876</v>
      </c>
      <c r="J252">
        <v>3065494</v>
      </c>
      <c r="K252" s="18" t="s">
        <v>1877</v>
      </c>
      <c r="L252" t="s">
        <v>808</v>
      </c>
      <c r="M252" t="s">
        <v>806</v>
      </c>
      <c r="N252" t="s">
        <v>492</v>
      </c>
      <c r="O252" t="s">
        <v>372</v>
      </c>
      <c r="P252" t="s">
        <v>1276</v>
      </c>
      <c r="Q252" t="s">
        <v>1277</v>
      </c>
      <c r="R252" t="s">
        <v>1278</v>
      </c>
      <c r="S252" t="s">
        <v>1348</v>
      </c>
      <c r="T252" t="s">
        <v>1349</v>
      </c>
      <c r="U252" t="s">
        <v>1349</v>
      </c>
      <c r="V252" t="s">
        <v>1288</v>
      </c>
      <c r="W252" t="s">
        <v>493</v>
      </c>
      <c r="X252" t="s">
        <v>1282</v>
      </c>
      <c r="Y252" s="154">
        <v>45388</v>
      </c>
      <c r="Z252" s="154">
        <v>45388</v>
      </c>
      <c r="AA252" t="s">
        <v>1359</v>
      </c>
      <c r="AB252" t="s">
        <v>1360</v>
      </c>
      <c r="AC252">
        <v>1.6048218E-3</v>
      </c>
      <c r="AD252" s="16">
        <v>1.09609076E-2</v>
      </c>
      <c r="AE252" s="16">
        <v>1.7622299999999999E-5</v>
      </c>
      <c r="AF252" s="16">
        <v>0</v>
      </c>
      <c r="AG252" s="16">
        <v>0</v>
      </c>
      <c r="AH252" s="16">
        <v>0</v>
      </c>
      <c r="AI252" s="16">
        <v>3.2824999999999999E-6</v>
      </c>
      <c r="AJ252" s="16">
        <v>9.4320000000000003E-7</v>
      </c>
      <c r="AK252" s="16">
        <v>2.3392E-6</v>
      </c>
      <c r="AL252" s="16">
        <v>1.60033E-5</v>
      </c>
      <c r="AM252" s="16">
        <v>9.9600000000000008E-7</v>
      </c>
      <c r="AN252" s="16">
        <v>1.2504999999999999E-6</v>
      </c>
      <c r="AO252" s="16">
        <v>-2.9139000000000002E-6</v>
      </c>
      <c r="AP252" s="16">
        <v>0</v>
      </c>
      <c r="AQ252" s="16">
        <v>0</v>
      </c>
      <c r="AR252" s="16">
        <v>0</v>
      </c>
      <c r="AS252" s="16">
        <v>0</v>
      </c>
      <c r="AT252" s="16">
        <v>0</v>
      </c>
      <c r="AU252" s="16">
        <v>0</v>
      </c>
      <c r="AV252" s="16">
        <v>0</v>
      </c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0</v>
      </c>
      <c r="BD252" s="16">
        <v>0</v>
      </c>
      <c r="BE252" s="16">
        <v>0</v>
      </c>
      <c r="BF252" s="16">
        <v>0</v>
      </c>
      <c r="BG252" s="16">
        <v>0</v>
      </c>
      <c r="BH252" s="16">
        <v>0</v>
      </c>
      <c r="BI252" s="16">
        <v>0</v>
      </c>
      <c r="BJ252" s="16">
        <v>2.73698E-5</v>
      </c>
      <c r="BK252" s="16"/>
      <c r="BL252" s="16">
        <v>3065494</v>
      </c>
      <c r="BM252" s="61" t="s">
        <v>1285</v>
      </c>
    </row>
    <row r="253" spans="5:65" x14ac:dyDescent="0.25">
      <c r="E253" s="7">
        <f>COUNTIFS(tblBOneExport[ISIN],tblBOneExport[[#This Row],[ISIN]],tblBOneExport[LEVEL1],"Bonds")</f>
        <v>0</v>
      </c>
      <c r="F253">
        <v>4547</v>
      </c>
      <c r="G253" s="155">
        <v>42947</v>
      </c>
      <c r="H253" s="155">
        <v>42978</v>
      </c>
      <c r="I253" t="s">
        <v>1878</v>
      </c>
      <c r="J253">
        <v>1264842</v>
      </c>
      <c r="K253" s="18" t="s">
        <v>1878</v>
      </c>
      <c r="N253" t="s">
        <v>492</v>
      </c>
      <c r="O253" t="s">
        <v>58</v>
      </c>
      <c r="P253" t="s">
        <v>388</v>
      </c>
      <c r="Q253" t="s">
        <v>329</v>
      </c>
      <c r="R253" t="s">
        <v>329</v>
      </c>
      <c r="S253" t="s">
        <v>329</v>
      </c>
      <c r="T253" t="s">
        <v>329</v>
      </c>
      <c r="U253" t="s">
        <v>329</v>
      </c>
      <c r="W253" t="s">
        <v>493</v>
      </c>
      <c r="X253" t="s">
        <v>1427</v>
      </c>
      <c r="AA253" t="s">
        <v>1359</v>
      </c>
      <c r="AB253" t="s">
        <v>1360</v>
      </c>
      <c r="AC253">
        <v>2.9971659599999999E-2</v>
      </c>
      <c r="AD253" s="16">
        <v>8.7337799999999996E-5</v>
      </c>
      <c r="AE253" s="16">
        <v>2.5389E-6</v>
      </c>
      <c r="AF253" s="16">
        <v>0</v>
      </c>
      <c r="AG253" s="16">
        <v>0</v>
      </c>
      <c r="AH253" s="16">
        <v>0</v>
      </c>
      <c r="AI253" s="16">
        <v>0</v>
      </c>
      <c r="AJ253" s="16">
        <v>0</v>
      </c>
      <c r="AK253" s="16">
        <v>0</v>
      </c>
      <c r="AL253" s="16">
        <v>0</v>
      </c>
      <c r="AM253" s="16">
        <v>0</v>
      </c>
      <c r="AN253" s="16">
        <v>0</v>
      </c>
      <c r="AO253" s="16">
        <v>0</v>
      </c>
      <c r="AP253" s="16">
        <v>0</v>
      </c>
      <c r="AQ253" s="16">
        <v>0</v>
      </c>
      <c r="AR253" s="16">
        <v>0</v>
      </c>
      <c r="AS253" s="16">
        <v>0</v>
      </c>
      <c r="AT253" s="16">
        <v>0</v>
      </c>
      <c r="AU253" s="16">
        <v>0</v>
      </c>
      <c r="AV253" s="16">
        <v>2.5389E-6</v>
      </c>
      <c r="AW253" s="16">
        <v>2.5389E-6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0</v>
      </c>
      <c r="BD253" s="16">
        <v>0</v>
      </c>
      <c r="BE253" s="16">
        <v>0</v>
      </c>
      <c r="BF253" s="16">
        <v>0</v>
      </c>
      <c r="BG253" s="16">
        <v>0</v>
      </c>
      <c r="BH253" s="16">
        <v>0</v>
      </c>
      <c r="BI253" s="16">
        <v>0</v>
      </c>
      <c r="BJ253" s="16"/>
      <c r="BK253" s="16"/>
      <c r="BL253" s="16">
        <v>1264842</v>
      </c>
      <c r="BM253" s="61" t="s">
        <v>1879</v>
      </c>
    </row>
    <row r="254" spans="5:65" x14ac:dyDescent="0.25">
      <c r="E254" s="7">
        <f>COUNTIFS(tblBOneExport[ISIN],tblBOneExport[[#This Row],[ISIN]],tblBOneExport[LEVEL1],"Bonds")</f>
        <v>0</v>
      </c>
      <c r="F254">
        <v>4547</v>
      </c>
      <c r="G254" s="155">
        <v>42947</v>
      </c>
      <c r="H254" s="155">
        <v>42978</v>
      </c>
      <c r="I254" t="s">
        <v>1880</v>
      </c>
      <c r="J254">
        <v>1265039</v>
      </c>
      <c r="K254" s="18" t="s">
        <v>1880</v>
      </c>
      <c r="N254" t="s">
        <v>492</v>
      </c>
      <c r="O254" t="s">
        <v>58</v>
      </c>
      <c r="P254" t="s">
        <v>388</v>
      </c>
      <c r="Q254" t="s">
        <v>1881</v>
      </c>
      <c r="R254" t="s">
        <v>1881</v>
      </c>
      <c r="S254" t="s">
        <v>1881</v>
      </c>
      <c r="T254" t="s">
        <v>1881</v>
      </c>
      <c r="U254" t="s">
        <v>1881</v>
      </c>
      <c r="W254" t="s">
        <v>493</v>
      </c>
      <c r="X254" t="s">
        <v>1427</v>
      </c>
      <c r="AA254" t="s">
        <v>1359</v>
      </c>
      <c r="AB254" t="s">
        <v>1360</v>
      </c>
      <c r="AC254">
        <v>0</v>
      </c>
      <c r="AD254" s="16">
        <v>0</v>
      </c>
      <c r="AE254" s="16">
        <v>0</v>
      </c>
      <c r="AF254" s="16">
        <v>0</v>
      </c>
      <c r="AG254" s="16">
        <v>0</v>
      </c>
      <c r="AH254" s="16">
        <v>0</v>
      </c>
      <c r="AI254" s="16">
        <v>0</v>
      </c>
      <c r="AJ254" s="16">
        <v>0</v>
      </c>
      <c r="AK254" s="16">
        <v>0</v>
      </c>
      <c r="AL254" s="16">
        <v>0</v>
      </c>
      <c r="AM254" s="16">
        <v>0</v>
      </c>
      <c r="AN254" s="16">
        <v>0</v>
      </c>
      <c r="AO254" s="16">
        <v>0</v>
      </c>
      <c r="AP254" s="16">
        <v>0</v>
      </c>
      <c r="AQ254" s="16">
        <v>0</v>
      </c>
      <c r="AR254" s="16">
        <v>0</v>
      </c>
      <c r="AS254" s="16">
        <v>0</v>
      </c>
      <c r="AT254" s="16">
        <v>0</v>
      </c>
      <c r="AU254" s="16">
        <v>0</v>
      </c>
      <c r="AV254" s="16">
        <v>0</v>
      </c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0</v>
      </c>
      <c r="BD254" s="16">
        <v>0</v>
      </c>
      <c r="BE254" s="16">
        <v>0</v>
      </c>
      <c r="BF254" s="16">
        <v>0</v>
      </c>
      <c r="BG254" s="16">
        <v>0</v>
      </c>
      <c r="BH254" s="16">
        <v>0</v>
      </c>
      <c r="BI254" s="16">
        <v>0</v>
      </c>
      <c r="BJ254" s="16"/>
      <c r="BK254" s="16"/>
      <c r="BL254" s="16">
        <v>1265039</v>
      </c>
      <c r="BM254" s="61" t="s">
        <v>1879</v>
      </c>
    </row>
  </sheetData>
  <dataConsolidate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1Returns">
    <tabColor theme="4" tint="-0.249977111117893"/>
  </sheetPr>
  <dimension ref="A1:AE2"/>
  <sheetViews>
    <sheetView workbookViewId="0">
      <selection activeCell="C1" sqref="C1"/>
    </sheetView>
  </sheetViews>
  <sheetFormatPr defaultRowHeight="15" outlineLevelCol="1" x14ac:dyDescent="0.25"/>
  <cols>
    <col min="1" max="1" width="14.85546875" bestFit="1" customWidth="1"/>
    <col min="2" max="2" width="19.140625" bestFit="1" customWidth="1"/>
    <col min="3" max="3" width="14.85546875" bestFit="1" customWidth="1"/>
    <col min="4" max="4" width="19.140625" bestFit="1" customWidth="1"/>
    <col min="5" max="5" width="46.28515625" bestFit="1" customWidth="1"/>
    <col min="6" max="6" width="15" customWidth="1"/>
    <col min="7" max="7" width="16.140625" customWidth="1"/>
    <col min="8" max="8" width="24.42578125" bestFit="1" customWidth="1"/>
    <col min="9" max="9" width="16" bestFit="1" customWidth="1"/>
    <col min="10" max="10" width="27.85546875" bestFit="1" customWidth="1"/>
    <col min="11" max="11" width="22.42578125" bestFit="1" customWidth="1"/>
    <col min="12" max="12" width="21.28515625" bestFit="1" customWidth="1"/>
    <col min="13" max="13" width="33.140625" bestFit="1" customWidth="1"/>
    <col min="14" max="14" width="20" bestFit="1" customWidth="1"/>
    <col min="15" max="15" width="18.140625" bestFit="1" customWidth="1"/>
    <col min="16" max="16" width="26.42578125" bestFit="1" customWidth="1"/>
    <col min="17" max="17" width="24.7109375" bestFit="1" customWidth="1"/>
    <col min="18" max="18" width="16.28515625" customWidth="1"/>
    <col min="19" max="19" width="17" bestFit="1" customWidth="1"/>
    <col min="20" max="20" width="22.85546875" bestFit="1" customWidth="1"/>
    <col min="21" max="21" width="21.140625" bestFit="1" customWidth="1"/>
    <col min="22" max="22" width="15.7109375" bestFit="1" customWidth="1"/>
    <col min="23" max="23" width="21.7109375" bestFit="1" customWidth="1"/>
    <col min="24" max="24" width="19.5703125" customWidth="1"/>
    <col min="25" max="25" width="19.85546875" customWidth="1"/>
    <col min="26" max="26" width="57.85546875" bestFit="1" customWidth="1"/>
    <col min="27" max="27" width="27.140625" bestFit="1" customWidth="1"/>
    <col min="28" max="28" width="13.85546875" hidden="1" customWidth="1" outlineLevel="1"/>
    <col min="29" max="30" width="0" hidden="1" customWidth="1" outlineLevel="1"/>
    <col min="31" max="31" width="9.140625" collapsed="1"/>
  </cols>
  <sheetData>
    <row r="1" spans="1:30" x14ac:dyDescent="0.25">
      <c r="A1" s="15" t="s">
        <v>236</v>
      </c>
      <c r="B1" s="47">
        <v>5.0000000000000001E-3</v>
      </c>
      <c r="C1" t="s">
        <v>209</v>
      </c>
      <c r="D1" t="s">
        <v>218</v>
      </c>
      <c r="E1" t="s">
        <v>238</v>
      </c>
      <c r="F1" t="s">
        <v>219</v>
      </c>
      <c r="G1" t="s">
        <v>2</v>
      </c>
      <c r="H1" t="s">
        <v>220</v>
      </c>
      <c r="I1" t="s">
        <v>221</v>
      </c>
      <c r="J1" t="s">
        <v>222</v>
      </c>
      <c r="K1" t="s">
        <v>223</v>
      </c>
      <c r="L1" t="s">
        <v>224</v>
      </c>
      <c r="M1" t="s">
        <v>225</v>
      </c>
      <c r="N1" t="s">
        <v>226</v>
      </c>
      <c r="O1" t="s">
        <v>227</v>
      </c>
      <c r="P1" t="s">
        <v>228</v>
      </c>
      <c r="Q1" t="s">
        <v>229</v>
      </c>
      <c r="R1" t="s">
        <v>230</v>
      </c>
      <c r="S1" t="s">
        <v>231</v>
      </c>
      <c r="T1" t="s">
        <v>232</v>
      </c>
      <c r="U1" t="s">
        <v>233</v>
      </c>
      <c r="V1" t="s">
        <v>234</v>
      </c>
      <c r="W1" t="s">
        <v>235</v>
      </c>
      <c r="X1" t="s">
        <v>239</v>
      </c>
      <c r="Y1" t="s">
        <v>240</v>
      </c>
      <c r="Z1" t="s">
        <v>241</v>
      </c>
      <c r="AA1" t="s">
        <v>242</v>
      </c>
      <c r="AB1" t="s">
        <v>246</v>
      </c>
      <c r="AC1" t="s">
        <v>247</v>
      </c>
      <c r="AD1" t="s">
        <v>248</v>
      </c>
    </row>
    <row r="2" spans="1:30" x14ac:dyDescent="0.25">
      <c r="A2" s="15" t="s">
        <v>237</v>
      </c>
      <c r="B2" s="47">
        <v>0.01</v>
      </c>
      <c r="C2" s="44" t="s">
        <v>494</v>
      </c>
      <c r="D2" s="44" t="s">
        <v>493</v>
      </c>
      <c r="E2" s="44"/>
      <c r="F2" s="45" t="s">
        <v>496</v>
      </c>
      <c r="G2" s="45" t="s">
        <v>497</v>
      </c>
      <c r="H2" s="46">
        <v>1.5237324913000001</v>
      </c>
      <c r="I2" s="46">
        <v>1.5237324913000001</v>
      </c>
      <c r="J2" s="46">
        <v>0</v>
      </c>
      <c r="K2" s="46"/>
      <c r="L2" s="46"/>
      <c r="M2" s="46"/>
      <c r="N2" s="46">
        <v>113.9724687864</v>
      </c>
      <c r="O2" s="46">
        <v>115.7091043243</v>
      </c>
      <c r="P2" s="46">
        <v>428554083.31</v>
      </c>
      <c r="Q2" s="46">
        <v>435084101.12</v>
      </c>
      <c r="R2" s="46">
        <v>6530017.8099999996</v>
      </c>
      <c r="S2" s="46">
        <v>334046.95</v>
      </c>
      <c r="T2" s="46"/>
      <c r="U2" s="46"/>
      <c r="V2" s="46">
        <v>0</v>
      </c>
      <c r="W2" s="46">
        <v>1.5237324913000001</v>
      </c>
      <c r="X2" s="49"/>
      <c r="Y2" s="48"/>
      <c r="AA2" t="s">
        <v>495</v>
      </c>
    </row>
  </sheetData>
  <dataConsolidate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TS">
    <tabColor theme="4" tint="-0.249977111117893"/>
  </sheetPr>
  <dimension ref="A1:M344"/>
  <sheetViews>
    <sheetView topLeftCell="C1" zoomScaleNormal="100" workbookViewId="0">
      <selection activeCell="C1" sqref="C1:K1"/>
    </sheetView>
  </sheetViews>
  <sheetFormatPr defaultColWidth="12.85546875" defaultRowHeight="15" x14ac:dyDescent="0.25"/>
  <cols>
    <col min="1" max="1" width="12.85546875" style="3"/>
    <col min="2" max="2" width="12.85546875" style="6"/>
    <col min="3" max="3" width="10" bestFit="1" customWidth="1"/>
    <col min="4" max="4" width="49.7109375" bestFit="1" customWidth="1"/>
    <col min="5" max="5" width="76.85546875" bestFit="1" customWidth="1"/>
    <col min="6" max="7" width="12.85546875" bestFit="1" customWidth="1"/>
    <col min="8" max="8" width="10.5703125" bestFit="1" customWidth="1"/>
    <col min="9" max="9" width="13.5703125" bestFit="1" customWidth="1"/>
    <col min="10" max="10" width="18.5703125" customWidth="1"/>
    <col min="11" max="11" width="21.7109375" customWidth="1"/>
  </cols>
  <sheetData>
    <row r="1" spans="2:13" s="4" customFormat="1" ht="15.75" x14ac:dyDescent="0.25">
      <c r="B1" s="9"/>
      <c r="C1" s="13" t="s">
        <v>50</v>
      </c>
      <c r="D1" s="8" t="s">
        <v>51</v>
      </c>
      <c r="E1" s="8" t="s">
        <v>52</v>
      </c>
      <c r="F1" s="8" t="s">
        <v>5</v>
      </c>
      <c r="G1" s="8" t="s">
        <v>131</v>
      </c>
      <c r="H1" s="8" t="s">
        <v>53</v>
      </c>
      <c r="I1" s="8" t="s">
        <v>54</v>
      </c>
      <c r="J1" s="8" t="s">
        <v>55</v>
      </c>
      <c r="K1" s="33" t="s">
        <v>56</v>
      </c>
      <c r="L1"/>
      <c r="M1" s="14"/>
    </row>
    <row r="2" spans="2:13" s="3" customFormat="1" x14ac:dyDescent="0.25">
      <c r="B2" s="9"/>
      <c r="C2" s="170" t="s">
        <v>498</v>
      </c>
      <c r="D2" s="172" t="s">
        <v>499</v>
      </c>
      <c r="E2" s="172" t="s">
        <v>500</v>
      </c>
      <c r="F2" s="172" t="s">
        <v>501</v>
      </c>
      <c r="G2" s="173" t="s">
        <v>502</v>
      </c>
      <c r="H2" s="173">
        <v>8.9305759439631555E-3</v>
      </c>
      <c r="I2" s="175">
        <v>9.7825731099362052E-3</v>
      </c>
      <c r="J2" s="175">
        <v>7.3639477957918031E-2</v>
      </c>
      <c r="K2">
        <v>8.3223118348638381E-2</v>
      </c>
      <c r="L2"/>
      <c r="M2"/>
    </row>
    <row r="3" spans="2:13" s="3" customFormat="1" x14ac:dyDescent="0.25">
      <c r="B3" s="9"/>
      <c r="C3" s="171" t="s">
        <v>498</v>
      </c>
      <c r="D3" s="171" t="s">
        <v>503</v>
      </c>
      <c r="E3" s="171" t="s">
        <v>504</v>
      </c>
      <c r="F3" s="171" t="s">
        <v>505</v>
      </c>
      <c r="G3" s="174" t="s">
        <v>506</v>
      </c>
      <c r="H3" s="174">
        <v>0</v>
      </c>
      <c r="I3" s="176">
        <v>4.9636577370432578E-4</v>
      </c>
      <c r="J3" s="176">
        <v>0</v>
      </c>
      <c r="K3">
        <v>4.22273167647161E-3</v>
      </c>
      <c r="L3"/>
      <c r="M3"/>
    </row>
    <row r="4" spans="2:13" s="3" customFormat="1" x14ac:dyDescent="0.25">
      <c r="B4" s="9"/>
      <c r="C4" s="171" t="s">
        <v>498</v>
      </c>
      <c r="D4" s="171" t="s">
        <v>503</v>
      </c>
      <c r="E4" s="171" t="s">
        <v>507</v>
      </c>
      <c r="F4" s="171" t="s">
        <v>508</v>
      </c>
      <c r="G4" s="174" t="s">
        <v>506</v>
      </c>
      <c r="H4" s="174">
        <v>3.3162680417736826E-4</v>
      </c>
      <c r="I4" s="176">
        <v>4.2421057501064143E-4</v>
      </c>
      <c r="J4" s="176">
        <v>2.7420694767547825E-3</v>
      </c>
      <c r="K4">
        <v>3.617845492979904E-3</v>
      </c>
      <c r="L4"/>
      <c r="M4"/>
    </row>
    <row r="5" spans="2:13" x14ac:dyDescent="0.25">
      <c r="B5" s="9"/>
      <c r="C5" s="171" t="s">
        <v>498</v>
      </c>
      <c r="D5" s="171" t="s">
        <v>503</v>
      </c>
      <c r="E5" s="171" t="s">
        <v>507</v>
      </c>
      <c r="F5" s="171" t="s">
        <v>508</v>
      </c>
      <c r="G5" s="174" t="s">
        <v>506</v>
      </c>
      <c r="H5" s="174">
        <v>7.1340675834956182E-3</v>
      </c>
      <c r="I5" s="176">
        <v>9.1267839862276857E-3</v>
      </c>
      <c r="J5" s="176">
        <v>5.8818779469379703E-2</v>
      </c>
      <c r="K5">
        <v>7.7635651038076389E-2</v>
      </c>
    </row>
    <row r="6" spans="2:13" x14ac:dyDescent="0.25">
      <c r="B6" s="9"/>
      <c r="C6" s="171" t="s">
        <v>498</v>
      </c>
      <c r="D6" s="171" t="s">
        <v>503</v>
      </c>
      <c r="E6" s="171" t="s">
        <v>509</v>
      </c>
      <c r="F6" s="171" t="s">
        <v>510</v>
      </c>
      <c r="G6" s="174" t="s">
        <v>506</v>
      </c>
      <c r="H6" s="174">
        <v>2.7215330488204337E-3</v>
      </c>
      <c r="I6" s="176">
        <v>0</v>
      </c>
      <c r="J6" s="176">
        <v>2.2441898633511294E-2</v>
      </c>
      <c r="K6">
        <v>0</v>
      </c>
    </row>
    <row r="7" spans="2:13" x14ac:dyDescent="0.25">
      <c r="B7" s="9"/>
      <c r="C7" s="171" t="s">
        <v>498</v>
      </c>
      <c r="D7" s="171" t="s">
        <v>511</v>
      </c>
      <c r="E7" s="171" t="s">
        <v>512</v>
      </c>
      <c r="F7" s="171" t="s">
        <v>513</v>
      </c>
      <c r="G7" s="174" t="s">
        <v>514</v>
      </c>
      <c r="H7" s="174">
        <v>3.5199576994567909E-3</v>
      </c>
      <c r="I7" s="176">
        <v>4.5031990691070199E-3</v>
      </c>
      <c r="J7" s="176">
        <v>2.9025216691416313E-2</v>
      </c>
      <c r="K7">
        <v>3.831130796635699E-2</v>
      </c>
    </row>
    <row r="8" spans="2:13" x14ac:dyDescent="0.25">
      <c r="B8" s="9"/>
      <c r="C8" s="171" t="s">
        <v>498</v>
      </c>
      <c r="D8" s="171" t="s">
        <v>515</v>
      </c>
      <c r="E8" s="171" t="s">
        <v>516</v>
      </c>
      <c r="F8" s="171" t="s">
        <v>517</v>
      </c>
      <c r="G8" s="174" t="s">
        <v>518</v>
      </c>
      <c r="H8" s="174">
        <v>4.4918520231974216E-3</v>
      </c>
      <c r="I8" s="176">
        <v>0</v>
      </c>
      <c r="J8" s="176">
        <v>3.7039322008076067E-2</v>
      </c>
      <c r="K8">
        <v>0</v>
      </c>
    </row>
    <row r="9" spans="2:13" x14ac:dyDescent="0.25">
      <c r="B9" s="9"/>
      <c r="C9" s="171" t="s">
        <v>498</v>
      </c>
      <c r="D9" s="171" t="s">
        <v>515</v>
      </c>
      <c r="E9" s="171" t="s">
        <v>519</v>
      </c>
      <c r="F9" s="171" t="s">
        <v>520</v>
      </c>
      <c r="G9" s="174" t="s">
        <v>518</v>
      </c>
      <c r="H9" s="174">
        <v>7.2581776745448143E-3</v>
      </c>
      <c r="I9" s="176">
        <v>9.2850014454942936E-3</v>
      </c>
      <c r="J9" s="176">
        <v>5.9849457305209026E-2</v>
      </c>
      <c r="K9">
        <v>7.8990224260339192E-2</v>
      </c>
    </row>
    <row r="10" spans="2:13" x14ac:dyDescent="0.25">
      <c r="B10" s="9"/>
      <c r="C10" s="171" t="s">
        <v>498</v>
      </c>
      <c r="D10" s="171" t="s">
        <v>515</v>
      </c>
      <c r="E10" s="171" t="s">
        <v>521</v>
      </c>
      <c r="F10" s="171" t="s">
        <v>522</v>
      </c>
      <c r="G10" s="174" t="s">
        <v>518</v>
      </c>
      <c r="H10" s="174">
        <v>4.6047818330545286E-3</v>
      </c>
      <c r="I10" s="176">
        <v>3.0471131583788232E-3</v>
      </c>
      <c r="J10" s="176">
        <v>3.7970173213080501E-2</v>
      </c>
      <c r="K10">
        <v>2.5922846295134638E-2</v>
      </c>
    </row>
    <row r="11" spans="2:13" x14ac:dyDescent="0.25">
      <c r="B11" s="9"/>
      <c r="C11" s="171" t="s">
        <v>498</v>
      </c>
      <c r="D11" s="171" t="s">
        <v>523</v>
      </c>
      <c r="E11" s="171" t="s">
        <v>524</v>
      </c>
      <c r="F11" s="171" t="s">
        <v>525</v>
      </c>
      <c r="G11" s="174" t="s">
        <v>526</v>
      </c>
      <c r="H11" s="174">
        <v>2.467971312884142E-3</v>
      </c>
      <c r="I11" s="176">
        <v>2.7626755923066976E-3</v>
      </c>
      <c r="J11" s="176">
        <v>2.0347738789189787E-2</v>
      </c>
      <c r="K11">
        <v>2.3499929397217033E-2</v>
      </c>
    </row>
    <row r="12" spans="2:13" x14ac:dyDescent="0.25">
      <c r="C12" s="171" t="s">
        <v>498</v>
      </c>
      <c r="D12" s="171" t="s">
        <v>523</v>
      </c>
      <c r="E12" s="171" t="s">
        <v>527</v>
      </c>
      <c r="F12" s="171" t="s">
        <v>528</v>
      </c>
      <c r="G12" s="174" t="s">
        <v>526</v>
      </c>
      <c r="H12" s="174">
        <v>4.6381822106030825E-4</v>
      </c>
      <c r="I12" s="176">
        <v>5.9337782998430922E-4</v>
      </c>
      <c r="J12" s="176">
        <v>3.8243913734619705E-3</v>
      </c>
      <c r="K12">
        <v>5.0478055614612506E-3</v>
      </c>
    </row>
    <row r="13" spans="2:13" x14ac:dyDescent="0.25">
      <c r="C13" s="171" t="s">
        <v>498</v>
      </c>
      <c r="D13" s="171" t="s">
        <v>523</v>
      </c>
      <c r="E13" s="171" t="s">
        <v>524</v>
      </c>
      <c r="F13" s="171" t="s">
        <v>525</v>
      </c>
      <c r="G13" s="174" t="s">
        <v>526</v>
      </c>
      <c r="H13" s="174">
        <v>1.1564834486547648E-4</v>
      </c>
      <c r="I13" s="176">
        <v>1.2962907909997408E-4</v>
      </c>
      <c r="J13" s="176">
        <v>9.5624295894739138E-4</v>
      </c>
      <c r="K13">
        <v>1.105531090471312E-3</v>
      </c>
    </row>
    <row r="14" spans="2:13" x14ac:dyDescent="0.25">
      <c r="C14" s="171" t="s">
        <v>498</v>
      </c>
      <c r="D14" s="171" t="s">
        <v>523</v>
      </c>
      <c r="E14" s="171" t="s">
        <v>527</v>
      </c>
      <c r="F14" s="171" t="s">
        <v>528</v>
      </c>
      <c r="G14" s="174" t="s">
        <v>526</v>
      </c>
      <c r="H14" s="174">
        <v>2.1200169995331289E-5</v>
      </c>
      <c r="I14" s="176">
        <v>2.7024659186809698E-5</v>
      </c>
      <c r="J14" s="176">
        <v>1.7529445242043477E-4</v>
      </c>
      <c r="K14">
        <v>2.3047761465131984E-4</v>
      </c>
    </row>
    <row r="15" spans="2:13" x14ac:dyDescent="0.25">
      <c r="C15" s="171" t="s">
        <v>498</v>
      </c>
      <c r="D15" s="171" t="s">
        <v>529</v>
      </c>
      <c r="E15" s="171" t="s">
        <v>530</v>
      </c>
      <c r="F15" s="171" t="s">
        <v>531</v>
      </c>
      <c r="G15" s="174" t="s">
        <v>532</v>
      </c>
      <c r="H15" s="174">
        <v>3.5351562366069139E-5</v>
      </c>
      <c r="I15" s="176">
        <v>0</v>
      </c>
      <c r="J15" s="176">
        <v>2.9230580549739131E-4</v>
      </c>
      <c r="K15">
        <v>0</v>
      </c>
    </row>
    <row r="16" spans="2:13" x14ac:dyDescent="0.25">
      <c r="C16" s="171" t="s">
        <v>498</v>
      </c>
      <c r="D16" s="171" t="s">
        <v>529</v>
      </c>
      <c r="E16" s="171" t="s">
        <v>533</v>
      </c>
      <c r="F16" s="171" t="s">
        <v>534</v>
      </c>
      <c r="G16" s="174" t="s">
        <v>532</v>
      </c>
      <c r="H16" s="174">
        <v>4.0536816487710456E-4</v>
      </c>
      <c r="I16" s="176">
        <v>5.1824018120863132E-4</v>
      </c>
      <c r="J16" s="176">
        <v>3.351802863206152E-3</v>
      </c>
      <c r="K16">
        <v>4.4197693652962399E-3</v>
      </c>
    </row>
    <row r="17" spans="3:11" x14ac:dyDescent="0.25">
      <c r="C17" s="171" t="s">
        <v>498</v>
      </c>
      <c r="D17" s="171" t="s">
        <v>529</v>
      </c>
      <c r="E17" s="171" t="s">
        <v>535</v>
      </c>
      <c r="F17" s="171" t="s">
        <v>536</v>
      </c>
      <c r="G17" s="174" t="s">
        <v>532</v>
      </c>
      <c r="H17" s="174">
        <v>3.2378162618714812E-3</v>
      </c>
      <c r="I17" s="176">
        <v>4.1421639782344708E-3</v>
      </c>
      <c r="J17" s="176">
        <v>2.669799091953844E-2</v>
      </c>
      <c r="K17">
        <v>3.5238110204539173E-2</v>
      </c>
    </row>
    <row r="18" spans="3:11" x14ac:dyDescent="0.25">
      <c r="C18" s="171" t="s">
        <v>498</v>
      </c>
      <c r="D18" s="171" t="s">
        <v>529</v>
      </c>
      <c r="E18" s="171" t="s">
        <v>530</v>
      </c>
      <c r="F18" s="171" t="s">
        <v>531</v>
      </c>
      <c r="G18" s="174" t="s">
        <v>532</v>
      </c>
      <c r="H18" s="174">
        <v>7.5821331556421006E-4</v>
      </c>
      <c r="I18" s="176">
        <v>0</v>
      </c>
      <c r="J18" s="176">
        <v>6.2512804252348644E-3</v>
      </c>
      <c r="K18">
        <v>0</v>
      </c>
    </row>
    <row r="19" spans="3:11" x14ac:dyDescent="0.25">
      <c r="C19" s="171" t="s">
        <v>498</v>
      </c>
      <c r="D19" s="171" t="s">
        <v>529</v>
      </c>
      <c r="E19" s="171" t="s">
        <v>533</v>
      </c>
      <c r="F19" s="171" t="s">
        <v>534</v>
      </c>
      <c r="G19" s="174" t="s">
        <v>532</v>
      </c>
      <c r="H19" s="174">
        <v>8.8807608367920451E-3</v>
      </c>
      <c r="I19" s="176">
        <v>1.1361394208972026E-2</v>
      </c>
      <c r="J19" s="176">
        <v>7.322061445500036E-2</v>
      </c>
      <c r="K19">
        <v>9.6645726344639887E-2</v>
      </c>
    </row>
    <row r="20" spans="3:11" x14ac:dyDescent="0.25">
      <c r="C20" s="171" t="s">
        <v>498</v>
      </c>
      <c r="D20" s="171" t="s">
        <v>537</v>
      </c>
      <c r="E20" s="171" t="s">
        <v>538</v>
      </c>
      <c r="F20" s="171" t="s">
        <v>539</v>
      </c>
      <c r="G20" s="174" t="s">
        <v>540</v>
      </c>
      <c r="H20" s="174">
        <v>1.0278454953539535E-3</v>
      </c>
      <c r="I20" s="176">
        <v>0</v>
      </c>
      <c r="J20" s="176">
        <v>8.4756582708427758E-3</v>
      </c>
      <c r="K20">
        <v>0</v>
      </c>
    </row>
    <row r="21" spans="3:11" x14ac:dyDescent="0.25">
      <c r="C21" s="171" t="s">
        <v>498</v>
      </c>
      <c r="D21" s="171" t="s">
        <v>537</v>
      </c>
      <c r="E21" s="171" t="s">
        <v>541</v>
      </c>
      <c r="F21" s="171" t="s">
        <v>542</v>
      </c>
      <c r="G21" s="174" t="s">
        <v>540</v>
      </c>
      <c r="H21" s="174">
        <v>6.9036688468959813E-3</v>
      </c>
      <c r="I21" s="176">
        <v>8.8320466854071196E-3</v>
      </c>
      <c r="J21" s="176">
        <v>5.6927934098515542E-2</v>
      </c>
      <c r="K21">
        <v>7.513892599152884E-2</v>
      </c>
    </row>
    <row r="22" spans="3:11" x14ac:dyDescent="0.25">
      <c r="C22" s="171" t="s">
        <v>498</v>
      </c>
      <c r="D22" s="171" t="s">
        <v>543</v>
      </c>
      <c r="E22" s="171" t="s">
        <v>544</v>
      </c>
      <c r="F22" s="171" t="s">
        <v>545</v>
      </c>
      <c r="G22" s="174" t="s">
        <v>321</v>
      </c>
      <c r="H22" s="174">
        <v>8.6577471438464126E-3</v>
      </c>
      <c r="I22" s="176">
        <v>1.1075188839141813E-2</v>
      </c>
      <c r="J22" s="176">
        <v>7.1391272648869269E-2</v>
      </c>
      <c r="K22">
        <v>9.4223209302632518E-2</v>
      </c>
    </row>
    <row r="23" spans="3:11" x14ac:dyDescent="0.25">
      <c r="C23" s="171" t="s">
        <v>498</v>
      </c>
      <c r="D23" s="171" t="s">
        <v>543</v>
      </c>
      <c r="E23" s="171" t="s">
        <v>546</v>
      </c>
      <c r="F23" s="171" t="s">
        <v>547</v>
      </c>
      <c r="G23" s="174" t="s">
        <v>321</v>
      </c>
      <c r="H23" s="174">
        <v>9.2387399112105922E-5</v>
      </c>
      <c r="I23" s="176">
        <v>1.178156332599636E-4</v>
      </c>
      <c r="J23" s="176">
        <v>7.6390889985652175E-4</v>
      </c>
      <c r="K23">
        <v>1.0047810754869565E-3</v>
      </c>
    </row>
    <row r="24" spans="3:11" x14ac:dyDescent="0.25">
      <c r="C24" s="171" t="s">
        <v>498</v>
      </c>
      <c r="D24" s="171" t="s">
        <v>543</v>
      </c>
      <c r="E24" s="171" t="s">
        <v>548</v>
      </c>
      <c r="F24" s="171" t="s">
        <v>549</v>
      </c>
      <c r="G24" s="174" t="s">
        <v>321</v>
      </c>
      <c r="H24" s="174">
        <v>1.8504840270914258E-2</v>
      </c>
      <c r="I24" s="176">
        <v>1.6909582386453667E-2</v>
      </c>
      <c r="J24" s="176">
        <v>0.15258963555246349</v>
      </c>
      <c r="K24">
        <v>0.1438593129180962</v>
      </c>
    </row>
    <row r="25" spans="3:11" x14ac:dyDescent="0.25">
      <c r="C25" s="171" t="s">
        <v>498</v>
      </c>
      <c r="D25" s="171" t="s">
        <v>543</v>
      </c>
      <c r="E25" s="171" t="s">
        <v>546</v>
      </c>
      <c r="F25" s="171" t="s">
        <v>547</v>
      </c>
      <c r="G25" s="174" t="s">
        <v>321</v>
      </c>
      <c r="H25" s="174">
        <v>2.0141968825119539E-3</v>
      </c>
      <c r="I25" s="176">
        <v>2.5768168751604216E-3</v>
      </c>
      <c r="J25" s="176">
        <v>1.6606564004551488E-2</v>
      </c>
      <c r="K25">
        <v>2.1919442429213624E-2</v>
      </c>
    </row>
    <row r="26" spans="3:11" x14ac:dyDescent="0.25">
      <c r="C26" s="171" t="s">
        <v>498</v>
      </c>
      <c r="D26" s="171" t="s">
        <v>543</v>
      </c>
      <c r="E26" s="171" t="s">
        <v>550</v>
      </c>
      <c r="F26" s="171" t="s">
        <v>551</v>
      </c>
      <c r="G26" s="174" t="s">
        <v>321</v>
      </c>
      <c r="H26" s="174">
        <v>4.4788718363322783E-3</v>
      </c>
      <c r="I26" s="176">
        <v>0</v>
      </c>
      <c r="J26" s="176">
        <v>3.6932545687806441E-2</v>
      </c>
      <c r="K26">
        <v>0</v>
      </c>
    </row>
    <row r="27" spans="3:11" x14ac:dyDescent="0.25">
      <c r="C27" s="171" t="s">
        <v>498</v>
      </c>
      <c r="D27" s="171" t="s">
        <v>552</v>
      </c>
      <c r="E27" s="171" t="s">
        <v>553</v>
      </c>
      <c r="F27" s="171" t="s">
        <v>554</v>
      </c>
      <c r="G27" s="174" t="s">
        <v>555</v>
      </c>
      <c r="H27" s="174">
        <v>4.4343985895821511E-4</v>
      </c>
      <c r="I27" s="176">
        <v>5.6730265726320512E-4</v>
      </c>
      <c r="J27" s="176">
        <v>3.6560785018883261E-3</v>
      </c>
      <c r="K27">
        <v>4.8256559090383618E-3</v>
      </c>
    </row>
    <row r="28" spans="3:11" x14ac:dyDescent="0.25">
      <c r="C28" s="171" t="s">
        <v>498</v>
      </c>
      <c r="D28" s="171" t="s">
        <v>552</v>
      </c>
      <c r="E28" s="171" t="s">
        <v>553</v>
      </c>
      <c r="F28" s="171" t="s">
        <v>554</v>
      </c>
      <c r="G28" s="174" t="s">
        <v>555</v>
      </c>
      <c r="H28" s="174">
        <v>2.0734544525924884E-5</v>
      </c>
      <c r="I28" s="176">
        <v>2.6461742451665024E-5</v>
      </c>
      <c r="J28" s="176">
        <v>1.7144440962782611E-4</v>
      </c>
      <c r="K28">
        <v>2.2567682491826088E-4</v>
      </c>
    </row>
    <row r="29" spans="3:11" x14ac:dyDescent="0.25">
      <c r="C29" s="171" t="s">
        <v>498</v>
      </c>
      <c r="D29" s="171" t="s">
        <v>556</v>
      </c>
      <c r="E29" s="171" t="s">
        <v>557</v>
      </c>
      <c r="F29" s="171" t="s">
        <v>558</v>
      </c>
      <c r="G29" s="174" t="s">
        <v>559</v>
      </c>
      <c r="H29" s="174">
        <v>6.2616982187499838E-3</v>
      </c>
      <c r="I29" s="176">
        <v>0</v>
      </c>
      <c r="J29" s="176">
        <v>5.1632750541611851E-2</v>
      </c>
      <c r="K29">
        <v>0</v>
      </c>
    </row>
    <row r="30" spans="3:11" x14ac:dyDescent="0.25">
      <c r="C30" s="171" t="s">
        <v>498</v>
      </c>
      <c r="D30" s="171" t="s">
        <v>560</v>
      </c>
      <c r="E30" s="171" t="s">
        <v>561</v>
      </c>
      <c r="F30" s="171" t="s">
        <v>562</v>
      </c>
      <c r="G30" s="174" t="s">
        <v>563</v>
      </c>
      <c r="H30" s="174">
        <v>5.153109973719382E-6</v>
      </c>
      <c r="I30" s="176">
        <v>6.5866737534841555E-6</v>
      </c>
      <c r="J30" s="176">
        <v>4.2608695652173909E-5</v>
      </c>
      <c r="K30">
        <v>5.6173913043478252E-5</v>
      </c>
    </row>
    <row r="31" spans="3:11" x14ac:dyDescent="0.25">
      <c r="C31" s="171" t="s">
        <v>498</v>
      </c>
      <c r="D31" s="171" t="s">
        <v>560</v>
      </c>
      <c r="E31" s="171" t="s">
        <v>564</v>
      </c>
      <c r="F31" s="171" t="s">
        <v>565</v>
      </c>
      <c r="G31" s="174" t="s">
        <v>563</v>
      </c>
      <c r="H31" s="174">
        <v>8.160777864891136E-5</v>
      </c>
      <c r="I31" s="176">
        <v>5.4593501674438012E-5</v>
      </c>
      <c r="J31" s="176">
        <v>6.7477717747826092E-4</v>
      </c>
      <c r="K31">
        <v>4.6559625246000004E-4</v>
      </c>
    </row>
    <row r="32" spans="3:11" x14ac:dyDescent="0.25">
      <c r="C32" s="171" t="s">
        <v>498</v>
      </c>
      <c r="D32" s="171" t="s">
        <v>560</v>
      </c>
      <c r="E32" s="171" t="s">
        <v>566</v>
      </c>
      <c r="F32" s="171" t="s">
        <v>567</v>
      </c>
      <c r="G32" s="174" t="s">
        <v>563</v>
      </c>
      <c r="H32" s="174">
        <v>3.2496142487332428E-6</v>
      </c>
      <c r="I32" s="176">
        <v>4.1498083864830529E-6</v>
      </c>
      <c r="J32" s="176">
        <v>2.6869565217391303E-5</v>
      </c>
      <c r="K32">
        <v>3.5391304347826089E-5</v>
      </c>
    </row>
    <row r="33" spans="3:11" x14ac:dyDescent="0.25">
      <c r="C33" s="171" t="s">
        <v>498</v>
      </c>
      <c r="D33" s="171" t="s">
        <v>560</v>
      </c>
      <c r="E33" s="171" t="s">
        <v>561</v>
      </c>
      <c r="F33" s="171" t="s">
        <v>562</v>
      </c>
      <c r="G33" s="174" t="s">
        <v>563</v>
      </c>
      <c r="H33" s="174">
        <v>1.1177663080908086E-4</v>
      </c>
      <c r="I33" s="176">
        <v>1.4299860476739453E-4</v>
      </c>
      <c r="J33" s="176">
        <v>9.2155134362692374E-4</v>
      </c>
      <c r="K33">
        <v>1.2163678431491851E-3</v>
      </c>
    </row>
    <row r="34" spans="3:11" x14ac:dyDescent="0.25">
      <c r="C34" s="171" t="s">
        <v>498</v>
      </c>
      <c r="D34" s="171" t="s">
        <v>560</v>
      </c>
      <c r="E34" s="171" t="s">
        <v>564</v>
      </c>
      <c r="F34" s="171" t="s">
        <v>565</v>
      </c>
      <c r="G34" s="174" t="s">
        <v>563</v>
      </c>
      <c r="H34" s="174">
        <v>1.6948495695082307E-3</v>
      </c>
      <c r="I34" s="176">
        <v>1.135742295989271E-3</v>
      </c>
      <c r="J34" s="176">
        <v>1.3973188216480952E-2</v>
      </c>
      <c r="K34">
        <v>9.6606355859550665E-3</v>
      </c>
    </row>
    <row r="35" spans="3:11" x14ac:dyDescent="0.25">
      <c r="C35" s="171" t="s">
        <v>498</v>
      </c>
      <c r="D35" s="171" t="s">
        <v>560</v>
      </c>
      <c r="E35" s="171" t="s">
        <v>566</v>
      </c>
      <c r="F35" s="171" t="s">
        <v>567</v>
      </c>
      <c r="G35" s="174" t="s">
        <v>563</v>
      </c>
      <c r="H35" s="174">
        <v>6.9071444187674886E-5</v>
      </c>
      <c r="I35" s="176">
        <v>8.8364393668606444E-5</v>
      </c>
      <c r="J35" s="176">
        <v>5.6945403753063349E-4</v>
      </c>
      <c r="K35">
        <v>7.516187033817848E-4</v>
      </c>
    </row>
    <row r="36" spans="3:11" x14ac:dyDescent="0.25">
      <c r="C36" s="171" t="s">
        <v>498</v>
      </c>
      <c r="D36" s="171" t="s">
        <v>568</v>
      </c>
      <c r="E36" s="171" t="s">
        <v>569</v>
      </c>
      <c r="F36" s="171" t="s">
        <v>570</v>
      </c>
      <c r="G36" s="174" t="s">
        <v>571</v>
      </c>
      <c r="H36" s="174">
        <v>7.9087558983010871E-4</v>
      </c>
      <c r="I36" s="176">
        <v>0</v>
      </c>
      <c r="J36" s="176">
        <v>6.5216017310317119E-3</v>
      </c>
      <c r="K36">
        <v>0</v>
      </c>
    </row>
    <row r="37" spans="3:11" x14ac:dyDescent="0.25">
      <c r="C37" s="171" t="s">
        <v>498</v>
      </c>
      <c r="D37" s="171" t="s">
        <v>568</v>
      </c>
      <c r="E37" s="171" t="s">
        <v>572</v>
      </c>
      <c r="F37" s="171" t="s">
        <v>573</v>
      </c>
      <c r="G37" s="174" t="s">
        <v>571</v>
      </c>
      <c r="H37" s="174">
        <v>1.9525615947407806E-4</v>
      </c>
      <c r="I37" s="176">
        <v>2.4978800093028924E-4</v>
      </c>
      <c r="J37" s="176">
        <v>1.6099835660562736E-3</v>
      </c>
      <c r="K37">
        <v>2.1250028068068422E-3</v>
      </c>
    </row>
    <row r="38" spans="3:11" x14ac:dyDescent="0.25">
      <c r="C38" s="171" t="s">
        <v>498</v>
      </c>
      <c r="D38" s="171" t="s">
        <v>574</v>
      </c>
      <c r="E38" s="171" t="s">
        <v>575</v>
      </c>
      <c r="F38" s="171" t="s">
        <v>576</v>
      </c>
      <c r="G38" s="174" t="s">
        <v>577</v>
      </c>
      <c r="H38" s="174">
        <v>4.4707109491778501E-4</v>
      </c>
      <c r="I38" s="176">
        <v>5.7193842363954957E-4</v>
      </c>
      <c r="J38" s="176">
        <v>3.6855960061114548E-3</v>
      </c>
      <c r="K38">
        <v>4.8641463080987034E-3</v>
      </c>
    </row>
    <row r="39" spans="3:11" x14ac:dyDescent="0.25">
      <c r="C39" s="171" t="s">
        <v>498</v>
      </c>
      <c r="D39" s="171" t="s">
        <v>574</v>
      </c>
      <c r="E39" s="171" t="s">
        <v>575</v>
      </c>
      <c r="F39" s="171" t="s">
        <v>576</v>
      </c>
      <c r="G39" s="174" t="s">
        <v>577</v>
      </c>
      <c r="H39" s="174">
        <v>2.2443419864094171E-5</v>
      </c>
      <c r="I39" s="176">
        <v>2.8630949160228528E-5</v>
      </c>
      <c r="J39" s="176">
        <v>1.8557431362034777E-4</v>
      </c>
      <c r="K39">
        <v>2.4417672844782607E-4</v>
      </c>
    </row>
    <row r="40" spans="3:11" x14ac:dyDescent="0.25">
      <c r="C40" s="171" t="s">
        <v>498</v>
      </c>
      <c r="D40" s="171" t="s">
        <v>578</v>
      </c>
      <c r="E40" s="171" t="s">
        <v>579</v>
      </c>
      <c r="F40" s="171" t="s">
        <v>580</v>
      </c>
      <c r="G40" s="174" t="s">
        <v>581</v>
      </c>
      <c r="H40" s="174">
        <v>1.7647992179140401E-4</v>
      </c>
      <c r="I40" s="176">
        <v>2.2603803011425069E-4</v>
      </c>
      <c r="J40" s="176">
        <v>1.4592312826000001E-3</v>
      </c>
      <c r="K40">
        <v>1.9277470121304347E-3</v>
      </c>
    </row>
    <row r="41" spans="3:11" x14ac:dyDescent="0.25">
      <c r="C41" s="171" t="s">
        <v>498</v>
      </c>
      <c r="D41" s="171" t="s">
        <v>578</v>
      </c>
      <c r="E41" s="171" t="s">
        <v>579</v>
      </c>
      <c r="F41" s="171" t="s">
        <v>580</v>
      </c>
      <c r="G41" s="174" t="s">
        <v>581</v>
      </c>
      <c r="H41" s="174">
        <v>3.9194391736720735E-3</v>
      </c>
      <c r="I41" s="176">
        <v>5.0142527170837052E-3</v>
      </c>
      <c r="J41" s="176">
        <v>3.2315362907178763E-2</v>
      </c>
      <c r="K41">
        <v>4.2654188298122328E-2</v>
      </c>
    </row>
    <row r="42" spans="3:11" x14ac:dyDescent="0.25">
      <c r="C42" s="171" t="s">
        <v>498</v>
      </c>
      <c r="D42" s="171" t="s">
        <v>582</v>
      </c>
      <c r="E42" s="171" t="s">
        <v>583</v>
      </c>
      <c r="F42" s="171" t="s">
        <v>584</v>
      </c>
      <c r="G42" s="174" t="s">
        <v>585</v>
      </c>
      <c r="H42" s="174">
        <v>1.1851199693926273E-3</v>
      </c>
      <c r="I42" s="176">
        <v>1.5163447726674161E-3</v>
      </c>
      <c r="J42" s="176">
        <v>9.7723925117703218E-3</v>
      </c>
      <c r="K42">
        <v>1.2900110121800401E-2</v>
      </c>
    </row>
    <row r="43" spans="3:11" x14ac:dyDescent="0.25">
      <c r="C43" s="171" t="s">
        <v>498</v>
      </c>
      <c r="D43" s="171" t="s">
        <v>586</v>
      </c>
      <c r="E43" s="171" t="s">
        <v>587</v>
      </c>
      <c r="F43" s="171" t="s">
        <v>588</v>
      </c>
      <c r="G43" s="174" t="s">
        <v>589</v>
      </c>
      <c r="H43" s="174">
        <v>8.3921226752541815E-4</v>
      </c>
      <c r="I43" s="176">
        <v>1.0738932186241785E-3</v>
      </c>
      <c r="J43" s="176">
        <v>6.9200532258806048E-3</v>
      </c>
      <c r="K43">
        <v>9.135107128207684E-3</v>
      </c>
    </row>
    <row r="44" spans="3:11" x14ac:dyDescent="0.25">
      <c r="C44" s="171" t="s">
        <v>498</v>
      </c>
      <c r="D44" s="171" t="s">
        <v>586</v>
      </c>
      <c r="E44" s="171" t="s">
        <v>590</v>
      </c>
      <c r="F44" s="171" t="s">
        <v>591</v>
      </c>
      <c r="G44" s="174" t="s">
        <v>589</v>
      </c>
      <c r="H44" s="174">
        <v>8.1642404949153584E-3</v>
      </c>
      <c r="I44" s="176">
        <v>1.0444673683349585E-2</v>
      </c>
      <c r="J44" s="176">
        <v>6.7321552515944391E-2</v>
      </c>
      <c r="K44">
        <v>8.8857627344973808E-2</v>
      </c>
    </row>
    <row r="45" spans="3:11" x14ac:dyDescent="0.25">
      <c r="C45" s="171" t="s">
        <v>498</v>
      </c>
      <c r="D45" s="171" t="s">
        <v>592</v>
      </c>
      <c r="E45" s="171" t="s">
        <v>593</v>
      </c>
      <c r="F45" s="171" t="s">
        <v>594</v>
      </c>
      <c r="G45" s="174" t="s">
        <v>595</v>
      </c>
      <c r="H45" s="174">
        <v>3.0484938627842898E-5</v>
      </c>
      <c r="I45" s="176">
        <v>3.8995261419946063E-5</v>
      </c>
      <c r="J45" s="176">
        <v>2.5133397247320831E-4</v>
      </c>
      <c r="K45">
        <v>3.3166261439821225E-4</v>
      </c>
    </row>
    <row r="46" spans="3:11" x14ac:dyDescent="0.25">
      <c r="C46" s="171" t="s">
        <v>498</v>
      </c>
      <c r="D46" s="171" t="s">
        <v>592</v>
      </c>
      <c r="E46" s="171" t="s">
        <v>596</v>
      </c>
      <c r="F46" s="171" t="s">
        <v>597</v>
      </c>
      <c r="G46" s="174" t="s">
        <v>595</v>
      </c>
      <c r="H46" s="174">
        <v>9.8704785326204545E-4</v>
      </c>
      <c r="I46" s="176">
        <v>9.5464011345814791E-4</v>
      </c>
      <c r="J46" s="176">
        <v>8.1403583295851494E-3</v>
      </c>
      <c r="K46">
        <v>8.1227349670725032E-3</v>
      </c>
    </row>
    <row r="47" spans="3:11" x14ac:dyDescent="0.25">
      <c r="C47" s="171" t="s">
        <v>498</v>
      </c>
      <c r="D47" s="171" t="s">
        <v>592</v>
      </c>
      <c r="E47" s="171" t="s">
        <v>598</v>
      </c>
      <c r="F47" s="171" t="s">
        <v>599</v>
      </c>
      <c r="G47" s="174" t="s">
        <v>595</v>
      </c>
      <c r="H47" s="174">
        <v>1.9600698266293375E-4</v>
      </c>
      <c r="I47" s="176">
        <v>2.5075079587690442E-4</v>
      </c>
      <c r="J47" s="176">
        <v>1.6163361408690071E-3</v>
      </c>
      <c r="K47">
        <v>2.1332816706465967E-3</v>
      </c>
    </row>
    <row r="48" spans="3:11" x14ac:dyDescent="0.25">
      <c r="C48" s="171" t="s">
        <v>498</v>
      </c>
      <c r="D48" s="171" t="s">
        <v>600</v>
      </c>
      <c r="E48" s="171" t="s">
        <v>601</v>
      </c>
      <c r="F48" s="171" t="s">
        <v>602</v>
      </c>
      <c r="G48" s="174" t="s">
        <v>603</v>
      </c>
      <c r="H48" s="174">
        <v>7.99747630488937E-5</v>
      </c>
      <c r="I48" s="176">
        <v>1.0230230395809669E-4</v>
      </c>
      <c r="J48" s="176">
        <v>6.5945781327198384E-4</v>
      </c>
      <c r="K48">
        <v>8.7021471244296195E-4</v>
      </c>
    </row>
    <row r="49" spans="3:11" x14ac:dyDescent="0.25">
      <c r="C49" s="171" t="s">
        <v>498</v>
      </c>
      <c r="D49" s="171" t="s">
        <v>604</v>
      </c>
      <c r="E49" s="171" t="s">
        <v>605</v>
      </c>
      <c r="F49" s="171" t="s">
        <v>606</v>
      </c>
      <c r="G49" s="174" t="s">
        <v>607</v>
      </c>
      <c r="H49" s="174">
        <v>1.0901659934496122E-3</v>
      </c>
      <c r="I49" s="176">
        <v>0</v>
      </c>
      <c r="J49" s="176">
        <v>8.9905614604665826E-3</v>
      </c>
      <c r="K49">
        <v>0</v>
      </c>
    </row>
    <row r="50" spans="3:11" x14ac:dyDescent="0.25">
      <c r="C50" s="171" t="s">
        <v>498</v>
      </c>
      <c r="D50" s="171" t="s">
        <v>608</v>
      </c>
      <c r="E50" s="171" t="s">
        <v>609</v>
      </c>
      <c r="F50" s="171" t="s">
        <v>610</v>
      </c>
      <c r="G50" s="174" t="s">
        <v>611</v>
      </c>
      <c r="H50" s="174">
        <v>9.2225274724498896E-6</v>
      </c>
      <c r="I50" s="176">
        <v>1.178102716667439E-5</v>
      </c>
      <c r="J50" s="176">
        <v>7.6256836788173919E-5</v>
      </c>
      <c r="K50">
        <v>1.004735349573913E-4</v>
      </c>
    </row>
    <row r="51" spans="3:11" x14ac:dyDescent="0.25">
      <c r="C51" s="171" t="s">
        <v>498</v>
      </c>
      <c r="D51" s="171" t="s">
        <v>608</v>
      </c>
      <c r="E51" s="171" t="s">
        <v>612</v>
      </c>
      <c r="F51" s="171" t="s">
        <v>613</v>
      </c>
      <c r="G51" s="174" t="s">
        <v>611</v>
      </c>
      <c r="H51" s="174">
        <v>5.930492064860494E-4</v>
      </c>
      <c r="I51" s="176">
        <v>0</v>
      </c>
      <c r="J51" s="176">
        <v>4.8899537078683228E-3</v>
      </c>
      <c r="K51">
        <v>0</v>
      </c>
    </row>
    <row r="52" spans="3:11" x14ac:dyDescent="0.25">
      <c r="C52" s="171" t="s">
        <v>498</v>
      </c>
      <c r="D52" s="171" t="s">
        <v>608</v>
      </c>
      <c r="E52" s="171" t="s">
        <v>609</v>
      </c>
      <c r="F52" s="171" t="s">
        <v>610</v>
      </c>
      <c r="G52" s="174" t="s">
        <v>611</v>
      </c>
      <c r="H52" s="174">
        <v>2.0296798528068004E-4</v>
      </c>
      <c r="I52" s="176">
        <v>2.5966134989227195E-4</v>
      </c>
      <c r="J52" s="176">
        <v>1.6734449474554353E-3</v>
      </c>
      <c r="K52">
        <v>2.2086813670749608E-3</v>
      </c>
    </row>
    <row r="53" spans="3:11" x14ac:dyDescent="0.25">
      <c r="C53" s="171" t="s">
        <v>498</v>
      </c>
      <c r="D53" s="171" t="s">
        <v>614</v>
      </c>
      <c r="E53" s="171" t="s">
        <v>615</v>
      </c>
      <c r="F53" s="171" t="s">
        <v>616</v>
      </c>
      <c r="G53" s="174" t="s">
        <v>617</v>
      </c>
      <c r="H53" s="174">
        <v>3.8753890998243852E-3</v>
      </c>
      <c r="I53" s="176">
        <v>4.9578885750555506E-3</v>
      </c>
      <c r="J53" s="176">
        <v>3.1951670634114866E-2</v>
      </c>
      <c r="K53">
        <v>4.2173674369597597E-2</v>
      </c>
    </row>
    <row r="54" spans="3:11" x14ac:dyDescent="0.25">
      <c r="C54" s="171" t="s">
        <v>498</v>
      </c>
      <c r="D54" s="171" t="s">
        <v>614</v>
      </c>
      <c r="E54" s="171" t="s">
        <v>615</v>
      </c>
      <c r="F54" s="171" t="s">
        <v>616</v>
      </c>
      <c r="G54" s="174" t="s">
        <v>617</v>
      </c>
      <c r="H54" s="174">
        <v>1.7986653838447246E-4</v>
      </c>
      <c r="I54" s="176">
        <v>2.2993067499227842E-4</v>
      </c>
      <c r="J54" s="176">
        <v>1.4872336571739131E-3</v>
      </c>
      <c r="K54">
        <v>1.9609451183478259E-3</v>
      </c>
    </row>
    <row r="55" spans="3:11" x14ac:dyDescent="0.25">
      <c r="C55" s="171" t="s">
        <v>498</v>
      </c>
      <c r="D55" s="171" t="s">
        <v>618</v>
      </c>
      <c r="E55" s="171" t="s">
        <v>619</v>
      </c>
      <c r="F55" s="171" t="s">
        <v>620</v>
      </c>
      <c r="G55" s="174" t="s">
        <v>621</v>
      </c>
      <c r="H55" s="174">
        <v>9.9928464725077271E-3</v>
      </c>
      <c r="I55" s="176">
        <v>0</v>
      </c>
      <c r="J55" s="176">
        <v>8.2399378953595101E-2</v>
      </c>
      <c r="K55">
        <v>0</v>
      </c>
    </row>
    <row r="56" spans="3:11" x14ac:dyDescent="0.25">
      <c r="C56" s="171" t="s">
        <v>498</v>
      </c>
      <c r="D56" s="171" t="s">
        <v>622</v>
      </c>
      <c r="E56" s="171" t="s">
        <v>623</v>
      </c>
      <c r="F56" s="171" t="s">
        <v>624</v>
      </c>
      <c r="G56" s="174" t="s">
        <v>625</v>
      </c>
      <c r="H56" s="174">
        <v>1.2741875817141759E-2</v>
      </c>
      <c r="I56" s="176">
        <v>0</v>
      </c>
      <c r="J56" s="176">
        <v>0.1050695198364385</v>
      </c>
      <c r="K56">
        <v>0</v>
      </c>
    </row>
    <row r="57" spans="3:11" x14ac:dyDescent="0.25">
      <c r="C57" s="171" t="s">
        <v>498</v>
      </c>
      <c r="D57" s="171" t="s">
        <v>626</v>
      </c>
      <c r="E57" s="171" t="s">
        <v>627</v>
      </c>
      <c r="F57" s="171" t="s">
        <v>628</v>
      </c>
      <c r="G57" s="174" t="s">
        <v>629</v>
      </c>
      <c r="H57" s="174">
        <v>2.5241929840531946E-3</v>
      </c>
      <c r="I57" s="176">
        <v>3.2290328860494167E-3</v>
      </c>
      <c r="J57" s="176">
        <v>2.0814112169850352E-2</v>
      </c>
      <c r="K57">
        <v>2.7470659647412909E-2</v>
      </c>
    </row>
    <row r="58" spans="3:11" x14ac:dyDescent="0.25">
      <c r="C58" s="171" t="s">
        <v>498</v>
      </c>
      <c r="D58" s="171" t="s">
        <v>626</v>
      </c>
      <c r="E58" s="171" t="s">
        <v>630</v>
      </c>
      <c r="F58" s="171" t="s">
        <v>631</v>
      </c>
      <c r="G58" s="174" t="s">
        <v>629</v>
      </c>
      <c r="H58" s="174">
        <v>8.7440595961792607E-3</v>
      </c>
      <c r="I58" s="176">
        <v>1.1186070636299072E-2</v>
      </c>
      <c r="J58" s="176">
        <v>7.2102817717297235E-2</v>
      </c>
      <c r="K58">
        <v>9.516562174666196E-2</v>
      </c>
    </row>
    <row r="59" spans="3:11" x14ac:dyDescent="0.25">
      <c r="C59" s="171" t="s">
        <v>498</v>
      </c>
      <c r="D59" s="171" t="s">
        <v>632</v>
      </c>
      <c r="E59" s="171" t="s">
        <v>633</v>
      </c>
      <c r="F59" s="171" t="s">
        <v>634</v>
      </c>
      <c r="G59" s="174" t="s">
        <v>635</v>
      </c>
      <c r="H59" s="174">
        <v>6.5379277630179342E-3</v>
      </c>
      <c r="I59" s="176">
        <v>6.6211793681628115E-3</v>
      </c>
      <c r="J59" s="176">
        <v>5.391074098036084E-2</v>
      </c>
      <c r="K59">
        <v>5.6328423052548308E-2</v>
      </c>
    </row>
    <row r="60" spans="3:11" x14ac:dyDescent="0.25">
      <c r="C60" s="171" t="s">
        <v>498</v>
      </c>
      <c r="D60" s="171" t="s">
        <v>632</v>
      </c>
      <c r="E60" s="171" t="s">
        <v>636</v>
      </c>
      <c r="F60" s="171" t="s">
        <v>637</v>
      </c>
      <c r="G60" s="174" t="s">
        <v>635</v>
      </c>
      <c r="H60" s="174">
        <v>7.0194324428866917E-4</v>
      </c>
      <c r="I60" s="176">
        <v>0</v>
      </c>
      <c r="J60" s="176">
        <v>5.7880857575294108E-3</v>
      </c>
      <c r="K60">
        <v>0</v>
      </c>
    </row>
    <row r="61" spans="3:11" x14ac:dyDescent="0.25">
      <c r="C61" s="171" t="s">
        <v>498</v>
      </c>
      <c r="D61" s="171" t="s">
        <v>638</v>
      </c>
      <c r="E61" s="171" t="s">
        <v>639</v>
      </c>
      <c r="F61" s="171" t="s">
        <v>640</v>
      </c>
      <c r="G61" s="174" t="s">
        <v>641</v>
      </c>
      <c r="H61" s="174">
        <v>5.778950845883474E-5</v>
      </c>
      <c r="I61" s="176">
        <v>7.3921783244515509E-5</v>
      </c>
      <c r="J61" s="176">
        <v>4.7650401045330417E-4</v>
      </c>
      <c r="K61">
        <v>6.2884641014007388E-4</v>
      </c>
    </row>
    <row r="62" spans="3:11" x14ac:dyDescent="0.25">
      <c r="C62" s="171" t="s">
        <v>498</v>
      </c>
      <c r="D62" s="171" t="s">
        <v>642</v>
      </c>
      <c r="E62" s="171" t="s">
        <v>643</v>
      </c>
      <c r="F62" s="171" t="s">
        <v>644</v>
      </c>
      <c r="G62" s="174" t="s">
        <v>645</v>
      </c>
      <c r="H62" s="174">
        <v>1.0728222271666887E-4</v>
      </c>
      <c r="I62" s="176">
        <v>1.3725461338713222E-4</v>
      </c>
      <c r="J62" s="176">
        <v>8.8459313354087999E-4</v>
      </c>
      <c r="K62">
        <v>1.1675140257938548E-3</v>
      </c>
    </row>
    <row r="63" spans="3:11" x14ac:dyDescent="0.25">
      <c r="C63" s="171" t="s">
        <v>498</v>
      </c>
      <c r="D63" s="171" t="s">
        <v>642</v>
      </c>
      <c r="E63" s="171" t="s">
        <v>646</v>
      </c>
      <c r="F63" s="171" t="s">
        <v>647</v>
      </c>
      <c r="G63" s="174" t="s">
        <v>645</v>
      </c>
      <c r="H63" s="174">
        <v>1.2241626168302456E-4</v>
      </c>
      <c r="I63" s="176">
        <v>1.5659468329346629E-4</v>
      </c>
      <c r="J63" s="176">
        <v>1.0094788065010583E-3</v>
      </c>
      <c r="K63">
        <v>1.3322694719094771E-3</v>
      </c>
    </row>
    <row r="64" spans="3:11" x14ac:dyDescent="0.25">
      <c r="C64" s="171" t="s">
        <v>498</v>
      </c>
      <c r="D64" s="171" t="s">
        <v>642</v>
      </c>
      <c r="E64" s="171" t="s">
        <v>648</v>
      </c>
      <c r="F64" s="171" t="s">
        <v>649</v>
      </c>
      <c r="G64" s="174" t="s">
        <v>645</v>
      </c>
      <c r="H64" s="174">
        <v>6.2602882599382598E-5</v>
      </c>
      <c r="I64" s="176">
        <v>8.0081272659761828E-5</v>
      </c>
      <c r="J64" s="176">
        <v>5.161629063021719E-4</v>
      </c>
      <c r="K64">
        <v>6.811945350419479E-4</v>
      </c>
    </row>
    <row r="65" spans="3:11" x14ac:dyDescent="0.25">
      <c r="C65" s="171" t="s">
        <v>498</v>
      </c>
      <c r="D65" s="171" t="s">
        <v>642</v>
      </c>
      <c r="E65" s="171" t="s">
        <v>650</v>
      </c>
      <c r="F65" s="171" t="s">
        <v>651</v>
      </c>
      <c r="G65" s="174" t="s">
        <v>645</v>
      </c>
      <c r="H65" s="174">
        <v>8.0680303126834648E-5</v>
      </c>
      <c r="I65" s="176">
        <v>4.9940059026989662E-5</v>
      </c>
      <c r="J65" s="176">
        <v>6.6521452845609E-4</v>
      </c>
      <c r="K65">
        <v>4.2481583722047512E-4</v>
      </c>
    </row>
    <row r="66" spans="3:11" x14ac:dyDescent="0.25">
      <c r="C66" s="171" t="s">
        <v>498</v>
      </c>
      <c r="D66" s="171" t="s">
        <v>642</v>
      </c>
      <c r="E66" s="171" t="s">
        <v>652</v>
      </c>
      <c r="F66" s="171" t="s">
        <v>653</v>
      </c>
      <c r="G66" s="174" t="s">
        <v>645</v>
      </c>
      <c r="H66" s="174">
        <v>1.1493773081733593E-3</v>
      </c>
      <c r="I66" s="176">
        <v>0</v>
      </c>
      <c r="J66" s="176">
        <v>9.4780465738271581E-3</v>
      </c>
      <c r="K66">
        <v>0</v>
      </c>
    </row>
    <row r="67" spans="3:11" x14ac:dyDescent="0.25">
      <c r="C67" s="171" t="s">
        <v>498</v>
      </c>
      <c r="D67" s="171" t="s">
        <v>654</v>
      </c>
      <c r="E67" s="171" t="s">
        <v>655</v>
      </c>
      <c r="F67" s="171" t="s">
        <v>656</v>
      </c>
      <c r="G67" s="174" t="s">
        <v>657</v>
      </c>
      <c r="H67" s="174">
        <v>6.5805717197262633E-3</v>
      </c>
      <c r="I67" s="176">
        <v>7.1961528248001031E-3</v>
      </c>
      <c r="J67" s="176">
        <v>5.4262085445068615E-2</v>
      </c>
      <c r="K67">
        <v>6.1219049658733822E-2</v>
      </c>
    </row>
    <row r="68" spans="3:11" x14ac:dyDescent="0.25">
      <c r="C68" s="171" t="s">
        <v>498</v>
      </c>
      <c r="D68" s="171" t="s">
        <v>654</v>
      </c>
      <c r="E68" s="171" t="s">
        <v>658</v>
      </c>
      <c r="F68" s="171" t="s">
        <v>659</v>
      </c>
      <c r="G68" s="174" t="s">
        <v>657</v>
      </c>
      <c r="H68" s="174">
        <v>2.090705977697926E-5</v>
      </c>
      <c r="I68" s="176">
        <v>0</v>
      </c>
      <c r="J68" s="176">
        <v>1.7239248626795095E-4</v>
      </c>
      <c r="K68">
        <v>0</v>
      </c>
    </row>
    <row r="69" spans="3:11" x14ac:dyDescent="0.25">
      <c r="C69" s="171" t="s">
        <v>498</v>
      </c>
      <c r="D69" s="171" t="s">
        <v>660</v>
      </c>
      <c r="E69" s="171" t="s">
        <v>661</v>
      </c>
      <c r="F69" s="171" t="s">
        <v>662</v>
      </c>
      <c r="G69" s="174" t="s">
        <v>663</v>
      </c>
      <c r="H69" s="174">
        <v>7.76287362887868E-3</v>
      </c>
      <c r="I69" s="176">
        <v>7.7243007873155104E-3</v>
      </c>
      <c r="J69" s="176">
        <v>6.4011280271357524E-2</v>
      </c>
      <c r="K69">
        <v>6.5713324046180119E-2</v>
      </c>
    </row>
    <row r="70" spans="3:11" x14ac:dyDescent="0.25">
      <c r="C70" s="171" t="s">
        <v>498</v>
      </c>
      <c r="D70" s="171" t="s">
        <v>660</v>
      </c>
      <c r="E70" s="171" t="s">
        <v>664</v>
      </c>
      <c r="F70" s="171" t="s">
        <v>665</v>
      </c>
      <c r="G70" s="174" t="s">
        <v>663</v>
      </c>
      <c r="H70" s="174">
        <v>5.361047571686581E-4</v>
      </c>
      <c r="I70" s="176">
        <v>6.8581778903069118E-4</v>
      </c>
      <c r="J70" s="176">
        <v>4.4208299965890754E-3</v>
      </c>
      <c r="K70">
        <v>5.8346643584287847E-3</v>
      </c>
    </row>
    <row r="71" spans="3:11" x14ac:dyDescent="0.25">
      <c r="C71" s="171" t="s">
        <v>498</v>
      </c>
      <c r="D71" s="171" t="s">
        <v>666</v>
      </c>
      <c r="E71" s="171" t="s">
        <v>667</v>
      </c>
      <c r="F71" s="171" t="s">
        <v>668</v>
      </c>
      <c r="G71" s="174" t="s">
        <v>669</v>
      </c>
      <c r="H71" s="174">
        <v>1.6499105848617501E-3</v>
      </c>
      <c r="I71" s="176">
        <v>0</v>
      </c>
      <c r="J71" s="176">
        <v>1.3604965843558064E-2</v>
      </c>
      <c r="K71">
        <v>0</v>
      </c>
    </row>
    <row r="72" spans="3:11" x14ac:dyDescent="0.25">
      <c r="C72" s="171" t="s">
        <v>498</v>
      </c>
      <c r="D72" s="171" t="s">
        <v>666</v>
      </c>
      <c r="E72" s="171" t="s">
        <v>670</v>
      </c>
      <c r="F72" s="171" t="s">
        <v>671</v>
      </c>
      <c r="G72" s="174" t="s">
        <v>669</v>
      </c>
      <c r="H72" s="174">
        <v>1.1023771789343693E-2</v>
      </c>
      <c r="I72" s="176">
        <v>1.4102460636594901E-2</v>
      </c>
      <c r="J72" s="176">
        <v>9.089962946992472E-2</v>
      </c>
      <c r="K72">
        <v>0.11997523662055547</v>
      </c>
    </row>
    <row r="73" spans="3:11" x14ac:dyDescent="0.25">
      <c r="C73" s="171" t="s">
        <v>498</v>
      </c>
      <c r="D73" s="171" t="s">
        <v>672</v>
      </c>
      <c r="E73" s="171" t="s">
        <v>673</v>
      </c>
      <c r="F73" s="171" t="s">
        <v>674</v>
      </c>
      <c r="G73" s="174" t="s">
        <v>675</v>
      </c>
      <c r="H73" s="174">
        <v>7.1769267985862125E-4</v>
      </c>
      <c r="I73" s="176">
        <v>8.8972543023191212E-4</v>
      </c>
      <c r="J73" s="176">
        <v>5.9342705907394514E-3</v>
      </c>
      <c r="K73">
        <v>7.5879511906872723E-3</v>
      </c>
    </row>
    <row r="74" spans="3:11" x14ac:dyDescent="0.25">
      <c r="C74" s="171" t="s">
        <v>498</v>
      </c>
      <c r="D74" s="171" t="s">
        <v>672</v>
      </c>
      <c r="E74" s="171" t="s">
        <v>676</v>
      </c>
      <c r="F74" s="171" t="s">
        <v>677</v>
      </c>
      <c r="G74" s="174" t="s">
        <v>675</v>
      </c>
      <c r="H74" s="174">
        <v>2.2723862188620523E-4</v>
      </c>
      <c r="I74" s="176">
        <v>2.2450869042072138E-4</v>
      </c>
      <c r="J74" s="176">
        <v>1.8789316218260871E-3</v>
      </c>
      <c r="K74">
        <v>1.9147041625566551E-3</v>
      </c>
    </row>
    <row r="75" spans="3:11" x14ac:dyDescent="0.25">
      <c r="C75" s="171" t="s">
        <v>498</v>
      </c>
      <c r="D75" s="171" t="s">
        <v>672</v>
      </c>
      <c r="E75" s="171" t="s">
        <v>678</v>
      </c>
      <c r="F75" s="171" t="s">
        <v>679</v>
      </c>
      <c r="G75" s="174" t="s">
        <v>675</v>
      </c>
      <c r="H75" s="174">
        <v>5.5422223594900301E-6</v>
      </c>
      <c r="I75" s="176">
        <v>7.0862821341663903E-6</v>
      </c>
      <c r="J75" s="176">
        <v>4.5826086956521741E-5</v>
      </c>
      <c r="K75">
        <v>6.043478260869564E-5</v>
      </c>
    </row>
    <row r="76" spans="3:11" x14ac:dyDescent="0.25">
      <c r="C76" s="171" t="s">
        <v>498</v>
      </c>
      <c r="D76" s="171" t="s">
        <v>672</v>
      </c>
      <c r="E76" s="171" t="s">
        <v>676</v>
      </c>
      <c r="F76" s="171" t="s">
        <v>677</v>
      </c>
      <c r="G76" s="174" t="s">
        <v>675</v>
      </c>
      <c r="H76" s="174">
        <v>4.7661906510546833E-3</v>
      </c>
      <c r="I76" s="176">
        <v>4.7116696424655529E-3</v>
      </c>
      <c r="J76" s="176">
        <v>3.9293980575111659E-2</v>
      </c>
      <c r="K76">
        <v>4.007619368550875E-2</v>
      </c>
    </row>
    <row r="77" spans="3:11" x14ac:dyDescent="0.25">
      <c r="C77" s="171" t="s">
        <v>498</v>
      </c>
      <c r="D77" s="171" t="s">
        <v>672</v>
      </c>
      <c r="E77" s="171" t="s">
        <v>678</v>
      </c>
      <c r="F77" s="171" t="s">
        <v>679</v>
      </c>
      <c r="G77" s="174" t="s">
        <v>675</v>
      </c>
      <c r="H77" s="174">
        <v>1.2007024165408718E-4</v>
      </c>
      <c r="I77" s="176">
        <v>1.5360878323200276E-4</v>
      </c>
      <c r="J77" s="176">
        <v>9.8992824397632802E-4</v>
      </c>
      <c r="K77">
        <v>1.3066184415264006E-3</v>
      </c>
    </row>
    <row r="78" spans="3:11" x14ac:dyDescent="0.25">
      <c r="C78" s="171" t="s">
        <v>498</v>
      </c>
      <c r="D78" s="171" t="s">
        <v>672</v>
      </c>
      <c r="E78" s="171" t="s">
        <v>673</v>
      </c>
      <c r="F78" s="171" t="s">
        <v>674</v>
      </c>
      <c r="G78" s="174" t="s">
        <v>675</v>
      </c>
      <c r="H78" s="174">
        <v>1.6211650829711915E-2</v>
      </c>
      <c r="I78" s="176">
        <v>2.0111641244567633E-2</v>
      </c>
      <c r="J78" s="176">
        <v>0.13366443559198482</v>
      </c>
      <c r="K78">
        <v>0.17108333974341733</v>
      </c>
    </row>
    <row r="79" spans="3:11" x14ac:dyDescent="0.25">
      <c r="C79" s="171" t="s">
        <v>498</v>
      </c>
      <c r="D79" s="171" t="s">
        <v>680</v>
      </c>
      <c r="E79" s="171" t="s">
        <v>681</v>
      </c>
      <c r="F79" s="171" t="s">
        <v>682</v>
      </c>
      <c r="G79" s="174" t="s">
        <v>683</v>
      </c>
      <c r="H79" s="174">
        <v>5.9668056081314206E-3</v>
      </c>
      <c r="I79" s="176">
        <v>7.6335167998563156E-3</v>
      </c>
      <c r="J79" s="176">
        <v>4.9195671364790312E-2</v>
      </c>
      <c r="K79">
        <v>6.4934972996143633E-2</v>
      </c>
    </row>
    <row r="80" spans="3:11" x14ac:dyDescent="0.25">
      <c r="C80" s="171" t="s">
        <v>498</v>
      </c>
      <c r="D80" s="171" t="s">
        <v>680</v>
      </c>
      <c r="E80" s="171" t="s">
        <v>684</v>
      </c>
      <c r="F80" s="171" t="s">
        <v>685</v>
      </c>
      <c r="G80" s="174" t="s">
        <v>683</v>
      </c>
      <c r="H80" s="174">
        <v>9.8697163571786605E-3</v>
      </c>
      <c r="I80" s="176">
        <v>1.2626086029350557E-2</v>
      </c>
      <c r="J80" s="176">
        <v>8.138549952440044E-2</v>
      </c>
      <c r="K80">
        <v>0.10741787203891669</v>
      </c>
    </row>
    <row r="81" spans="3:11" x14ac:dyDescent="0.25">
      <c r="C81" s="171" t="s">
        <v>498</v>
      </c>
      <c r="D81" s="171" t="s">
        <v>680</v>
      </c>
      <c r="E81" s="171" t="s">
        <v>686</v>
      </c>
      <c r="F81" s="171" t="s">
        <v>687</v>
      </c>
      <c r="G81" s="174" t="s">
        <v>683</v>
      </c>
      <c r="H81" s="174">
        <v>1.6926136887433058E-4</v>
      </c>
      <c r="I81" s="176">
        <v>2.1653366983501472E-4</v>
      </c>
      <c r="J81" s="176">
        <v>1.3957555294292052E-3</v>
      </c>
      <c r="K81">
        <v>1.8421071603199213E-3</v>
      </c>
    </row>
    <row r="82" spans="3:11" x14ac:dyDescent="0.25">
      <c r="C82" s="171" t="s">
        <v>498</v>
      </c>
      <c r="D82" s="171" t="s">
        <v>680</v>
      </c>
      <c r="E82" s="171" t="s">
        <v>681</v>
      </c>
      <c r="F82" s="171" t="s">
        <v>682</v>
      </c>
      <c r="G82" s="174" t="s">
        <v>683</v>
      </c>
      <c r="H82" s="174">
        <v>2.6941956068284018E-4</v>
      </c>
      <c r="I82" s="176">
        <v>3.4405059129542884E-4</v>
      </c>
      <c r="J82" s="176">
        <v>2.2277063991304352E-3</v>
      </c>
      <c r="K82">
        <v>2.9342075714260873E-3</v>
      </c>
    </row>
    <row r="83" spans="3:11" x14ac:dyDescent="0.25">
      <c r="C83" s="171" t="s">
        <v>498</v>
      </c>
      <c r="D83" s="171" t="s">
        <v>688</v>
      </c>
      <c r="E83" s="171" t="s">
        <v>689</v>
      </c>
      <c r="F83" s="171" t="s">
        <v>690</v>
      </c>
      <c r="G83" s="174" t="s">
        <v>691</v>
      </c>
      <c r="H83" s="174">
        <v>4.7640308588718236E-5</v>
      </c>
      <c r="I83" s="176">
        <v>6.1144918580062664E-5</v>
      </c>
      <c r="J83" s="176">
        <v>3.9391579449782603E-4</v>
      </c>
      <c r="K83">
        <v>5.2146948033521723E-4</v>
      </c>
    </row>
    <row r="84" spans="3:11" x14ac:dyDescent="0.25">
      <c r="C84" s="171" t="s">
        <v>498</v>
      </c>
      <c r="D84" s="171" t="s">
        <v>688</v>
      </c>
      <c r="E84" s="171" t="s">
        <v>692</v>
      </c>
      <c r="F84" s="171" t="s">
        <v>693</v>
      </c>
      <c r="G84" s="174" t="s">
        <v>691</v>
      </c>
      <c r="H84" s="174">
        <v>2.2465811372142202E-5</v>
      </c>
      <c r="I84" s="176">
        <v>2.8701418504223147E-5</v>
      </c>
      <c r="J84" s="176">
        <v>1.8575945869904348E-4</v>
      </c>
      <c r="K84">
        <v>2.4477772053426285E-4</v>
      </c>
    </row>
    <row r="85" spans="3:11" x14ac:dyDescent="0.25">
      <c r="C85" s="171" t="s">
        <v>498</v>
      </c>
      <c r="D85" s="171" t="s">
        <v>688</v>
      </c>
      <c r="E85" s="171" t="s">
        <v>694</v>
      </c>
      <c r="F85" s="171" t="s">
        <v>695</v>
      </c>
      <c r="G85" s="174" t="s">
        <v>691</v>
      </c>
      <c r="H85" s="174">
        <v>4.5666020013952506E-3</v>
      </c>
      <c r="I85" s="176">
        <v>5.8424310461230502E-3</v>
      </c>
      <c r="J85" s="176">
        <v>3.7655864603116436E-2</v>
      </c>
      <c r="K85">
        <v>4.9704482292889304E-2</v>
      </c>
    </row>
    <row r="86" spans="3:11" x14ac:dyDescent="0.25">
      <c r="C86" s="171" t="s">
        <v>498</v>
      </c>
      <c r="D86" s="171" t="s">
        <v>688</v>
      </c>
      <c r="E86" s="171" t="s">
        <v>696</v>
      </c>
      <c r="F86" s="171" t="s">
        <v>697</v>
      </c>
      <c r="G86" s="174" t="s">
        <v>691</v>
      </c>
      <c r="H86" s="174">
        <v>2.3806969043837085E-4</v>
      </c>
      <c r="I86" s="176">
        <v>3.0457676648191085E-4</v>
      </c>
      <c r="J86" s="176">
        <v>1.9631534274692553E-3</v>
      </c>
      <c r="K86">
        <v>2.591179646996419E-3</v>
      </c>
    </row>
    <row r="87" spans="3:11" x14ac:dyDescent="0.25">
      <c r="C87" s="171" t="s">
        <v>498</v>
      </c>
      <c r="D87" s="171" t="s">
        <v>688</v>
      </c>
      <c r="E87" s="171" t="s">
        <v>692</v>
      </c>
      <c r="F87" s="171" t="s">
        <v>693</v>
      </c>
      <c r="G87" s="174" t="s">
        <v>691</v>
      </c>
      <c r="H87" s="174">
        <v>4.8184619521412348E-4</v>
      </c>
      <c r="I87" s="176">
        <v>6.1643694213792675E-4</v>
      </c>
      <c r="J87" s="176">
        <v>3.972721022464756E-3</v>
      </c>
      <c r="K87">
        <v>5.2436324603020584E-3</v>
      </c>
    </row>
    <row r="88" spans="3:11" x14ac:dyDescent="0.25">
      <c r="C88" s="171" t="s">
        <v>498</v>
      </c>
      <c r="D88" s="171" t="s">
        <v>688</v>
      </c>
      <c r="E88" s="171" t="s">
        <v>689</v>
      </c>
      <c r="F88" s="171" t="s">
        <v>690</v>
      </c>
      <c r="G88" s="174" t="s">
        <v>691</v>
      </c>
      <c r="H88" s="174">
        <v>1.0258593913166703E-3</v>
      </c>
      <c r="I88" s="176">
        <v>1.3124040385424896E-3</v>
      </c>
      <c r="J88" s="176">
        <v>8.4580248678037002E-3</v>
      </c>
      <c r="K88">
        <v>1.1163794146858211E-2</v>
      </c>
    </row>
    <row r="89" spans="3:11" x14ac:dyDescent="0.25">
      <c r="C89" s="171" t="s">
        <v>498</v>
      </c>
      <c r="D89" s="171" t="s">
        <v>698</v>
      </c>
      <c r="E89" s="171" t="s">
        <v>699</v>
      </c>
      <c r="F89" s="171" t="s">
        <v>700</v>
      </c>
      <c r="G89" s="174" t="s">
        <v>701</v>
      </c>
      <c r="H89" s="174">
        <v>5.5602419188597882E-3</v>
      </c>
      <c r="I89" s="176">
        <v>7.1132256123464764E-3</v>
      </c>
      <c r="J89" s="176">
        <v>4.5849117734743039E-2</v>
      </c>
      <c r="K89">
        <v>6.0515922006703124E-2</v>
      </c>
    </row>
    <row r="90" spans="3:11" x14ac:dyDescent="0.25">
      <c r="C90" s="171" t="s">
        <v>498</v>
      </c>
      <c r="D90" s="171" t="s">
        <v>698</v>
      </c>
      <c r="E90" s="171" t="s">
        <v>702</v>
      </c>
      <c r="F90" s="171" t="s">
        <v>703</v>
      </c>
      <c r="G90" s="174" t="s">
        <v>701</v>
      </c>
      <c r="H90" s="174">
        <v>1.8548035360514338E-2</v>
      </c>
      <c r="I90" s="176">
        <v>1.3182286226668078E-2</v>
      </c>
      <c r="J90" s="176">
        <v>0.15294483576597645</v>
      </c>
      <c r="K90">
        <v>0.11214851108338018</v>
      </c>
    </row>
    <row r="91" spans="3:11" x14ac:dyDescent="0.25">
      <c r="C91" s="171" t="s">
        <v>498</v>
      </c>
      <c r="D91" s="171" t="s">
        <v>698</v>
      </c>
      <c r="E91" s="171" t="s">
        <v>704</v>
      </c>
      <c r="F91" s="171" t="s">
        <v>705</v>
      </c>
      <c r="G91" s="174" t="s">
        <v>701</v>
      </c>
      <c r="H91" s="174">
        <v>6.0328421232938249E-3</v>
      </c>
      <c r="I91" s="176">
        <v>7.7175510165435742E-3</v>
      </c>
      <c r="J91" s="176">
        <v>4.9746500333197705E-2</v>
      </c>
      <c r="K91">
        <v>6.5657750906644399E-2</v>
      </c>
    </row>
    <row r="92" spans="3:11" x14ac:dyDescent="0.25">
      <c r="C92" s="171" t="s">
        <v>498</v>
      </c>
      <c r="D92" s="171" t="s">
        <v>706</v>
      </c>
      <c r="E92" s="171" t="s">
        <v>707</v>
      </c>
      <c r="F92" s="171" t="s">
        <v>708</v>
      </c>
      <c r="G92" s="174" t="s">
        <v>709</v>
      </c>
      <c r="H92" s="174">
        <v>1.4699288309841008E-4</v>
      </c>
      <c r="I92" s="176">
        <v>1.880631827286502E-4</v>
      </c>
      <c r="J92" s="176">
        <v>1.212064373948182E-3</v>
      </c>
      <c r="K92">
        <v>1.5998079449540709E-3</v>
      </c>
    </row>
    <row r="93" spans="3:11" x14ac:dyDescent="0.25">
      <c r="C93" s="171" t="s">
        <v>498</v>
      </c>
      <c r="D93" s="171" t="s">
        <v>710</v>
      </c>
      <c r="E93" s="171" t="s">
        <v>711</v>
      </c>
      <c r="F93" s="171" t="s">
        <v>712</v>
      </c>
      <c r="G93" s="174" t="s">
        <v>713</v>
      </c>
      <c r="H93" s="174">
        <v>3.0378592307503827E-4</v>
      </c>
      <c r="I93" s="176">
        <v>6.1826732611182007E-5</v>
      </c>
      <c r="J93" s="176">
        <v>2.5118660392913043E-3</v>
      </c>
      <c r="K93">
        <v>5.2728427601652175E-4</v>
      </c>
    </row>
    <row r="94" spans="3:11" x14ac:dyDescent="0.25">
      <c r="C94" s="171" t="s">
        <v>498</v>
      </c>
      <c r="D94" s="171" t="s">
        <v>710</v>
      </c>
      <c r="E94" s="171" t="s">
        <v>711</v>
      </c>
      <c r="F94" s="171" t="s">
        <v>712</v>
      </c>
      <c r="G94" s="174" t="s">
        <v>713</v>
      </c>
      <c r="H94" s="174">
        <v>6.5416194793993954E-3</v>
      </c>
      <c r="I94" s="176">
        <v>1.3336803518375526E-3</v>
      </c>
      <c r="J94" s="176">
        <v>5.3933680096802022E-2</v>
      </c>
      <c r="K94">
        <v>1.1344653989255415E-2</v>
      </c>
    </row>
    <row r="95" spans="3:11" x14ac:dyDescent="0.25">
      <c r="C95" s="171" t="s">
        <v>498</v>
      </c>
      <c r="D95" s="171" t="s">
        <v>714</v>
      </c>
      <c r="E95" s="171" t="s">
        <v>715</v>
      </c>
      <c r="F95" s="171" t="s">
        <v>716</v>
      </c>
      <c r="G95" s="174" t="s">
        <v>717</v>
      </c>
      <c r="H95" s="174">
        <v>1.3256430948945222E-2</v>
      </c>
      <c r="I95" s="176">
        <v>1.6958672541402348E-2</v>
      </c>
      <c r="J95" s="176">
        <v>0.10931141100434885</v>
      </c>
      <c r="K95">
        <v>0.14427647962142096</v>
      </c>
    </row>
    <row r="96" spans="3:11" x14ac:dyDescent="0.25">
      <c r="C96" s="171" t="s">
        <v>498</v>
      </c>
      <c r="D96" s="171" t="s">
        <v>714</v>
      </c>
      <c r="E96" s="171" t="s">
        <v>718</v>
      </c>
      <c r="F96" s="171" t="s">
        <v>719</v>
      </c>
      <c r="G96" s="174" t="s">
        <v>717</v>
      </c>
      <c r="H96" s="174">
        <v>1.3926842362130833E-3</v>
      </c>
      <c r="I96" s="176">
        <v>1.7818106420030109E-3</v>
      </c>
      <c r="J96" s="176">
        <v>1.1483936830453734E-2</v>
      </c>
      <c r="K96">
        <v>1.5158609419709344E-2</v>
      </c>
    </row>
    <row r="97" spans="3:11" x14ac:dyDescent="0.25">
      <c r="C97" s="171" t="s">
        <v>498</v>
      </c>
      <c r="D97" s="171" t="s">
        <v>714</v>
      </c>
      <c r="E97" s="171" t="s">
        <v>720</v>
      </c>
      <c r="F97" s="171" t="s">
        <v>721</v>
      </c>
      <c r="G97" s="174" t="s">
        <v>717</v>
      </c>
      <c r="H97" s="174">
        <v>1.4959882298983863E-4</v>
      </c>
      <c r="I97" s="176">
        <v>1.9138377754275901E-4</v>
      </c>
      <c r="J97" s="176">
        <v>1.2333979948485584E-3</v>
      </c>
      <c r="K97">
        <v>1.6278668282945373E-3</v>
      </c>
    </row>
    <row r="98" spans="3:11" x14ac:dyDescent="0.25">
      <c r="C98" s="171" t="s">
        <v>498</v>
      </c>
      <c r="D98" s="171" t="s">
        <v>714</v>
      </c>
      <c r="E98" s="171" t="s">
        <v>720</v>
      </c>
      <c r="F98" s="171" t="s">
        <v>721</v>
      </c>
      <c r="G98" s="174" t="s">
        <v>717</v>
      </c>
      <c r="H98" s="174">
        <v>7.1278391522124159E-6</v>
      </c>
      <c r="I98" s="176">
        <v>9.0825538618729135E-6</v>
      </c>
      <c r="J98" s="176">
        <v>5.8936822742608687E-5</v>
      </c>
      <c r="K98">
        <v>7.7459824175999994E-5</v>
      </c>
    </row>
    <row r="99" spans="3:11" x14ac:dyDescent="0.25">
      <c r="C99" s="171" t="s">
        <v>498</v>
      </c>
      <c r="D99" s="171" t="s">
        <v>722</v>
      </c>
      <c r="E99" s="171" t="s">
        <v>723</v>
      </c>
      <c r="F99" s="171" t="s">
        <v>724</v>
      </c>
      <c r="G99" s="174" t="s">
        <v>725</v>
      </c>
      <c r="H99" s="174">
        <v>1.2879313626948364E-3</v>
      </c>
      <c r="I99" s="176">
        <v>6.1860297396098304E-4</v>
      </c>
      <c r="J99" s="176">
        <v>1.0621053444155518E-2</v>
      </c>
      <c r="K99">
        <v>5.2630728749207484E-3</v>
      </c>
    </row>
    <row r="100" spans="3:11" x14ac:dyDescent="0.25">
      <c r="C100" s="171" t="s">
        <v>498</v>
      </c>
      <c r="D100" s="171" t="s">
        <v>726</v>
      </c>
      <c r="E100" s="171" t="s">
        <v>727</v>
      </c>
      <c r="F100" s="171" t="s">
        <v>728</v>
      </c>
      <c r="G100" s="174" t="s">
        <v>729</v>
      </c>
      <c r="H100" s="174">
        <v>6.4275132437623572E-4</v>
      </c>
      <c r="I100" s="176">
        <v>8.2227462528050392E-4</v>
      </c>
      <c r="J100" s="176">
        <v>5.2993082295395713E-3</v>
      </c>
      <c r="K100">
        <v>6.9944177185669613E-3</v>
      </c>
    </row>
    <row r="101" spans="3:11" x14ac:dyDescent="0.25">
      <c r="C101" s="171" t="s">
        <v>498</v>
      </c>
      <c r="D101" s="171" t="s">
        <v>726</v>
      </c>
      <c r="E101" s="171" t="s">
        <v>727</v>
      </c>
      <c r="F101" s="171" t="s">
        <v>728</v>
      </c>
      <c r="G101" s="174" t="s">
        <v>729</v>
      </c>
      <c r="H101" s="174">
        <v>3.0427797906461228E-5</v>
      </c>
      <c r="I101" s="176">
        <v>3.8869031816814201E-5</v>
      </c>
      <c r="J101" s="176">
        <v>2.5159346238956526E-4</v>
      </c>
      <c r="K101">
        <v>3.3149138625652178E-4</v>
      </c>
    </row>
    <row r="102" spans="3:11" x14ac:dyDescent="0.25">
      <c r="C102" s="171" t="s">
        <v>498</v>
      </c>
      <c r="D102" s="171" t="s">
        <v>730</v>
      </c>
      <c r="E102" s="171" t="s">
        <v>731</v>
      </c>
      <c r="F102" s="171" t="s">
        <v>732</v>
      </c>
      <c r="G102" s="174" t="s">
        <v>733</v>
      </c>
      <c r="H102" s="174">
        <v>7.4528863398954046E-5</v>
      </c>
      <c r="I102" s="176">
        <v>9.5281133394680499E-5</v>
      </c>
      <c r="J102" s="176">
        <v>6.1624488397565218E-4</v>
      </c>
      <c r="K102">
        <v>8.125974205365217E-4</v>
      </c>
    </row>
    <row r="103" spans="3:11" x14ac:dyDescent="0.25">
      <c r="C103" s="171" t="s">
        <v>498</v>
      </c>
      <c r="D103" s="171" t="s">
        <v>730</v>
      </c>
      <c r="E103" s="171" t="s">
        <v>734</v>
      </c>
      <c r="F103" s="171" t="s">
        <v>735</v>
      </c>
      <c r="G103" s="174" t="s">
        <v>733</v>
      </c>
      <c r="H103" s="174">
        <v>1.3891389677141822E-4</v>
      </c>
      <c r="I103" s="176">
        <v>1.7770396044941851E-4</v>
      </c>
      <c r="J103" s="176">
        <v>1.1486151041947828E-3</v>
      </c>
      <c r="K103">
        <v>1.5155338180347824E-3</v>
      </c>
    </row>
    <row r="104" spans="3:11" x14ac:dyDescent="0.25">
      <c r="C104" s="171" t="s">
        <v>498</v>
      </c>
      <c r="D104" s="171" t="s">
        <v>730</v>
      </c>
      <c r="E104" s="171" t="s">
        <v>736</v>
      </c>
      <c r="F104" s="171" t="s">
        <v>737</v>
      </c>
      <c r="G104" s="174" t="s">
        <v>733</v>
      </c>
      <c r="H104" s="174">
        <v>1.032292196863721E-4</v>
      </c>
      <c r="I104" s="176">
        <v>1.3198572015121518E-4</v>
      </c>
      <c r="J104" s="176">
        <v>8.5355492633768318E-4</v>
      </c>
      <c r="K104">
        <v>1.1256295125947825E-3</v>
      </c>
    </row>
    <row r="105" spans="3:11" x14ac:dyDescent="0.25">
      <c r="C105" s="171" t="s">
        <v>498</v>
      </c>
      <c r="D105" s="171" t="s">
        <v>730</v>
      </c>
      <c r="E105" s="171" t="s">
        <v>738</v>
      </c>
      <c r="F105" s="171" t="s">
        <v>739</v>
      </c>
      <c r="G105" s="174" t="s">
        <v>733</v>
      </c>
      <c r="H105" s="174">
        <v>1.8181951245984519E-7</v>
      </c>
      <c r="I105" s="176">
        <v>0</v>
      </c>
      <c r="J105" s="176">
        <v>1.5033819013252174E-6</v>
      </c>
      <c r="K105">
        <v>0</v>
      </c>
    </row>
    <row r="106" spans="3:11" x14ac:dyDescent="0.25">
      <c r="C106" s="171" t="s">
        <v>498</v>
      </c>
      <c r="D106" s="171" t="s">
        <v>730</v>
      </c>
      <c r="E106" s="171" t="s">
        <v>740</v>
      </c>
      <c r="F106" s="171" t="s">
        <v>741</v>
      </c>
      <c r="G106" s="174" t="s">
        <v>733</v>
      </c>
      <c r="H106" s="174">
        <v>2.5432308413033044E-5</v>
      </c>
      <c r="I106" s="176">
        <v>0</v>
      </c>
      <c r="J106" s="176">
        <v>2.0969109780084768E-4</v>
      </c>
      <c r="K106">
        <v>0</v>
      </c>
    </row>
    <row r="107" spans="3:11" x14ac:dyDescent="0.25">
      <c r="C107" s="171" t="s">
        <v>498</v>
      </c>
      <c r="D107" s="171" t="s">
        <v>730</v>
      </c>
      <c r="E107" s="171" t="s">
        <v>731</v>
      </c>
      <c r="F107" s="171" t="s">
        <v>732</v>
      </c>
      <c r="G107" s="174" t="s">
        <v>733</v>
      </c>
      <c r="H107" s="174">
        <v>1.5348304272628898E-3</v>
      </c>
      <c r="I107" s="176">
        <v>1.9635219027548546E-3</v>
      </c>
      <c r="J107" s="176">
        <v>1.2654253628850963E-2</v>
      </c>
      <c r="K107">
        <v>1.6702034589571157E-2</v>
      </c>
    </row>
    <row r="108" spans="3:11" x14ac:dyDescent="0.25">
      <c r="C108" s="171" t="s">
        <v>498</v>
      </c>
      <c r="D108" s="171" t="s">
        <v>730</v>
      </c>
      <c r="E108" s="171" t="s">
        <v>738</v>
      </c>
      <c r="F108" s="171" t="s">
        <v>739</v>
      </c>
      <c r="G108" s="174" t="s">
        <v>733</v>
      </c>
      <c r="H108" s="174">
        <v>4.1102831872970828E-6</v>
      </c>
      <c r="I108" s="176">
        <v>0</v>
      </c>
      <c r="J108" s="176">
        <v>3.3901054125188096E-5</v>
      </c>
      <c r="K108">
        <v>0</v>
      </c>
    </row>
    <row r="109" spans="3:11" x14ac:dyDescent="0.25">
      <c r="C109" s="171" t="s">
        <v>498</v>
      </c>
      <c r="D109" s="171" t="s">
        <v>730</v>
      </c>
      <c r="E109" s="171" t="s">
        <v>734</v>
      </c>
      <c r="F109" s="171" t="s">
        <v>735</v>
      </c>
      <c r="G109" s="174" t="s">
        <v>733</v>
      </c>
      <c r="H109" s="174">
        <v>3.0994205966426726E-3</v>
      </c>
      <c r="I109" s="176">
        <v>3.9651835868948129E-3</v>
      </c>
      <c r="J109" s="176">
        <v>2.5554991078034803E-2</v>
      </c>
      <c r="K109">
        <v>3.3731129461665448E-2</v>
      </c>
    </row>
    <row r="110" spans="3:11" x14ac:dyDescent="0.25">
      <c r="C110" s="171" t="s">
        <v>498</v>
      </c>
      <c r="D110" s="171" t="s">
        <v>730</v>
      </c>
      <c r="E110" s="171" t="s">
        <v>736</v>
      </c>
      <c r="F110" s="171" t="s">
        <v>737</v>
      </c>
      <c r="G110" s="174" t="s">
        <v>733</v>
      </c>
      <c r="H110" s="174">
        <v>2.2683422538642608E-3</v>
      </c>
      <c r="I110" s="176">
        <v>2.9019496446266971E-3</v>
      </c>
      <c r="J110" s="176">
        <v>1.8702617468015707E-2</v>
      </c>
      <c r="K110">
        <v>2.468636343022074E-2</v>
      </c>
    </row>
    <row r="111" spans="3:11" x14ac:dyDescent="0.25">
      <c r="C111" s="171" t="s">
        <v>498</v>
      </c>
      <c r="D111" s="171" t="s">
        <v>730</v>
      </c>
      <c r="E111" s="171" t="s">
        <v>742</v>
      </c>
      <c r="F111" s="171" t="s">
        <v>743</v>
      </c>
      <c r="G111" s="174" t="s">
        <v>733</v>
      </c>
      <c r="H111" s="174">
        <v>5.7019057498506438E-6</v>
      </c>
      <c r="I111" s="176">
        <v>0</v>
      </c>
      <c r="J111" s="176">
        <v>4.7011787711553958E-5</v>
      </c>
      <c r="K111">
        <v>0</v>
      </c>
    </row>
    <row r="112" spans="3:11" x14ac:dyDescent="0.25">
      <c r="C112" s="171" t="s">
        <v>498</v>
      </c>
      <c r="D112" s="171" t="s">
        <v>744</v>
      </c>
      <c r="E112" s="171" t="s">
        <v>745</v>
      </c>
      <c r="F112" s="171" t="s">
        <v>746</v>
      </c>
      <c r="G112" s="174" t="s">
        <v>747</v>
      </c>
      <c r="H112" s="174">
        <v>2.7658186259793733E-4</v>
      </c>
      <c r="I112" s="176">
        <v>3.5383895416242928E-4</v>
      </c>
      <c r="J112" s="176">
        <v>2.2806418247029352E-3</v>
      </c>
      <c r="K112">
        <v>3.009966124401014E-3</v>
      </c>
    </row>
    <row r="113" spans="3:11" x14ac:dyDescent="0.25">
      <c r="C113" s="171" t="s">
        <v>498</v>
      </c>
      <c r="D113" s="171" t="s">
        <v>744</v>
      </c>
      <c r="E113" s="171" t="s">
        <v>748</v>
      </c>
      <c r="F113" s="171" t="s">
        <v>749</v>
      </c>
      <c r="G113" s="174" t="s">
        <v>747</v>
      </c>
      <c r="H113" s="174">
        <v>1.1741317084669627E-3</v>
      </c>
      <c r="I113" s="176">
        <v>1.0014052799551768E-3</v>
      </c>
      <c r="J113" s="176">
        <v>9.6823002032372513E-3</v>
      </c>
      <c r="K113">
        <v>8.5196968108876454E-3</v>
      </c>
    </row>
    <row r="114" spans="3:11" x14ac:dyDescent="0.25">
      <c r="C114" s="171" t="s">
        <v>498</v>
      </c>
      <c r="D114" s="171" t="s">
        <v>750</v>
      </c>
      <c r="E114" s="171" t="s">
        <v>751</v>
      </c>
      <c r="F114" s="171" t="s">
        <v>752</v>
      </c>
      <c r="G114" s="174" t="s">
        <v>753</v>
      </c>
      <c r="H114" s="174">
        <v>7.2514161999945038E-5</v>
      </c>
      <c r="I114" s="176">
        <v>9.2771429926537591E-5</v>
      </c>
      <c r="J114" s="176">
        <v>5.9791566589479446E-4</v>
      </c>
      <c r="K114">
        <v>7.89198212136704E-4</v>
      </c>
    </row>
    <row r="115" spans="3:11" x14ac:dyDescent="0.25">
      <c r="C115" s="171" t="s">
        <v>498</v>
      </c>
      <c r="D115" s="171" t="s">
        <v>754</v>
      </c>
      <c r="E115" s="171" t="s">
        <v>755</v>
      </c>
      <c r="F115" s="171" t="s">
        <v>756</v>
      </c>
      <c r="G115" s="174" t="s">
        <v>757</v>
      </c>
      <c r="H115" s="174">
        <v>1.3807565481897628E-3</v>
      </c>
      <c r="I115" s="176">
        <v>1.0640898642910266E-3</v>
      </c>
      <c r="J115" s="176">
        <v>1.1385549465494837E-2</v>
      </c>
      <c r="K115">
        <v>9.0525645175780281E-3</v>
      </c>
    </row>
    <row r="116" spans="3:11" x14ac:dyDescent="0.25">
      <c r="C116" s="171" t="s">
        <v>498</v>
      </c>
      <c r="D116" s="171" t="s">
        <v>754</v>
      </c>
      <c r="E116" s="171" t="s">
        <v>758</v>
      </c>
      <c r="F116" s="171" t="s">
        <v>759</v>
      </c>
      <c r="G116" s="174" t="s">
        <v>757</v>
      </c>
      <c r="H116" s="174">
        <v>8.3877023843012993E-6</v>
      </c>
      <c r="I116" s="176">
        <v>1.0678530043724459E-5</v>
      </c>
      <c r="J116" s="176">
        <v>6.935405220078261E-5</v>
      </c>
      <c r="K116">
        <v>9.107097763739131E-5</v>
      </c>
    </row>
    <row r="117" spans="3:11" x14ac:dyDescent="0.25">
      <c r="C117" s="171" t="s">
        <v>498</v>
      </c>
      <c r="D117" s="171" t="s">
        <v>754</v>
      </c>
      <c r="E117" s="171" t="s">
        <v>758</v>
      </c>
      <c r="F117" s="171" t="s">
        <v>759</v>
      </c>
      <c r="G117" s="174" t="s">
        <v>757</v>
      </c>
      <c r="H117" s="174">
        <v>1.7887294141630741E-4</v>
      </c>
      <c r="I117" s="176">
        <v>2.2883427052819774E-4</v>
      </c>
      <c r="J117" s="176">
        <v>1.4747761289651822E-3</v>
      </c>
      <c r="K117">
        <v>1.9464793433992668E-3</v>
      </c>
    </row>
    <row r="118" spans="3:11" x14ac:dyDescent="0.25">
      <c r="C118" s="171" t="s">
        <v>498</v>
      </c>
      <c r="D118" s="171" t="s">
        <v>760</v>
      </c>
      <c r="E118" s="171" t="s">
        <v>761</v>
      </c>
      <c r="F118" s="171" t="s">
        <v>762</v>
      </c>
      <c r="G118" s="174" t="s">
        <v>763</v>
      </c>
      <c r="H118" s="174">
        <v>3.1127857791237237E-4</v>
      </c>
      <c r="I118" s="176">
        <v>3.9824892934961422E-4</v>
      </c>
      <c r="J118" s="176">
        <v>2.5667089223611324E-3</v>
      </c>
      <c r="K118">
        <v>3.3877429052622944E-3</v>
      </c>
    </row>
    <row r="119" spans="3:11" x14ac:dyDescent="0.25">
      <c r="C119" s="171" t="s">
        <v>498</v>
      </c>
      <c r="D119" s="171" t="s">
        <v>764</v>
      </c>
      <c r="E119" s="171" t="s">
        <v>765</v>
      </c>
      <c r="F119" s="171" t="s">
        <v>766</v>
      </c>
      <c r="G119" s="174" t="s">
        <v>767</v>
      </c>
      <c r="H119" s="174">
        <v>8.8265214729696725E-3</v>
      </c>
      <c r="I119" s="176">
        <v>6.2736714553838935E-3</v>
      </c>
      <c r="J119" s="176">
        <v>7.2782865598298038E-2</v>
      </c>
      <c r="K119">
        <v>5.3373325644545846E-2</v>
      </c>
    </row>
    <row r="120" spans="3:11" x14ac:dyDescent="0.25">
      <c r="C120" s="171" t="s">
        <v>498</v>
      </c>
      <c r="D120" s="171" t="s">
        <v>764</v>
      </c>
      <c r="E120" s="171" t="s">
        <v>768</v>
      </c>
      <c r="F120" s="171" t="s">
        <v>769</v>
      </c>
      <c r="G120" s="174" t="s">
        <v>767</v>
      </c>
      <c r="H120" s="174">
        <v>2.2422720124551619E-3</v>
      </c>
      <c r="I120" s="176">
        <v>2.8685492998321155E-3</v>
      </c>
      <c r="J120" s="176">
        <v>1.8489503619090034E-2</v>
      </c>
      <c r="K120">
        <v>2.4403690138867982E-2</v>
      </c>
    </row>
    <row r="121" spans="3:11" x14ac:dyDescent="0.25">
      <c r="C121" s="171" t="s">
        <v>498</v>
      </c>
      <c r="D121" s="171" t="s">
        <v>764</v>
      </c>
      <c r="E121" s="171" t="s">
        <v>770</v>
      </c>
      <c r="F121" s="171" t="s">
        <v>771</v>
      </c>
      <c r="G121" s="174" t="s">
        <v>767</v>
      </c>
      <c r="H121" s="174">
        <v>4.9906106253785384E-3</v>
      </c>
      <c r="I121" s="176">
        <v>6.3842827766341162E-3</v>
      </c>
      <c r="J121" s="176">
        <v>4.1152594310303152E-2</v>
      </c>
      <c r="K121">
        <v>5.4314968041580328E-2</v>
      </c>
    </row>
    <row r="122" spans="3:11" x14ac:dyDescent="0.25">
      <c r="C122" s="171" t="s">
        <v>498</v>
      </c>
      <c r="D122" s="171" t="s">
        <v>772</v>
      </c>
      <c r="E122" s="171" t="s">
        <v>773</v>
      </c>
      <c r="F122" s="171" t="s">
        <v>774</v>
      </c>
      <c r="G122" s="174" t="s">
        <v>775</v>
      </c>
      <c r="H122" s="174">
        <v>1.4895612704464808E-2</v>
      </c>
      <c r="I122" s="176">
        <v>1.9055923619887286E-2</v>
      </c>
      <c r="J122" s="176">
        <v>0.12282815820181563</v>
      </c>
      <c r="K122">
        <v>0.16211957120469481</v>
      </c>
    </row>
    <row r="123" spans="3:11" x14ac:dyDescent="0.25">
      <c r="C123" s="171" t="s">
        <v>498</v>
      </c>
      <c r="D123" s="171" t="s">
        <v>772</v>
      </c>
      <c r="E123" s="171" t="s">
        <v>776</v>
      </c>
      <c r="F123" s="171" t="s">
        <v>777</v>
      </c>
      <c r="G123" s="174" t="s">
        <v>775</v>
      </c>
      <c r="H123" s="174">
        <v>3.7784184153751505E-3</v>
      </c>
      <c r="I123" s="176">
        <v>4.8336322784067439E-3</v>
      </c>
      <c r="J123" s="176">
        <v>3.1156061014142443E-2</v>
      </c>
      <c r="K123">
        <v>4.1121089343438826E-2</v>
      </c>
    </row>
    <row r="124" spans="3:11" x14ac:dyDescent="0.25">
      <c r="C124" s="171" t="s">
        <v>498</v>
      </c>
      <c r="D124" s="171" t="s">
        <v>778</v>
      </c>
      <c r="E124" s="171" t="s">
        <v>779</v>
      </c>
      <c r="F124" s="171" t="s">
        <v>780</v>
      </c>
      <c r="G124" s="174" t="s">
        <v>781</v>
      </c>
      <c r="H124" s="174">
        <v>8.3640331372718205E-3</v>
      </c>
      <c r="I124" s="176">
        <v>0</v>
      </c>
      <c r="J124" s="176">
        <v>6.8959738580346971E-2</v>
      </c>
      <c r="K124">
        <v>0</v>
      </c>
    </row>
    <row r="125" spans="3:11" x14ac:dyDescent="0.25">
      <c r="C125" s="171" t="s">
        <v>498</v>
      </c>
      <c r="D125" s="171" t="s">
        <v>778</v>
      </c>
      <c r="E125" s="171" t="s">
        <v>782</v>
      </c>
      <c r="F125" s="171" t="s">
        <v>783</v>
      </c>
      <c r="G125" s="174" t="s">
        <v>781</v>
      </c>
      <c r="H125" s="174">
        <v>6.4666825698278757E-4</v>
      </c>
      <c r="I125" s="176">
        <v>0</v>
      </c>
      <c r="J125" s="176">
        <v>5.3322304490096284E-3</v>
      </c>
      <c r="K125">
        <v>0</v>
      </c>
    </row>
    <row r="126" spans="3:11" x14ac:dyDescent="0.25">
      <c r="C126" s="171" t="s">
        <v>498</v>
      </c>
      <c r="D126" s="171" t="s">
        <v>778</v>
      </c>
      <c r="E126" s="171" t="s">
        <v>779</v>
      </c>
      <c r="F126" s="171" t="s">
        <v>780</v>
      </c>
      <c r="G126" s="174" t="s">
        <v>781</v>
      </c>
      <c r="H126" s="174">
        <v>3.8078225199181503E-4</v>
      </c>
      <c r="I126" s="176">
        <v>0</v>
      </c>
      <c r="J126" s="176">
        <v>3.1485132604608698E-3</v>
      </c>
      <c r="K126">
        <v>0</v>
      </c>
    </row>
    <row r="127" spans="3:11" x14ac:dyDescent="0.25">
      <c r="C127" s="171" t="s">
        <v>498</v>
      </c>
      <c r="D127" s="171" t="s">
        <v>778</v>
      </c>
      <c r="E127" s="171" t="s">
        <v>782</v>
      </c>
      <c r="F127" s="171" t="s">
        <v>783</v>
      </c>
      <c r="G127" s="174" t="s">
        <v>781</v>
      </c>
      <c r="H127" s="174">
        <v>2.8193770225948125E-5</v>
      </c>
      <c r="I127" s="176">
        <v>0</v>
      </c>
      <c r="J127" s="176">
        <v>2.331213152778261E-4</v>
      </c>
      <c r="K127">
        <v>0</v>
      </c>
    </row>
    <row r="128" spans="3:11" x14ac:dyDescent="0.25">
      <c r="C128" s="171" t="s">
        <v>498</v>
      </c>
      <c r="D128" s="171" t="s">
        <v>784</v>
      </c>
      <c r="E128" s="171" t="s">
        <v>785</v>
      </c>
      <c r="F128" s="171" t="s">
        <v>786</v>
      </c>
      <c r="G128" s="174" t="s">
        <v>787</v>
      </c>
      <c r="H128" s="174">
        <v>1.9562472221657665E-4</v>
      </c>
      <c r="I128" s="176">
        <v>2.4976482289989799E-4</v>
      </c>
      <c r="J128" s="176">
        <v>1.6175308296304345E-3</v>
      </c>
      <c r="K128">
        <v>2.1300990405782611E-3</v>
      </c>
    </row>
    <row r="129" spans="3:11" x14ac:dyDescent="0.25">
      <c r="C129" s="171" t="s">
        <v>498</v>
      </c>
      <c r="D129" s="171" t="s">
        <v>784</v>
      </c>
      <c r="E129" s="171" t="s">
        <v>788</v>
      </c>
      <c r="F129" s="171" t="s">
        <v>789</v>
      </c>
      <c r="G129" s="174" t="s">
        <v>787</v>
      </c>
      <c r="H129" s="174">
        <v>2.507680702055482E-4</v>
      </c>
      <c r="I129" s="176">
        <v>0</v>
      </c>
      <c r="J129" s="176">
        <v>2.0734858051086958E-3</v>
      </c>
      <c r="K129">
        <v>0</v>
      </c>
    </row>
    <row r="130" spans="3:11" x14ac:dyDescent="0.25">
      <c r="C130" s="171" t="s">
        <v>498</v>
      </c>
      <c r="D130" s="171" t="s">
        <v>784</v>
      </c>
      <c r="E130" s="171" t="s">
        <v>790</v>
      </c>
      <c r="F130" s="171" t="s">
        <v>791</v>
      </c>
      <c r="G130" s="174" t="s">
        <v>787</v>
      </c>
      <c r="H130" s="174">
        <v>8.0617411696747299E-3</v>
      </c>
      <c r="I130" s="176">
        <v>1.031316433547495E-2</v>
      </c>
      <c r="J130" s="176">
        <v>6.6476525444762652E-2</v>
      </c>
      <c r="K130">
        <v>8.7739677648911718E-2</v>
      </c>
    </row>
    <row r="131" spans="3:11" x14ac:dyDescent="0.25">
      <c r="C131" s="171" t="s">
        <v>498</v>
      </c>
      <c r="D131" s="171" t="s">
        <v>784</v>
      </c>
      <c r="E131" s="171" t="s">
        <v>792</v>
      </c>
      <c r="F131" s="171" t="s">
        <v>793</v>
      </c>
      <c r="G131" s="174" t="s">
        <v>787</v>
      </c>
      <c r="H131" s="174">
        <v>1.0549829847308159E-3</v>
      </c>
      <c r="I131" s="176">
        <v>1.3498633919398098E-3</v>
      </c>
      <c r="J131" s="176">
        <v>8.6992052839218285E-3</v>
      </c>
      <c r="K131">
        <v>1.1483690925489917E-2</v>
      </c>
    </row>
    <row r="132" spans="3:11" x14ac:dyDescent="0.25">
      <c r="C132" s="171" t="s">
        <v>498</v>
      </c>
      <c r="D132" s="171" t="s">
        <v>784</v>
      </c>
      <c r="E132" s="171" t="s">
        <v>785</v>
      </c>
      <c r="F132" s="171" t="s">
        <v>786</v>
      </c>
      <c r="G132" s="174" t="s">
        <v>787</v>
      </c>
      <c r="H132" s="174">
        <v>4.268187800738169E-3</v>
      </c>
      <c r="I132" s="176">
        <v>5.4604225900457262E-3</v>
      </c>
      <c r="J132" s="176">
        <v>3.5190996106457484E-2</v>
      </c>
      <c r="K132">
        <v>4.644977181782179E-2</v>
      </c>
    </row>
    <row r="133" spans="3:11" x14ac:dyDescent="0.25">
      <c r="C133" s="171" t="s">
        <v>498</v>
      </c>
      <c r="D133" s="171" t="s">
        <v>784</v>
      </c>
      <c r="E133" s="171" t="s">
        <v>788</v>
      </c>
      <c r="F133" s="171" t="s">
        <v>789</v>
      </c>
      <c r="G133" s="174" t="s">
        <v>787</v>
      </c>
      <c r="H133" s="174">
        <v>5.5238269085670835E-3</v>
      </c>
      <c r="I133" s="176">
        <v>0</v>
      </c>
      <c r="J133" s="176">
        <v>4.554286878485507E-2</v>
      </c>
      <c r="K133">
        <v>0</v>
      </c>
    </row>
    <row r="134" spans="3:11" x14ac:dyDescent="0.25">
      <c r="C134" s="171" t="s">
        <v>498</v>
      </c>
      <c r="D134" s="171" t="s">
        <v>784</v>
      </c>
      <c r="E134" s="171" t="s">
        <v>794</v>
      </c>
      <c r="F134" s="171" t="s">
        <v>795</v>
      </c>
      <c r="G134" s="174" t="s">
        <v>787</v>
      </c>
      <c r="H134" s="174">
        <v>3.7624715618824272E-3</v>
      </c>
      <c r="I134" s="176">
        <v>4.8129774992126881E-3</v>
      </c>
      <c r="J134" s="176">
        <v>3.1024881732503264E-2</v>
      </c>
      <c r="K134">
        <v>4.0946233853149543E-2</v>
      </c>
    </row>
    <row r="135" spans="3:11" x14ac:dyDescent="0.25">
      <c r="C135" s="171" t="s">
        <v>498</v>
      </c>
      <c r="D135" s="171" t="s">
        <v>796</v>
      </c>
      <c r="E135" s="171" t="s">
        <v>797</v>
      </c>
      <c r="F135" s="171" t="s">
        <v>798</v>
      </c>
      <c r="G135" s="174" t="s">
        <v>799</v>
      </c>
      <c r="H135" s="174">
        <v>1.7954061511288815E-4</v>
      </c>
      <c r="I135" s="176">
        <v>2.2968872735295497E-4</v>
      </c>
      <c r="J135" s="176">
        <v>1.4802451694477757E-3</v>
      </c>
      <c r="K135">
        <v>1.953682468921485E-3</v>
      </c>
    </row>
    <row r="136" spans="3:11" x14ac:dyDescent="0.25">
      <c r="C136" s="171" t="s">
        <v>498</v>
      </c>
      <c r="D136" s="171" t="s">
        <v>796</v>
      </c>
      <c r="E136" s="171" t="s">
        <v>800</v>
      </c>
      <c r="F136" s="171" t="s">
        <v>801</v>
      </c>
      <c r="G136" s="174" t="s">
        <v>799</v>
      </c>
      <c r="H136" s="174">
        <v>2.1214147599866919E-3</v>
      </c>
      <c r="I136" s="176">
        <v>2.7136372274439808E-3</v>
      </c>
      <c r="J136" s="176">
        <v>1.7492113126756602E-2</v>
      </c>
      <c r="K136">
        <v>2.3084485582048973E-2</v>
      </c>
    </row>
    <row r="137" spans="3:11" x14ac:dyDescent="0.25">
      <c r="C137" s="171" t="s">
        <v>498</v>
      </c>
      <c r="D137" s="171" t="s">
        <v>796</v>
      </c>
      <c r="E137" s="171" t="s">
        <v>802</v>
      </c>
      <c r="F137" s="171" t="s">
        <v>798</v>
      </c>
      <c r="G137" s="174" t="s">
        <v>799</v>
      </c>
      <c r="H137" s="174">
        <v>8.7759433531364106E-6</v>
      </c>
      <c r="I137" s="176">
        <v>1.122774008852455E-5</v>
      </c>
      <c r="J137" s="176">
        <v>7.2564238159391315E-5</v>
      </c>
      <c r="K137">
        <v>9.5754870973217395E-5</v>
      </c>
    </row>
    <row r="138" spans="3:11" x14ac:dyDescent="0.25">
      <c r="C138" s="171" t="s">
        <v>498</v>
      </c>
      <c r="D138" s="171" t="s">
        <v>803</v>
      </c>
      <c r="E138" s="171" t="s">
        <v>804</v>
      </c>
      <c r="F138" s="171" t="s">
        <v>805</v>
      </c>
      <c r="G138" s="174" t="s">
        <v>806</v>
      </c>
      <c r="H138" s="174">
        <v>4.033379586056151E-5</v>
      </c>
      <c r="I138" s="176">
        <v>4.8083343096741481E-5</v>
      </c>
      <c r="J138" s="176">
        <v>3.3250254220527057E-4</v>
      </c>
      <c r="K138">
        <v>4.0891751056723049E-4</v>
      </c>
    </row>
    <row r="139" spans="3:11" x14ac:dyDescent="0.25">
      <c r="C139" s="171" t="s">
        <v>498</v>
      </c>
      <c r="D139" s="171" t="s">
        <v>803</v>
      </c>
      <c r="E139" s="171" t="s">
        <v>807</v>
      </c>
      <c r="F139" s="171" t="s">
        <v>808</v>
      </c>
      <c r="G139" s="174" t="s">
        <v>806</v>
      </c>
      <c r="H139" s="174">
        <v>1.7773802690541299E-3</v>
      </c>
      <c r="I139" s="176">
        <v>0</v>
      </c>
      <c r="J139" s="176">
        <v>1.4655920405967669E-2</v>
      </c>
      <c r="K139">
        <v>0</v>
      </c>
    </row>
    <row r="140" spans="3:11" x14ac:dyDescent="0.25">
      <c r="C140" s="171" t="s">
        <v>498</v>
      </c>
      <c r="D140" s="171" t="s">
        <v>809</v>
      </c>
      <c r="E140" s="171" t="s">
        <v>810</v>
      </c>
      <c r="F140" s="171" t="s">
        <v>811</v>
      </c>
      <c r="G140" s="174" t="s">
        <v>812</v>
      </c>
      <c r="H140" s="174">
        <v>7.9306128458465405E-3</v>
      </c>
      <c r="I140" s="176">
        <v>1.0145068446777698E-2</v>
      </c>
      <c r="J140" s="176">
        <v>6.539366895809659E-2</v>
      </c>
      <c r="K140">
        <v>8.6306946536765419E-2</v>
      </c>
    </row>
    <row r="141" spans="3:11" x14ac:dyDescent="0.25">
      <c r="C141" s="171" t="s">
        <v>498</v>
      </c>
      <c r="D141" s="171" t="s">
        <v>809</v>
      </c>
      <c r="E141" s="171" t="s">
        <v>813</v>
      </c>
      <c r="F141" s="171" t="s">
        <v>814</v>
      </c>
      <c r="G141" s="174" t="s">
        <v>812</v>
      </c>
      <c r="H141" s="174">
        <v>2.4368077811112192E-4</v>
      </c>
      <c r="I141" s="176">
        <v>2.1707448832350394E-4</v>
      </c>
      <c r="J141" s="176">
        <v>2.0093861859484257E-3</v>
      </c>
      <c r="K141">
        <v>1.8467386968615796E-3</v>
      </c>
    </row>
    <row r="142" spans="3:11" x14ac:dyDescent="0.25">
      <c r="C142" s="171" t="s">
        <v>498</v>
      </c>
      <c r="D142" s="171" t="s">
        <v>815</v>
      </c>
      <c r="E142" s="171" t="s">
        <v>816</v>
      </c>
      <c r="F142" s="171" t="s">
        <v>817</v>
      </c>
      <c r="G142" s="174" t="s">
        <v>818</v>
      </c>
      <c r="H142" s="174">
        <v>8.0113006396459693E-5</v>
      </c>
      <c r="I142" s="176">
        <v>1.0250940938582486E-4</v>
      </c>
      <c r="J142" s="176">
        <v>6.6059144764145285E-4</v>
      </c>
      <c r="K142">
        <v>8.7203701960072337E-4</v>
      </c>
    </row>
    <row r="143" spans="3:11" x14ac:dyDescent="0.25">
      <c r="C143" s="171" t="s">
        <v>498</v>
      </c>
      <c r="D143" s="171" t="s">
        <v>815</v>
      </c>
      <c r="E143" s="171" t="s">
        <v>819</v>
      </c>
      <c r="F143" s="171" t="s">
        <v>820</v>
      </c>
      <c r="G143" s="174" t="s">
        <v>818</v>
      </c>
      <c r="H143" s="174">
        <v>5.4699531662752345E-3</v>
      </c>
      <c r="I143" s="176">
        <v>0</v>
      </c>
      <c r="J143" s="176">
        <v>4.5099504379307903E-2</v>
      </c>
      <c r="K143">
        <v>0</v>
      </c>
    </row>
    <row r="144" spans="3:11" x14ac:dyDescent="0.25">
      <c r="C144" s="171" t="s">
        <v>498</v>
      </c>
      <c r="D144" s="171" t="s">
        <v>815</v>
      </c>
      <c r="E144" s="171" t="s">
        <v>821</v>
      </c>
      <c r="F144" s="171" t="s">
        <v>822</v>
      </c>
      <c r="G144" s="174" t="s">
        <v>818</v>
      </c>
      <c r="H144" s="174">
        <v>6.2807930030661582E-3</v>
      </c>
      <c r="I144" s="176">
        <v>8.0351518235700619E-3</v>
      </c>
      <c r="J144" s="176">
        <v>5.1782907209268883E-2</v>
      </c>
      <c r="K144">
        <v>6.8348715236922791E-2</v>
      </c>
    </row>
    <row r="145" spans="3:11" x14ac:dyDescent="0.25">
      <c r="C145" s="171" t="s">
        <v>498</v>
      </c>
      <c r="D145" s="171" t="s">
        <v>815</v>
      </c>
      <c r="E145" s="171" t="s">
        <v>823</v>
      </c>
      <c r="F145" s="171" t="s">
        <v>824</v>
      </c>
      <c r="G145" s="174" t="s">
        <v>818</v>
      </c>
      <c r="H145" s="174">
        <v>2.9660503945418172E-3</v>
      </c>
      <c r="I145" s="176">
        <v>3.79453407636768E-3</v>
      </c>
      <c r="J145" s="176">
        <v>2.4454082619595495E-2</v>
      </c>
      <c r="K145">
        <v>3.227706761182085E-2</v>
      </c>
    </row>
    <row r="146" spans="3:11" x14ac:dyDescent="0.25">
      <c r="C146" s="171" t="s">
        <v>498</v>
      </c>
      <c r="D146" s="171" t="s">
        <v>825</v>
      </c>
      <c r="E146" s="171" t="s">
        <v>826</v>
      </c>
      <c r="F146" s="171" t="s">
        <v>827</v>
      </c>
      <c r="G146" s="174" t="s">
        <v>828</v>
      </c>
      <c r="H146" s="174">
        <v>4.0592192025461944E-3</v>
      </c>
      <c r="I146" s="176">
        <v>5.192412883824017E-3</v>
      </c>
      <c r="J146" s="176">
        <v>3.3471517729795675E-2</v>
      </c>
      <c r="K146">
        <v>4.4173752184207583E-2</v>
      </c>
    </row>
    <row r="147" spans="3:11" x14ac:dyDescent="0.25">
      <c r="C147" s="171" t="s">
        <v>498</v>
      </c>
      <c r="D147" s="171" t="s">
        <v>825</v>
      </c>
      <c r="E147" s="171" t="s">
        <v>829</v>
      </c>
      <c r="F147" s="171" t="s">
        <v>830</v>
      </c>
      <c r="G147" s="174" t="s">
        <v>828</v>
      </c>
      <c r="H147" s="174">
        <v>6.8102327655532703E-4</v>
      </c>
      <c r="I147" s="176">
        <v>8.7120314922034341E-4</v>
      </c>
      <c r="J147" s="176">
        <v>5.6154867540157381E-3</v>
      </c>
      <c r="K147">
        <v>7.4113171643907846E-3</v>
      </c>
    </row>
    <row r="148" spans="3:11" x14ac:dyDescent="0.25">
      <c r="C148" s="171" t="s">
        <v>498</v>
      </c>
      <c r="D148" s="171" t="s">
        <v>825</v>
      </c>
      <c r="E148" s="171" t="s">
        <v>831</v>
      </c>
      <c r="F148" s="171" t="s">
        <v>832</v>
      </c>
      <c r="G148" s="174" t="s">
        <v>828</v>
      </c>
      <c r="H148" s="174">
        <v>3.6866018516383144E-3</v>
      </c>
      <c r="I148" s="176">
        <v>1.9488948353193396E-3</v>
      </c>
      <c r="J148" s="176">
        <v>3.0398675109651871E-2</v>
      </c>
      <c r="K148">
        <v>1.6579654842957744E-2</v>
      </c>
    </row>
    <row r="149" spans="3:11" x14ac:dyDescent="0.25">
      <c r="C149" s="171" t="s">
        <v>498</v>
      </c>
      <c r="D149" s="171" t="s">
        <v>825</v>
      </c>
      <c r="E149" s="171" t="s">
        <v>833</v>
      </c>
      <c r="F149" s="171" t="s">
        <v>834</v>
      </c>
      <c r="G149" s="174" t="s">
        <v>828</v>
      </c>
      <c r="H149" s="174">
        <v>6.9838736228704547E-3</v>
      </c>
      <c r="I149" s="176">
        <v>8.9336882236969329E-3</v>
      </c>
      <c r="J149" s="176">
        <v>5.7588329118209623E-2</v>
      </c>
      <c r="K149">
        <v>7.6003523966113914E-2</v>
      </c>
    </row>
    <row r="150" spans="3:11" x14ac:dyDescent="0.25">
      <c r="C150" s="171" t="s">
        <v>498</v>
      </c>
      <c r="D150" s="171" t="s">
        <v>825</v>
      </c>
      <c r="E150" s="171" t="s">
        <v>835</v>
      </c>
      <c r="F150" s="171" t="s">
        <v>836</v>
      </c>
      <c r="G150" s="174" t="s">
        <v>828</v>
      </c>
      <c r="H150" s="174">
        <v>1.1294767289968534E-2</v>
      </c>
      <c r="I150" s="176">
        <v>9.4233494617408341E-3</v>
      </c>
      <c r="J150" s="176">
        <v>9.3135718891780711E-2</v>
      </c>
      <c r="K150">
        <v>8.0169873684742071E-2</v>
      </c>
    </row>
    <row r="151" spans="3:11" x14ac:dyDescent="0.25">
      <c r="C151" s="171" t="s">
        <v>498</v>
      </c>
      <c r="D151" s="171" t="s">
        <v>837</v>
      </c>
      <c r="E151" s="171" t="s">
        <v>838</v>
      </c>
      <c r="F151" s="171" t="s">
        <v>839</v>
      </c>
      <c r="G151" s="174" t="s">
        <v>840</v>
      </c>
      <c r="H151" s="174">
        <v>9.470334089077576E-4</v>
      </c>
      <c r="I151" s="176">
        <v>0</v>
      </c>
      <c r="J151" s="176">
        <v>7.8094080828637032E-3</v>
      </c>
      <c r="K151">
        <v>0</v>
      </c>
    </row>
    <row r="152" spans="3:11" x14ac:dyDescent="0.25">
      <c r="C152" s="171" t="s">
        <v>498</v>
      </c>
      <c r="D152" s="171" t="s">
        <v>841</v>
      </c>
      <c r="E152" s="171" t="s">
        <v>842</v>
      </c>
      <c r="F152" s="171" t="s">
        <v>843</v>
      </c>
      <c r="G152" s="174" t="s">
        <v>844</v>
      </c>
      <c r="H152" s="174">
        <v>1.6122479018728345E-5</v>
      </c>
      <c r="I152" s="176">
        <v>2.0646548991995444E-5</v>
      </c>
      <c r="J152" s="176">
        <v>1.3330936175843478E-4</v>
      </c>
      <c r="K152">
        <v>1.7608241900713044E-4</v>
      </c>
    </row>
    <row r="153" spans="3:11" x14ac:dyDescent="0.25">
      <c r="C153" s="171" t="s">
        <v>498</v>
      </c>
      <c r="D153" s="171" t="s">
        <v>841</v>
      </c>
      <c r="E153" s="171" t="s">
        <v>845</v>
      </c>
      <c r="F153" s="171" t="s">
        <v>846</v>
      </c>
      <c r="G153" s="174" t="s">
        <v>847</v>
      </c>
      <c r="H153" s="174">
        <v>2.0176871687920149E-3</v>
      </c>
      <c r="I153" s="176">
        <v>2.5812593898902705E-3</v>
      </c>
      <c r="J153" s="176">
        <v>1.6637445705912871E-2</v>
      </c>
      <c r="K153">
        <v>2.1959596862155456E-2</v>
      </c>
    </row>
    <row r="154" spans="3:11" x14ac:dyDescent="0.25">
      <c r="C154" s="171" t="s">
        <v>498</v>
      </c>
      <c r="D154" s="171" t="s">
        <v>841</v>
      </c>
      <c r="E154" s="171" t="s">
        <v>842</v>
      </c>
      <c r="F154" s="171" t="s">
        <v>843</v>
      </c>
      <c r="G154" s="174" t="s">
        <v>844</v>
      </c>
      <c r="H154" s="174">
        <v>3.4861875448620656E-4</v>
      </c>
      <c r="I154" s="176">
        <v>4.4599489874523287E-4</v>
      </c>
      <c r="J154" s="176">
        <v>2.8742551508223481E-3</v>
      </c>
      <c r="K154">
        <v>3.7937086377893021E-3</v>
      </c>
    </row>
    <row r="155" spans="3:11" x14ac:dyDescent="0.25">
      <c r="C155" s="171" t="s">
        <v>498</v>
      </c>
      <c r="D155" s="171" t="s">
        <v>848</v>
      </c>
      <c r="E155" s="171" t="s">
        <v>849</v>
      </c>
      <c r="F155" s="171" t="s">
        <v>850</v>
      </c>
      <c r="G155" s="174" t="s">
        <v>851</v>
      </c>
      <c r="H155" s="174">
        <v>2.0006042130535034E-4</v>
      </c>
      <c r="I155" s="176">
        <v>2.5598390319325531E-4</v>
      </c>
      <c r="J155" s="176">
        <v>1.6497592015382741E-3</v>
      </c>
      <c r="K155">
        <v>2.1778464804318386E-3</v>
      </c>
    </row>
    <row r="156" spans="3:11" x14ac:dyDescent="0.25">
      <c r="C156" s="171" t="s">
        <v>498</v>
      </c>
      <c r="D156" s="171" t="s">
        <v>852</v>
      </c>
      <c r="E156" s="171" t="s">
        <v>853</v>
      </c>
      <c r="F156" s="171" t="s">
        <v>854</v>
      </c>
      <c r="G156" s="174" t="s">
        <v>855</v>
      </c>
      <c r="H156" s="174">
        <v>9.5127913173276717E-6</v>
      </c>
      <c r="I156" s="176">
        <v>1.2169037404973065E-5</v>
      </c>
      <c r="J156" s="176">
        <v>7.8432074682309975E-5</v>
      </c>
      <c r="K156">
        <v>1.0350838835756032E-4</v>
      </c>
    </row>
    <row r="157" spans="3:11" x14ac:dyDescent="0.25">
      <c r="C157" s="171" t="s">
        <v>498</v>
      </c>
      <c r="D157" s="171" t="s">
        <v>856</v>
      </c>
      <c r="E157" s="171" t="s">
        <v>857</v>
      </c>
      <c r="F157" s="171" t="s">
        <v>858</v>
      </c>
      <c r="G157" s="174" t="s">
        <v>859</v>
      </c>
      <c r="H157" s="174">
        <v>5.9243503597276254E-6</v>
      </c>
      <c r="I157" s="176">
        <v>7.5784597540151541E-6</v>
      </c>
      <c r="J157" s="176">
        <v>4.8838285202195155E-5</v>
      </c>
      <c r="K157">
        <v>6.4447801550931438E-5</v>
      </c>
    </row>
    <row r="158" spans="3:11" x14ac:dyDescent="0.25">
      <c r="C158" s="171" t="s">
        <v>498</v>
      </c>
      <c r="D158" s="171" t="s">
        <v>856</v>
      </c>
      <c r="E158" s="171" t="s">
        <v>860</v>
      </c>
      <c r="F158" s="171" t="s">
        <v>861</v>
      </c>
      <c r="G158" s="174" t="s">
        <v>859</v>
      </c>
      <c r="H158" s="174">
        <v>2.0094127876853906E-5</v>
      </c>
      <c r="I158" s="176">
        <v>2.5705175569077447E-5</v>
      </c>
      <c r="J158" s="176">
        <v>1.6614909898434783E-4</v>
      </c>
      <c r="K158">
        <v>2.1922450560434785E-4</v>
      </c>
    </row>
    <row r="159" spans="3:11" x14ac:dyDescent="0.25">
      <c r="C159" s="171" t="s">
        <v>498</v>
      </c>
      <c r="D159" s="171" t="s">
        <v>856</v>
      </c>
      <c r="E159" s="171" t="s">
        <v>860</v>
      </c>
      <c r="F159" s="171" t="s">
        <v>861</v>
      </c>
      <c r="G159" s="174" t="s">
        <v>859</v>
      </c>
      <c r="H159" s="174">
        <v>3.9775656894207849E-4</v>
      </c>
      <c r="I159" s="176">
        <v>5.088482608389314E-4</v>
      </c>
      <c r="J159" s="176">
        <v>3.2793608525947039E-3</v>
      </c>
      <c r="K159">
        <v>4.3283100374775993E-3</v>
      </c>
    </row>
    <row r="160" spans="3:11" x14ac:dyDescent="0.25">
      <c r="C160" s="171" t="s">
        <v>498</v>
      </c>
      <c r="D160" s="171" t="s">
        <v>862</v>
      </c>
      <c r="E160" s="171" t="s">
        <v>863</v>
      </c>
      <c r="F160" s="171" t="s">
        <v>864</v>
      </c>
      <c r="G160" s="174" t="s">
        <v>865</v>
      </c>
      <c r="H160" s="174">
        <v>1.6150775534878922E-3</v>
      </c>
      <c r="I160" s="176">
        <v>2.0656646096860487E-3</v>
      </c>
      <c r="J160" s="176">
        <v>1.3317146093161892E-2</v>
      </c>
      <c r="K160">
        <v>1.7571275629996195E-2</v>
      </c>
    </row>
    <row r="161" spans="3:11" x14ac:dyDescent="0.25">
      <c r="C161" s="171" t="s">
        <v>498</v>
      </c>
      <c r="D161" s="171" t="s">
        <v>866</v>
      </c>
      <c r="E161" s="171" t="s">
        <v>867</v>
      </c>
      <c r="F161" s="171" t="s">
        <v>868</v>
      </c>
      <c r="G161" s="174" t="s">
        <v>869</v>
      </c>
      <c r="H161" s="174">
        <v>5.6701961267763678E-3</v>
      </c>
      <c r="I161" s="176">
        <v>7.2537069270295785E-3</v>
      </c>
      <c r="J161" s="176">
        <v>4.6754869631993816E-2</v>
      </c>
      <c r="K161">
        <v>6.1709059369925337E-2</v>
      </c>
    </row>
    <row r="162" spans="3:11" x14ac:dyDescent="0.25">
      <c r="C162" s="171" t="s">
        <v>498</v>
      </c>
      <c r="D162" s="171" t="s">
        <v>866</v>
      </c>
      <c r="E162" s="171" t="s">
        <v>870</v>
      </c>
      <c r="F162" s="171" t="s">
        <v>871</v>
      </c>
      <c r="G162" s="174" t="s">
        <v>869</v>
      </c>
      <c r="H162" s="174">
        <v>5.9625028015949074E-3</v>
      </c>
      <c r="I162" s="176">
        <v>0</v>
      </c>
      <c r="J162" s="176">
        <v>4.9165780711693904E-2</v>
      </c>
      <c r="K162">
        <v>0</v>
      </c>
    </row>
    <row r="163" spans="3:11" x14ac:dyDescent="0.25">
      <c r="C163" s="171" t="s">
        <v>498</v>
      </c>
      <c r="D163" s="171" t="s">
        <v>872</v>
      </c>
      <c r="E163" s="171" t="s">
        <v>873</v>
      </c>
      <c r="F163" s="171" t="s">
        <v>874</v>
      </c>
      <c r="G163" s="174" t="s">
        <v>875</v>
      </c>
      <c r="H163" s="174">
        <v>3.2749037309903286E-3</v>
      </c>
      <c r="I163" s="176">
        <v>2.7632644281271016E-3</v>
      </c>
      <c r="J163" s="176">
        <v>2.7005642514345386E-2</v>
      </c>
      <c r="K163">
        <v>2.3508810523883091E-2</v>
      </c>
    </row>
    <row r="164" spans="3:11" x14ac:dyDescent="0.25">
      <c r="C164" s="171" t="s">
        <v>498</v>
      </c>
      <c r="D164" s="171" t="s">
        <v>876</v>
      </c>
      <c r="E164" s="171" t="s">
        <v>877</v>
      </c>
      <c r="F164" s="171" t="s">
        <v>878</v>
      </c>
      <c r="G164" s="174" t="s">
        <v>879</v>
      </c>
      <c r="H164" s="174">
        <v>6.9214005302164515E-5</v>
      </c>
      <c r="I164" s="176">
        <v>0</v>
      </c>
      <c r="J164" s="176">
        <v>5.7072954662879644E-4</v>
      </c>
      <c r="K164">
        <v>0</v>
      </c>
    </row>
    <row r="165" spans="3:11" x14ac:dyDescent="0.25">
      <c r="C165" s="171" t="s">
        <v>498</v>
      </c>
      <c r="D165" s="171" t="s">
        <v>876</v>
      </c>
      <c r="E165" s="171" t="s">
        <v>880</v>
      </c>
      <c r="F165" s="171" t="s">
        <v>881</v>
      </c>
      <c r="G165" s="174" t="s">
        <v>879</v>
      </c>
      <c r="H165" s="174">
        <v>5.7970291312850789E-4</v>
      </c>
      <c r="I165" s="176">
        <v>7.4159710936836981E-4</v>
      </c>
      <c r="J165" s="176">
        <v>4.780110409816212E-3</v>
      </c>
      <c r="K165">
        <v>6.3089588624481996E-3</v>
      </c>
    </row>
    <row r="166" spans="3:11" x14ac:dyDescent="0.25">
      <c r="C166" s="171" t="s">
        <v>498</v>
      </c>
      <c r="D166" s="171" t="s">
        <v>876</v>
      </c>
      <c r="E166" s="171" t="s">
        <v>882</v>
      </c>
      <c r="F166" s="171" t="s">
        <v>883</v>
      </c>
      <c r="G166" s="174" t="s">
        <v>879</v>
      </c>
      <c r="H166" s="174">
        <v>1.1350879802947357E-3</v>
      </c>
      <c r="I166" s="176">
        <v>1.4522963869161676E-3</v>
      </c>
      <c r="J166" s="176">
        <v>9.3596310164699419E-3</v>
      </c>
      <c r="K166">
        <v>1.2355079732978773E-2</v>
      </c>
    </row>
    <row r="167" spans="3:11" x14ac:dyDescent="0.25">
      <c r="C167" s="171" t="s">
        <v>498</v>
      </c>
      <c r="D167" s="171" t="s">
        <v>876</v>
      </c>
      <c r="E167" s="171" t="s">
        <v>884</v>
      </c>
      <c r="F167" s="171" t="s">
        <v>885</v>
      </c>
      <c r="G167" s="174" t="s">
        <v>879</v>
      </c>
      <c r="H167" s="174">
        <v>1.0638656983806411E-2</v>
      </c>
      <c r="I167" s="176">
        <v>1.1645470402162116E-2</v>
      </c>
      <c r="J167" s="176">
        <v>8.7724598910547111E-2</v>
      </c>
      <c r="K167">
        <v>9.9072680668267729E-2</v>
      </c>
    </row>
    <row r="168" spans="3:11" x14ac:dyDescent="0.25">
      <c r="C168" s="171" t="s">
        <v>498</v>
      </c>
      <c r="D168" s="171" t="s">
        <v>886</v>
      </c>
      <c r="E168" s="171" t="s">
        <v>887</v>
      </c>
      <c r="F168" s="171" t="s">
        <v>888</v>
      </c>
      <c r="G168" s="174" t="s">
        <v>889</v>
      </c>
      <c r="H168" s="174">
        <v>1.5774081659668802E-5</v>
      </c>
      <c r="I168" s="176">
        <v>0</v>
      </c>
      <c r="J168" s="176">
        <v>1.3005489881055341E-4</v>
      </c>
      <c r="K168">
        <v>0</v>
      </c>
    </row>
    <row r="169" spans="3:11" x14ac:dyDescent="0.25">
      <c r="C169" s="171" t="s">
        <v>498</v>
      </c>
      <c r="D169" s="171" t="s">
        <v>886</v>
      </c>
      <c r="E169" s="171" t="s">
        <v>890</v>
      </c>
      <c r="F169" s="171" t="s">
        <v>891</v>
      </c>
      <c r="G169" s="174" t="s">
        <v>889</v>
      </c>
      <c r="H169" s="174">
        <v>6.5719627628139983E-5</v>
      </c>
      <c r="I169" s="176">
        <v>8.4072993273456761E-5</v>
      </c>
      <c r="J169" s="176">
        <v>5.4340536613086961E-4</v>
      </c>
      <c r="K169">
        <v>7.1700970629521741E-4</v>
      </c>
    </row>
    <row r="170" spans="3:11" x14ac:dyDescent="0.25">
      <c r="C170" s="171" t="s">
        <v>498</v>
      </c>
      <c r="D170" s="171" t="s">
        <v>886</v>
      </c>
      <c r="E170" s="171" t="s">
        <v>892</v>
      </c>
      <c r="F170" s="171" t="s">
        <v>893</v>
      </c>
      <c r="G170" s="174" t="s">
        <v>889</v>
      </c>
      <c r="H170" s="174">
        <v>2.3993331793278785E-7</v>
      </c>
      <c r="I170" s="176">
        <v>0</v>
      </c>
      <c r="J170" s="176">
        <v>1.9838982231608695E-6</v>
      </c>
      <c r="K170">
        <v>0</v>
      </c>
    </row>
    <row r="171" spans="3:11" x14ac:dyDescent="0.25">
      <c r="C171" s="171" t="s">
        <v>498</v>
      </c>
      <c r="D171" s="171" t="s">
        <v>886</v>
      </c>
      <c r="E171" s="171" t="s">
        <v>894</v>
      </c>
      <c r="F171" s="171" t="s">
        <v>895</v>
      </c>
      <c r="G171" s="174" t="s">
        <v>889</v>
      </c>
      <c r="H171" s="174">
        <v>1.1912943029018165E-4</v>
      </c>
      <c r="I171" s="176">
        <v>1.5244623073584505E-4</v>
      </c>
      <c r="J171" s="176">
        <v>9.8502645282913049E-4</v>
      </c>
      <c r="K171">
        <v>1.3001253181291303E-3</v>
      </c>
    </row>
    <row r="172" spans="3:11" x14ac:dyDescent="0.25">
      <c r="C172" s="171" t="s">
        <v>498</v>
      </c>
      <c r="D172" s="171" t="s">
        <v>886</v>
      </c>
      <c r="E172" s="171" t="s">
        <v>890</v>
      </c>
      <c r="F172" s="171" t="s">
        <v>891</v>
      </c>
      <c r="G172" s="174" t="s">
        <v>889</v>
      </c>
      <c r="H172" s="174">
        <v>1.2949867798674041E-3</v>
      </c>
      <c r="I172" s="176">
        <v>1.6566720383537131E-3</v>
      </c>
      <c r="J172" s="176">
        <v>1.0676513129095412E-2</v>
      </c>
      <c r="K172">
        <v>1.4091612977211572E-2</v>
      </c>
    </row>
    <row r="173" spans="3:11" x14ac:dyDescent="0.25">
      <c r="C173" s="171" t="s">
        <v>498</v>
      </c>
      <c r="D173" s="171" t="s">
        <v>886</v>
      </c>
      <c r="E173" s="171" t="s">
        <v>892</v>
      </c>
      <c r="F173" s="171" t="s">
        <v>893</v>
      </c>
      <c r="G173" s="174" t="s">
        <v>889</v>
      </c>
      <c r="H173" s="174">
        <v>4.6982535599336863E-6</v>
      </c>
      <c r="I173" s="176">
        <v>0</v>
      </c>
      <c r="J173" s="176">
        <v>3.874206730807892E-5</v>
      </c>
      <c r="K173">
        <v>0</v>
      </c>
    </row>
    <row r="174" spans="3:11" x14ac:dyDescent="0.25">
      <c r="C174" s="171" t="s">
        <v>498</v>
      </c>
      <c r="D174" s="171" t="s">
        <v>886</v>
      </c>
      <c r="E174" s="171" t="s">
        <v>894</v>
      </c>
      <c r="F174" s="171" t="s">
        <v>895</v>
      </c>
      <c r="G174" s="174" t="s">
        <v>889</v>
      </c>
      <c r="H174" s="174">
        <v>2.6614199876375901E-3</v>
      </c>
      <c r="I174" s="176">
        <v>3.4048301026731093E-3</v>
      </c>
      <c r="J174" s="176">
        <v>2.1944203790663766E-2</v>
      </c>
      <c r="K174">
        <v>2.8965368020201356E-2</v>
      </c>
    </row>
    <row r="175" spans="3:11" x14ac:dyDescent="0.25">
      <c r="C175" s="171" t="s">
        <v>498</v>
      </c>
      <c r="D175" s="171" t="s">
        <v>896</v>
      </c>
      <c r="E175" s="171" t="s">
        <v>897</v>
      </c>
      <c r="F175" s="171" t="s">
        <v>898</v>
      </c>
      <c r="G175" s="174" t="s">
        <v>899</v>
      </c>
      <c r="H175" s="174">
        <v>1.6133942336704558E-5</v>
      </c>
      <c r="I175" s="176">
        <v>2.0639654033270074E-5</v>
      </c>
      <c r="J175" s="176">
        <v>1.3302283978089912E-4</v>
      </c>
      <c r="K175">
        <v>1.7555846167176934E-4</v>
      </c>
    </row>
    <row r="176" spans="3:11" x14ac:dyDescent="0.25">
      <c r="C176" s="171" t="s">
        <v>498</v>
      </c>
      <c r="D176" s="171" t="s">
        <v>900</v>
      </c>
      <c r="E176" s="171" t="s">
        <v>901</v>
      </c>
      <c r="F176" s="171" t="s">
        <v>902</v>
      </c>
      <c r="G176" s="174" t="s">
        <v>903</v>
      </c>
      <c r="H176" s="174">
        <v>1.0424308026807022E-5</v>
      </c>
      <c r="I176" s="176">
        <v>1.3334705288148277E-5</v>
      </c>
      <c r="J176" s="176">
        <v>8.5947448349597407E-5</v>
      </c>
      <c r="K176">
        <v>1.1342342086229442E-4</v>
      </c>
    </row>
    <row r="177" spans="3:11" x14ac:dyDescent="0.25">
      <c r="C177" s="171" t="s">
        <v>498</v>
      </c>
      <c r="D177" s="171" t="s">
        <v>904</v>
      </c>
      <c r="E177" s="171" t="s">
        <v>905</v>
      </c>
      <c r="F177" s="171" t="s">
        <v>906</v>
      </c>
      <c r="G177" s="174" t="s">
        <v>907</v>
      </c>
      <c r="H177" s="174">
        <v>2.2712682488905563E-4</v>
      </c>
      <c r="I177" s="176">
        <v>1.9363940769248685E-4</v>
      </c>
      <c r="J177" s="176">
        <v>1.8780072238895654E-3</v>
      </c>
      <c r="K177">
        <v>1.6514379877634784E-3</v>
      </c>
    </row>
    <row r="178" spans="3:11" x14ac:dyDescent="0.25">
      <c r="C178" s="171" t="s">
        <v>498</v>
      </c>
      <c r="D178" s="171" t="s">
        <v>904</v>
      </c>
      <c r="E178" s="171" t="s">
        <v>908</v>
      </c>
      <c r="F178" s="171" t="s">
        <v>909</v>
      </c>
      <c r="G178" s="174" t="s">
        <v>907</v>
      </c>
      <c r="H178" s="174">
        <v>5.2295406250631937E-5</v>
      </c>
      <c r="I178" s="176">
        <v>6.6809721963503849E-5</v>
      </c>
      <c r="J178" s="176">
        <v>4.3240665545736133E-4</v>
      </c>
      <c r="K178">
        <v>5.6978129667521749E-4</v>
      </c>
    </row>
    <row r="179" spans="3:11" x14ac:dyDescent="0.25">
      <c r="C179" s="171" t="s">
        <v>498</v>
      </c>
      <c r="D179" s="171" t="s">
        <v>904</v>
      </c>
      <c r="E179" s="171" t="s">
        <v>910</v>
      </c>
      <c r="F179" s="171" t="s">
        <v>911</v>
      </c>
      <c r="G179" s="174" t="s">
        <v>907</v>
      </c>
      <c r="H179" s="174">
        <v>3.7791953899358571E-4</v>
      </c>
      <c r="I179" s="176">
        <v>4.8314867368700275E-4</v>
      </c>
      <c r="J179" s="176">
        <v>3.1248428036875523E-3</v>
      </c>
      <c r="K179">
        <v>4.1204942887005901E-3</v>
      </c>
    </row>
    <row r="180" spans="3:11" x14ac:dyDescent="0.25">
      <c r="C180" s="171" t="s">
        <v>498</v>
      </c>
      <c r="D180" s="171" t="s">
        <v>904</v>
      </c>
      <c r="E180" s="171" t="s">
        <v>905</v>
      </c>
      <c r="F180" s="171" t="s">
        <v>906</v>
      </c>
      <c r="G180" s="174" t="s">
        <v>907</v>
      </c>
      <c r="H180" s="174">
        <v>4.9607662585840241E-3</v>
      </c>
      <c r="I180" s="176">
        <v>4.2309669260709535E-3</v>
      </c>
      <c r="J180" s="176">
        <v>4.0900995347291587E-2</v>
      </c>
      <c r="K180">
        <v>3.599101293807571E-2</v>
      </c>
    </row>
    <row r="181" spans="3:11" x14ac:dyDescent="0.25">
      <c r="C181" s="171" t="s">
        <v>498</v>
      </c>
      <c r="D181" s="171" t="s">
        <v>904</v>
      </c>
      <c r="E181" s="171" t="s">
        <v>908</v>
      </c>
      <c r="F181" s="171" t="s">
        <v>909</v>
      </c>
      <c r="G181" s="174" t="s">
        <v>907</v>
      </c>
      <c r="H181" s="174">
        <v>1.0415440417434261E-3</v>
      </c>
      <c r="I181" s="176">
        <v>1.3324604358654316E-3</v>
      </c>
      <c r="J181" s="176">
        <v>8.5868385537584309E-3</v>
      </c>
      <c r="K181">
        <v>1.1333527581821488E-2</v>
      </c>
    </row>
    <row r="182" spans="3:11" x14ac:dyDescent="0.25">
      <c r="C182" s="171" t="s">
        <v>498</v>
      </c>
      <c r="D182" s="171" t="s">
        <v>904</v>
      </c>
      <c r="E182" s="171" t="s">
        <v>910</v>
      </c>
      <c r="F182" s="171" t="s">
        <v>911</v>
      </c>
      <c r="G182" s="174" t="s">
        <v>907</v>
      </c>
      <c r="H182" s="174">
        <v>8.3406434737266777E-3</v>
      </c>
      <c r="I182" s="176">
        <v>1.0670458779172609E-2</v>
      </c>
      <c r="J182" s="176">
        <v>6.8768521003505306E-2</v>
      </c>
      <c r="K182">
        <v>9.077058822534545E-2</v>
      </c>
    </row>
    <row r="183" spans="3:11" x14ac:dyDescent="0.25">
      <c r="C183" s="171" t="s">
        <v>498</v>
      </c>
      <c r="D183" s="171" t="s">
        <v>912</v>
      </c>
      <c r="E183" s="171" t="s">
        <v>913</v>
      </c>
      <c r="F183" s="171" t="s">
        <v>914</v>
      </c>
      <c r="G183" s="174" t="s">
        <v>915</v>
      </c>
      <c r="H183" s="174">
        <v>9.2879000357445755E-4</v>
      </c>
      <c r="I183" s="176">
        <v>1.1882235823846826E-3</v>
      </c>
      <c r="J183" s="176">
        <v>7.6580118903256207E-3</v>
      </c>
      <c r="K183">
        <v>1.010762234962158E-2</v>
      </c>
    </row>
    <row r="184" spans="3:11" x14ac:dyDescent="0.25">
      <c r="C184" s="171" t="s">
        <v>498</v>
      </c>
      <c r="D184" s="171" t="s">
        <v>912</v>
      </c>
      <c r="E184" s="171" t="s">
        <v>913</v>
      </c>
      <c r="F184" s="171" t="s">
        <v>914</v>
      </c>
      <c r="G184" s="174" t="s">
        <v>915</v>
      </c>
      <c r="H184" s="174">
        <v>4.2153692793028045E-5</v>
      </c>
      <c r="I184" s="176">
        <v>5.3940699848302481E-5</v>
      </c>
      <c r="J184" s="176">
        <v>3.4854949263521737E-4</v>
      </c>
      <c r="K184">
        <v>4.6002888501652168E-4</v>
      </c>
    </row>
    <row r="185" spans="3:11" x14ac:dyDescent="0.25">
      <c r="C185" s="171" t="s">
        <v>498</v>
      </c>
      <c r="D185" s="171" t="s">
        <v>916</v>
      </c>
      <c r="E185" s="171" t="s">
        <v>917</v>
      </c>
      <c r="F185" s="171" t="s">
        <v>918</v>
      </c>
      <c r="G185" s="174" t="s">
        <v>919</v>
      </c>
      <c r="H185" s="174">
        <v>1.5324384256578414E-5</v>
      </c>
      <c r="I185" s="176">
        <v>1.9605712786216694E-5</v>
      </c>
      <c r="J185" s="176">
        <v>1.2635550017200061E-4</v>
      </c>
      <c r="K185">
        <v>1.6677793741980246E-4</v>
      </c>
    </row>
    <row r="186" spans="3:11" x14ac:dyDescent="0.25">
      <c r="C186" s="171" t="s">
        <v>498</v>
      </c>
      <c r="D186" s="171" t="s">
        <v>916</v>
      </c>
      <c r="E186" s="171" t="s">
        <v>920</v>
      </c>
      <c r="F186" s="171" t="s">
        <v>921</v>
      </c>
      <c r="G186" s="174" t="s">
        <v>919</v>
      </c>
      <c r="H186" s="174">
        <v>1.0936903217570019E-3</v>
      </c>
      <c r="I186" s="176">
        <v>0</v>
      </c>
      <c r="J186" s="176">
        <v>9.0184794717507975E-3</v>
      </c>
      <c r="K186">
        <v>0</v>
      </c>
    </row>
    <row r="187" spans="3:11" x14ac:dyDescent="0.25">
      <c r="C187" s="171" t="s">
        <v>498</v>
      </c>
      <c r="D187" s="171" t="s">
        <v>922</v>
      </c>
      <c r="E187" s="171" t="s">
        <v>923</v>
      </c>
      <c r="F187" s="171" t="s">
        <v>924</v>
      </c>
      <c r="G187" s="174" t="s">
        <v>925</v>
      </c>
      <c r="H187" s="174">
        <v>1.9890611006831314E-3</v>
      </c>
      <c r="I187" s="176">
        <v>2.5446238115010931E-3</v>
      </c>
      <c r="J187" s="176">
        <v>1.640131206884771E-2</v>
      </c>
      <c r="K187">
        <v>2.1647579180511932E-2</v>
      </c>
    </row>
    <row r="188" spans="3:11" x14ac:dyDescent="0.25">
      <c r="C188" s="171" t="s">
        <v>498</v>
      </c>
      <c r="D188" s="171" t="s">
        <v>922</v>
      </c>
      <c r="E188" s="171" t="s">
        <v>926</v>
      </c>
      <c r="F188" s="171" t="s">
        <v>927</v>
      </c>
      <c r="G188" s="174" t="s">
        <v>925</v>
      </c>
      <c r="H188" s="174">
        <v>1.0705360162526441E-2</v>
      </c>
      <c r="I188" s="176">
        <v>1.1508615867568177E-2</v>
      </c>
      <c r="J188" s="176">
        <v>8.8275164434657327E-2</v>
      </c>
      <c r="K188">
        <v>9.7909188878393394E-2</v>
      </c>
    </row>
    <row r="189" spans="3:11" x14ac:dyDescent="0.25">
      <c r="C189" s="171" t="s">
        <v>498</v>
      </c>
      <c r="D189" s="171" t="s">
        <v>928</v>
      </c>
      <c r="E189" s="171" t="s">
        <v>929</v>
      </c>
      <c r="F189" s="171" t="s">
        <v>930</v>
      </c>
      <c r="G189" s="174" t="s">
        <v>931</v>
      </c>
      <c r="H189" s="174">
        <v>6.8424124091945584E-3</v>
      </c>
      <c r="I189" s="176">
        <v>0</v>
      </c>
      <c r="J189" s="176">
        <v>5.6421630687717467E-2</v>
      </c>
      <c r="K189">
        <v>0</v>
      </c>
    </row>
    <row r="190" spans="3:11" x14ac:dyDescent="0.25">
      <c r="C190" s="171" t="s">
        <v>498</v>
      </c>
      <c r="D190" s="171" t="s">
        <v>932</v>
      </c>
      <c r="E190" s="171" t="s">
        <v>933</v>
      </c>
      <c r="F190" s="171" t="s">
        <v>934</v>
      </c>
      <c r="G190" s="174" t="s">
        <v>935</v>
      </c>
      <c r="H190" s="174">
        <v>2.3731702066063262E-3</v>
      </c>
      <c r="I190" s="176">
        <v>9.4231088717203464E-4</v>
      </c>
      <c r="J190" s="176">
        <v>1.9569909452251691E-2</v>
      </c>
      <c r="K190">
        <v>8.0169362056029189E-3</v>
      </c>
    </row>
    <row r="191" spans="3:11" x14ac:dyDescent="0.25">
      <c r="C191" s="171" t="s">
        <v>498</v>
      </c>
      <c r="D191" s="171" t="s">
        <v>932</v>
      </c>
      <c r="E191" s="171" t="s">
        <v>936</v>
      </c>
      <c r="F191" s="171" t="s">
        <v>937</v>
      </c>
      <c r="G191" s="174" t="s">
        <v>935</v>
      </c>
      <c r="H191" s="174">
        <v>2.0585928103580607E-3</v>
      </c>
      <c r="I191" s="176">
        <v>6.7657223044381991E-4</v>
      </c>
      <c r="J191" s="176">
        <v>1.6975014820979562E-2</v>
      </c>
      <c r="K191">
        <v>5.7558923936957603E-3</v>
      </c>
    </row>
    <row r="192" spans="3:11" x14ac:dyDescent="0.25">
      <c r="C192" s="171" t="s">
        <v>498</v>
      </c>
      <c r="D192" s="171" t="s">
        <v>932</v>
      </c>
      <c r="E192" s="171" t="s">
        <v>938</v>
      </c>
      <c r="F192" s="171" t="s">
        <v>939</v>
      </c>
      <c r="G192" s="174" t="s">
        <v>935</v>
      </c>
      <c r="H192" s="174">
        <v>1.7921369573423857E-4</v>
      </c>
      <c r="I192" s="176">
        <v>2.2941788402597337E-4</v>
      </c>
      <c r="J192" s="176">
        <v>1.4818356016434782E-3</v>
      </c>
      <c r="K192">
        <v>1.9565718221699999E-3</v>
      </c>
    </row>
    <row r="193" spans="3:11" x14ac:dyDescent="0.25">
      <c r="C193" s="171" t="s">
        <v>498</v>
      </c>
      <c r="D193" s="171" t="s">
        <v>932</v>
      </c>
      <c r="E193" s="171" t="s">
        <v>938</v>
      </c>
      <c r="F193" s="171" t="s">
        <v>939</v>
      </c>
      <c r="G193" s="174" t="s">
        <v>935</v>
      </c>
      <c r="H193" s="174">
        <v>4.0132846303730704E-3</v>
      </c>
      <c r="I193" s="176">
        <v>5.1343260983751663E-3</v>
      </c>
      <c r="J193" s="176">
        <v>3.3090063786190303E-2</v>
      </c>
      <c r="K193">
        <v>4.367651260424945E-2</v>
      </c>
    </row>
    <row r="194" spans="3:11" x14ac:dyDescent="0.25">
      <c r="C194" s="171" t="s">
        <v>498</v>
      </c>
      <c r="D194" s="171" t="s">
        <v>940</v>
      </c>
      <c r="E194" s="171" t="s">
        <v>941</v>
      </c>
      <c r="F194" s="171" t="s">
        <v>942</v>
      </c>
      <c r="G194" s="174" t="s">
        <v>943</v>
      </c>
      <c r="H194" s="174">
        <v>0</v>
      </c>
      <c r="I194" s="176">
        <v>6.0519087164032125E-4</v>
      </c>
      <c r="J194" s="176">
        <v>0</v>
      </c>
      <c r="K194">
        <v>5.1480526860426109E-3</v>
      </c>
    </row>
    <row r="195" spans="3:11" x14ac:dyDescent="0.25">
      <c r="C195" s="171" t="s">
        <v>498</v>
      </c>
      <c r="D195" s="171" t="s">
        <v>944</v>
      </c>
      <c r="E195" s="171" t="s">
        <v>945</v>
      </c>
      <c r="F195" s="171" t="s">
        <v>946</v>
      </c>
      <c r="G195" s="174" t="s">
        <v>947</v>
      </c>
      <c r="H195" s="174">
        <v>8.37221295537296E-4</v>
      </c>
      <c r="I195" s="176">
        <v>6.6946866460534948E-4</v>
      </c>
      <c r="J195" s="176">
        <v>6.9043017465399929E-3</v>
      </c>
      <c r="K195">
        <v>5.6958369059628517E-3</v>
      </c>
    </row>
    <row r="196" spans="3:11" x14ac:dyDescent="0.25">
      <c r="C196" s="171" t="s">
        <v>498</v>
      </c>
      <c r="D196" s="171" t="s">
        <v>944</v>
      </c>
      <c r="E196" s="171" t="s">
        <v>948</v>
      </c>
      <c r="F196" s="171" t="s">
        <v>949</v>
      </c>
      <c r="G196" s="174" t="s">
        <v>947</v>
      </c>
      <c r="H196" s="174">
        <v>5.4673788348359583E-3</v>
      </c>
      <c r="I196" s="176">
        <v>6.994229542318188E-3</v>
      </c>
      <c r="J196" s="176">
        <v>4.508304646018603E-2</v>
      </c>
      <c r="K196">
        <v>5.9502213545058635E-2</v>
      </c>
    </row>
    <row r="197" spans="3:11" x14ac:dyDescent="0.25">
      <c r="C197" s="171" t="s">
        <v>498</v>
      </c>
      <c r="D197" s="171" t="s">
        <v>944</v>
      </c>
      <c r="E197" s="171" t="s">
        <v>950</v>
      </c>
      <c r="F197" s="171" t="s">
        <v>951</v>
      </c>
      <c r="G197" s="174" t="s">
        <v>947</v>
      </c>
      <c r="H197" s="174">
        <v>1.9531156053244933E-3</v>
      </c>
      <c r="I197" s="176">
        <v>2.4986024202803274E-3</v>
      </c>
      <c r="J197" s="176">
        <v>1.6104896765232902E-2</v>
      </c>
      <c r="K197">
        <v>2.1256128122062012E-2</v>
      </c>
    </row>
    <row r="198" spans="3:11" x14ac:dyDescent="0.25">
      <c r="C198" s="171" t="s">
        <v>498</v>
      </c>
      <c r="D198" s="171" t="s">
        <v>952</v>
      </c>
      <c r="E198" s="171" t="s">
        <v>953</v>
      </c>
      <c r="F198" s="171" t="s">
        <v>954</v>
      </c>
      <c r="G198" s="174" t="s">
        <v>955</v>
      </c>
      <c r="H198" s="174">
        <v>9.9251458190569037E-3</v>
      </c>
      <c r="I198" s="176">
        <v>9.0261847430222423E-3</v>
      </c>
      <c r="J198" s="176">
        <v>8.1840845089903705E-2</v>
      </c>
      <c r="K198">
        <v>7.678882519577139E-2</v>
      </c>
    </row>
    <row r="199" spans="3:11" x14ac:dyDescent="0.25">
      <c r="C199" s="171" t="s">
        <v>498</v>
      </c>
      <c r="D199" s="171" t="s">
        <v>952</v>
      </c>
      <c r="E199" s="171" t="s">
        <v>956</v>
      </c>
      <c r="F199" s="171" t="s">
        <v>957</v>
      </c>
      <c r="G199" s="174" t="s">
        <v>955</v>
      </c>
      <c r="H199" s="174">
        <v>0</v>
      </c>
      <c r="I199" s="176">
        <v>1.3934380214498382E-4</v>
      </c>
      <c r="J199" s="176">
        <v>0</v>
      </c>
      <c r="K199">
        <v>1.185493517988555E-3</v>
      </c>
    </row>
    <row r="200" spans="3:11" x14ac:dyDescent="0.25">
      <c r="C200" s="171" t="s">
        <v>498</v>
      </c>
      <c r="D200" s="171" t="s">
        <v>952</v>
      </c>
      <c r="E200" s="171" t="s">
        <v>958</v>
      </c>
      <c r="F200" s="171" t="s">
        <v>959</v>
      </c>
      <c r="G200" s="174" t="s">
        <v>955</v>
      </c>
      <c r="H200" s="174">
        <v>0</v>
      </c>
      <c r="I200" s="176">
        <v>1.5667493733214886E-3</v>
      </c>
      <c r="J200" s="176">
        <v>0</v>
      </c>
      <c r="K200">
        <v>1.332700032399471E-2</v>
      </c>
    </row>
    <row r="201" spans="3:11" x14ac:dyDescent="0.25">
      <c r="C201" s="171" t="s">
        <v>498</v>
      </c>
      <c r="D201" s="171" t="s">
        <v>952</v>
      </c>
      <c r="E201" s="171" t="s">
        <v>960</v>
      </c>
      <c r="F201" s="171" t="s">
        <v>961</v>
      </c>
      <c r="G201" s="174" t="s">
        <v>955</v>
      </c>
      <c r="H201" s="174">
        <v>0</v>
      </c>
      <c r="I201" s="176">
        <v>8.2474552413367309E-4</v>
      </c>
      <c r="J201" s="176">
        <v>0</v>
      </c>
      <c r="K201">
        <v>7.0155002256583939E-3</v>
      </c>
    </row>
    <row r="202" spans="3:11" x14ac:dyDescent="0.25">
      <c r="C202" s="171" t="s">
        <v>498</v>
      </c>
      <c r="D202" s="171" t="s">
        <v>952</v>
      </c>
      <c r="E202" s="171" t="s">
        <v>958</v>
      </c>
      <c r="F202" s="171" t="s">
        <v>959</v>
      </c>
      <c r="G202" s="174" t="s">
        <v>955</v>
      </c>
      <c r="H202" s="174">
        <v>0</v>
      </c>
      <c r="I202" s="176">
        <v>7.4327978797422394E-5</v>
      </c>
      <c r="J202" s="176">
        <v>0</v>
      </c>
      <c r="K202">
        <v>6.3390014048521738E-4</v>
      </c>
    </row>
    <row r="203" spans="3:11" x14ac:dyDescent="0.25">
      <c r="C203" s="171" t="s">
        <v>498</v>
      </c>
      <c r="D203" s="171" t="s">
        <v>952</v>
      </c>
      <c r="E203" s="171" t="s">
        <v>960</v>
      </c>
      <c r="F203" s="171" t="s">
        <v>961</v>
      </c>
      <c r="G203" s="174" t="s">
        <v>955</v>
      </c>
      <c r="H203" s="174">
        <v>0</v>
      </c>
      <c r="I203" s="176">
        <v>3.864346567404963E-5</v>
      </c>
      <c r="J203" s="176">
        <v>0</v>
      </c>
      <c r="K203">
        <v>3.2956766369739133E-4</v>
      </c>
    </row>
    <row r="204" spans="3:11" x14ac:dyDescent="0.25">
      <c r="C204" s="171" t="s">
        <v>498</v>
      </c>
      <c r="D204" s="171" t="s">
        <v>952</v>
      </c>
      <c r="E204" s="171" t="s">
        <v>962</v>
      </c>
      <c r="F204" s="171" t="s">
        <v>963</v>
      </c>
      <c r="G204" s="174" t="s">
        <v>955</v>
      </c>
      <c r="H204" s="174">
        <v>0</v>
      </c>
      <c r="I204" s="176">
        <v>1.4134772998224705E-3</v>
      </c>
      <c r="J204" s="176">
        <v>0</v>
      </c>
      <c r="K204">
        <v>1.2024908930695162E-2</v>
      </c>
    </row>
    <row r="205" spans="3:11" x14ac:dyDescent="0.25">
      <c r="C205" s="171" t="s">
        <v>498</v>
      </c>
      <c r="D205" s="171" t="s">
        <v>964</v>
      </c>
      <c r="E205" s="171" t="s">
        <v>965</v>
      </c>
      <c r="F205" s="171" t="s">
        <v>966</v>
      </c>
      <c r="G205" s="174" t="s">
        <v>967</v>
      </c>
      <c r="H205" s="174">
        <v>3.1228717349995221E-5</v>
      </c>
      <c r="I205" s="176">
        <v>3.9956601052457102E-5</v>
      </c>
      <c r="J205" s="176">
        <v>2.5749619205933574E-4</v>
      </c>
      <c r="K205">
        <v>3.3990688289876235E-4</v>
      </c>
    </row>
    <row r="206" spans="3:11" x14ac:dyDescent="0.25">
      <c r="C206" s="171" t="s">
        <v>498</v>
      </c>
      <c r="D206" s="171" t="s">
        <v>964</v>
      </c>
      <c r="E206" s="171" t="s">
        <v>968</v>
      </c>
      <c r="F206" s="171" t="s">
        <v>969</v>
      </c>
      <c r="G206" s="174" t="s">
        <v>967</v>
      </c>
      <c r="H206" s="174">
        <v>1.1064349205393746E-4</v>
      </c>
      <c r="I206" s="176">
        <v>0</v>
      </c>
      <c r="J206" s="176">
        <v>9.1228084731719006E-4</v>
      </c>
      <c r="K206">
        <v>0</v>
      </c>
    </row>
    <row r="207" spans="3:11" x14ac:dyDescent="0.25">
      <c r="C207" s="171" t="s">
        <v>498</v>
      </c>
      <c r="D207" s="171" t="s">
        <v>970</v>
      </c>
      <c r="E207" s="171" t="s">
        <v>971</v>
      </c>
      <c r="F207" s="171" t="s">
        <v>972</v>
      </c>
      <c r="G207" s="174" t="s">
        <v>973</v>
      </c>
      <c r="H207" s="174">
        <v>1.5999114421695775E-4</v>
      </c>
      <c r="I207" s="176">
        <v>0</v>
      </c>
      <c r="J207" s="176">
        <v>1.3192285169367473E-3</v>
      </c>
      <c r="K207">
        <v>0</v>
      </c>
    </row>
    <row r="208" spans="3:11" x14ac:dyDescent="0.25">
      <c r="C208" s="171" t="s">
        <v>498</v>
      </c>
      <c r="D208" s="171" t="s">
        <v>970</v>
      </c>
      <c r="E208" s="171" t="s">
        <v>974</v>
      </c>
      <c r="F208" s="171" t="s">
        <v>975</v>
      </c>
      <c r="G208" s="174" t="s">
        <v>973</v>
      </c>
      <c r="H208" s="174">
        <v>1.705795437115036E-3</v>
      </c>
      <c r="I208" s="176">
        <v>2.1822094617685683E-3</v>
      </c>
      <c r="J208" s="176">
        <v>1.4065476968904603E-2</v>
      </c>
      <c r="K208">
        <v>1.8564555531623877E-2</v>
      </c>
    </row>
    <row r="209" spans="3:11" x14ac:dyDescent="0.25">
      <c r="C209" s="171" t="s">
        <v>498</v>
      </c>
      <c r="D209" s="171" t="s">
        <v>976</v>
      </c>
      <c r="E209" s="171" t="s">
        <v>977</v>
      </c>
      <c r="F209" s="171" t="s">
        <v>978</v>
      </c>
      <c r="G209" s="174" t="s">
        <v>979</v>
      </c>
      <c r="H209" s="174">
        <v>1.9438545288920214E-5</v>
      </c>
      <c r="I209" s="176">
        <v>1.928581269567375E-5</v>
      </c>
      <c r="J209" s="176">
        <v>1.6026785826555058E-4</v>
      </c>
      <c r="K209">
        <v>1.6404096459439924E-4</v>
      </c>
    </row>
    <row r="210" spans="3:11" x14ac:dyDescent="0.25">
      <c r="C210" s="171" t="s">
        <v>498</v>
      </c>
      <c r="D210" s="171" t="s">
        <v>976</v>
      </c>
      <c r="E210" s="171" t="s">
        <v>980</v>
      </c>
      <c r="F210" s="171" t="s">
        <v>981</v>
      </c>
      <c r="G210" s="174" t="s">
        <v>979</v>
      </c>
      <c r="H210" s="174">
        <v>2.439839824291626E-5</v>
      </c>
      <c r="I210" s="176">
        <v>2.2227474895658614E-5</v>
      </c>
      <c r="J210" s="176">
        <v>2.0173913043478262E-4</v>
      </c>
      <c r="K210">
        <v>1.8956521739130436E-4</v>
      </c>
    </row>
    <row r="211" spans="3:11" x14ac:dyDescent="0.25">
      <c r="C211" s="171" t="s">
        <v>498</v>
      </c>
      <c r="D211" s="171" t="s">
        <v>976</v>
      </c>
      <c r="E211" s="171" t="s">
        <v>982</v>
      </c>
      <c r="F211" s="171" t="s">
        <v>983</v>
      </c>
      <c r="G211" s="174" t="s">
        <v>979</v>
      </c>
      <c r="H211" s="174">
        <v>1.6871350085672694E-4</v>
      </c>
      <c r="I211" s="176">
        <v>2.1572952493206375E-4</v>
      </c>
      <c r="J211" s="176">
        <v>1.3950143208817391E-3</v>
      </c>
      <c r="K211">
        <v>1.839831761522174E-3</v>
      </c>
    </row>
    <row r="212" spans="3:11" x14ac:dyDescent="0.25">
      <c r="C212" s="171" t="s">
        <v>498</v>
      </c>
      <c r="D212" s="171" t="s">
        <v>976</v>
      </c>
      <c r="E212" s="171" t="s">
        <v>984</v>
      </c>
      <c r="F212" s="171" t="s">
        <v>985</v>
      </c>
      <c r="G212" s="174" t="s">
        <v>979</v>
      </c>
      <c r="H212" s="174">
        <v>7.1091884535393931E-6</v>
      </c>
      <c r="I212" s="176">
        <v>4.9858877174206698E-6</v>
      </c>
      <c r="J212" s="176">
        <v>5.8782608695652178E-5</v>
      </c>
      <c r="K212">
        <v>4.2521739130434776E-5</v>
      </c>
    </row>
    <row r="213" spans="3:11" x14ac:dyDescent="0.25">
      <c r="C213" s="171" t="s">
        <v>498</v>
      </c>
      <c r="D213" s="171" t="s">
        <v>976</v>
      </c>
      <c r="E213" s="171" t="s">
        <v>980</v>
      </c>
      <c r="F213" s="171" t="s">
        <v>981</v>
      </c>
      <c r="G213" s="174" t="s">
        <v>979</v>
      </c>
      <c r="H213" s="174">
        <v>5.3419811592357168E-4</v>
      </c>
      <c r="I213" s="176">
        <v>4.8641566413950215E-4</v>
      </c>
      <c r="J213" s="176">
        <v>4.4042748475369101E-3</v>
      </c>
      <c r="K213">
        <v>4.1375728262673704E-3</v>
      </c>
    </row>
    <row r="214" spans="3:11" x14ac:dyDescent="0.25">
      <c r="C214" s="171" t="s">
        <v>498</v>
      </c>
      <c r="D214" s="171" t="s">
        <v>976</v>
      </c>
      <c r="E214" s="171" t="s">
        <v>982</v>
      </c>
      <c r="F214" s="171" t="s">
        <v>983</v>
      </c>
      <c r="G214" s="174" t="s">
        <v>979</v>
      </c>
      <c r="H214" s="174">
        <v>3.7081602658646314E-3</v>
      </c>
      <c r="I214" s="176">
        <v>4.7439449936752063E-3</v>
      </c>
      <c r="J214" s="176">
        <v>3.0574049488443323E-2</v>
      </c>
      <c r="K214">
        <v>4.0356039232957705E-2</v>
      </c>
    </row>
    <row r="215" spans="3:11" x14ac:dyDescent="0.25">
      <c r="C215" s="171" t="s">
        <v>498</v>
      </c>
      <c r="D215" s="171" t="s">
        <v>976</v>
      </c>
      <c r="E215" s="171" t="s">
        <v>984</v>
      </c>
      <c r="F215" s="171" t="s">
        <v>985</v>
      </c>
      <c r="G215" s="174" t="s">
        <v>979</v>
      </c>
      <c r="H215" s="174">
        <v>1.5364390735629795E-4</v>
      </c>
      <c r="I215" s="176">
        <v>1.080001419421693E-4</v>
      </c>
      <c r="J215" s="176">
        <v>1.2667255815243899E-3</v>
      </c>
      <c r="K215">
        <v>9.1866091665774837E-4</v>
      </c>
    </row>
    <row r="216" spans="3:11" x14ac:dyDescent="0.25">
      <c r="C216" s="171" t="s">
        <v>498</v>
      </c>
      <c r="D216" s="171" t="s">
        <v>986</v>
      </c>
      <c r="E216" s="171" t="s">
        <v>987</v>
      </c>
      <c r="F216" s="171" t="s">
        <v>988</v>
      </c>
      <c r="G216" s="174" t="s">
        <v>989</v>
      </c>
      <c r="H216" s="174">
        <v>4.7849574074883776E-4</v>
      </c>
      <c r="I216" s="176">
        <v>0</v>
      </c>
      <c r="J216" s="176">
        <v>3.9455001525601869E-3</v>
      </c>
      <c r="K216">
        <v>0</v>
      </c>
    </row>
    <row r="217" spans="3:11" x14ac:dyDescent="0.25">
      <c r="C217" s="171" t="s">
        <v>498</v>
      </c>
      <c r="D217" s="171" t="s">
        <v>990</v>
      </c>
      <c r="E217" s="171" t="s">
        <v>991</v>
      </c>
      <c r="F217" s="171" t="s">
        <v>992</v>
      </c>
      <c r="G217" s="174" t="s">
        <v>993</v>
      </c>
      <c r="H217" s="174">
        <v>1.2630245925814331E-3</v>
      </c>
      <c r="I217" s="176">
        <v>1.6156154140760414E-3</v>
      </c>
      <c r="J217" s="176">
        <v>1.0414852979412005E-2</v>
      </c>
      <c r="K217">
        <v>1.3744746283341882E-2</v>
      </c>
    </row>
    <row r="218" spans="3:11" x14ac:dyDescent="0.25">
      <c r="C218" s="171" t="s">
        <v>498</v>
      </c>
      <c r="D218" s="171" t="s">
        <v>990</v>
      </c>
      <c r="E218" s="171" t="s">
        <v>994</v>
      </c>
      <c r="F218" s="171" t="s">
        <v>995</v>
      </c>
      <c r="G218" s="174" t="s">
        <v>993</v>
      </c>
      <c r="H218" s="174">
        <v>5.1721115709361777E-3</v>
      </c>
      <c r="I218" s="176">
        <v>6.6162009825089371E-3</v>
      </c>
      <c r="J218" s="176">
        <v>4.2648364685015261E-2</v>
      </c>
      <c r="K218">
        <v>5.6286447491398862E-2</v>
      </c>
    </row>
    <row r="219" spans="3:11" x14ac:dyDescent="0.25">
      <c r="C219" s="171" t="s">
        <v>498</v>
      </c>
      <c r="D219" s="171" t="s">
        <v>996</v>
      </c>
      <c r="E219" s="171" t="s">
        <v>997</v>
      </c>
      <c r="F219" s="171" t="s">
        <v>998</v>
      </c>
      <c r="G219" s="174" t="s">
        <v>999</v>
      </c>
      <c r="H219" s="174">
        <v>3.4809783700022767E-6</v>
      </c>
      <c r="I219" s="176">
        <v>3.9051022408427738E-6</v>
      </c>
      <c r="J219" s="176">
        <v>2.8782608695652171E-5</v>
      </c>
      <c r="K219">
        <v>3.3304347826086955E-5</v>
      </c>
    </row>
    <row r="220" spans="3:11" x14ac:dyDescent="0.25">
      <c r="C220" s="171" t="s">
        <v>498</v>
      </c>
      <c r="D220" s="171" t="s">
        <v>996</v>
      </c>
      <c r="E220" s="171" t="s">
        <v>997</v>
      </c>
      <c r="F220" s="171" t="s">
        <v>998</v>
      </c>
      <c r="G220" s="174" t="s">
        <v>999</v>
      </c>
      <c r="H220" s="174">
        <v>7.4864698579938193E-5</v>
      </c>
      <c r="I220" s="176">
        <v>8.4014085592176656E-5</v>
      </c>
      <c r="J220" s="176">
        <v>6.1722277868718272E-4</v>
      </c>
      <c r="K220">
        <v>7.1462728330407553E-4</v>
      </c>
    </row>
    <row r="221" spans="3:11" x14ac:dyDescent="0.25">
      <c r="C221" s="171" t="s">
        <v>498</v>
      </c>
      <c r="D221" s="171" t="s">
        <v>996</v>
      </c>
      <c r="E221" s="171" t="s">
        <v>1000</v>
      </c>
      <c r="F221" s="171" t="s">
        <v>1001</v>
      </c>
      <c r="G221" s="174" t="s">
        <v>999</v>
      </c>
      <c r="H221" s="174">
        <v>9.1356207500814756E-6</v>
      </c>
      <c r="I221" s="176">
        <v>0</v>
      </c>
      <c r="J221" s="176">
        <v>7.5328034161150831E-5</v>
      </c>
      <c r="K221">
        <v>0</v>
      </c>
    </row>
    <row r="222" spans="3:11" x14ac:dyDescent="0.25">
      <c r="C222" s="171" t="s">
        <v>498</v>
      </c>
      <c r="D222" s="171" t="s">
        <v>1002</v>
      </c>
      <c r="E222" s="171" t="s">
        <v>1003</v>
      </c>
      <c r="F222" s="171" t="s">
        <v>1004</v>
      </c>
      <c r="G222" s="174" t="s">
        <v>1005</v>
      </c>
      <c r="H222" s="174">
        <v>7.6326152457070031E-3</v>
      </c>
      <c r="I222" s="176">
        <v>9.7646336217657378E-3</v>
      </c>
      <c r="J222" s="176">
        <v>6.2930020568139386E-2</v>
      </c>
      <c r="K222">
        <v>8.3063572801728144E-2</v>
      </c>
    </row>
    <row r="223" spans="3:11" x14ac:dyDescent="0.25">
      <c r="C223" s="171" t="s">
        <v>498</v>
      </c>
      <c r="D223" s="171" t="s">
        <v>1002</v>
      </c>
      <c r="E223" s="171" t="s">
        <v>1006</v>
      </c>
      <c r="F223" s="171" t="s">
        <v>1007</v>
      </c>
      <c r="G223" s="174" t="s">
        <v>1005</v>
      </c>
      <c r="H223" s="174">
        <v>3.0593398319610655E-3</v>
      </c>
      <c r="I223" s="176">
        <v>3.9138814015935832E-3</v>
      </c>
      <c r="J223" s="176">
        <v>2.5223171739874328E-2</v>
      </c>
      <c r="K223">
        <v>3.3292500929146332E-2</v>
      </c>
    </row>
    <row r="224" spans="3:11" x14ac:dyDescent="0.25">
      <c r="C224" s="171" t="s">
        <v>498</v>
      </c>
      <c r="D224" s="171" t="s">
        <v>1002</v>
      </c>
      <c r="E224" s="171" t="s">
        <v>1003</v>
      </c>
      <c r="F224" s="171" t="s">
        <v>1004</v>
      </c>
      <c r="G224" s="174" t="s">
        <v>1005</v>
      </c>
      <c r="H224" s="174">
        <v>3.4456498297147055E-4</v>
      </c>
      <c r="I224" s="176">
        <v>4.4051330351394972E-4</v>
      </c>
      <c r="J224" s="176">
        <v>2.8490493249130429E-3</v>
      </c>
      <c r="K224">
        <v>3.7568819911565215E-3</v>
      </c>
    </row>
    <row r="225" spans="3:11" x14ac:dyDescent="0.25">
      <c r="C225" s="171" t="s">
        <v>498</v>
      </c>
      <c r="D225" s="171" t="s">
        <v>1002</v>
      </c>
      <c r="E225" s="171" t="s">
        <v>1006</v>
      </c>
      <c r="F225" s="171" t="s">
        <v>1007</v>
      </c>
      <c r="G225" s="174" t="s">
        <v>1005</v>
      </c>
      <c r="H225" s="174">
        <v>1.4179716270696906E-4</v>
      </c>
      <c r="I225" s="176">
        <v>1.812187631258468E-4</v>
      </c>
      <c r="J225" s="176">
        <v>1.1724555037513043E-3</v>
      </c>
      <c r="K225">
        <v>1.5455095276721736E-3</v>
      </c>
    </row>
    <row r="226" spans="3:11" x14ac:dyDescent="0.25">
      <c r="C226" s="171" t="s">
        <v>498</v>
      </c>
      <c r="D226" s="171" t="s">
        <v>1008</v>
      </c>
      <c r="E226" s="171" t="s">
        <v>1009</v>
      </c>
      <c r="F226" s="171" t="s">
        <v>1010</v>
      </c>
      <c r="G226" s="174" t="s">
        <v>1011</v>
      </c>
      <c r="H226" s="174">
        <v>1.0508636006180069E-4</v>
      </c>
      <c r="I226" s="176">
        <v>1.3475001312711812E-4</v>
      </c>
      <c r="J226" s="176">
        <v>8.6891076571304351E-4</v>
      </c>
      <c r="K226">
        <v>1.1492045611043479E-3</v>
      </c>
    </row>
    <row r="227" spans="3:11" x14ac:dyDescent="0.25">
      <c r="C227" s="171" t="s">
        <v>498</v>
      </c>
      <c r="D227" s="171" t="s">
        <v>1008</v>
      </c>
      <c r="E227" s="171" t="s">
        <v>1012</v>
      </c>
      <c r="F227" s="171" t="s">
        <v>1013</v>
      </c>
      <c r="G227" s="174" t="s">
        <v>1011</v>
      </c>
      <c r="H227" s="174">
        <v>1.8098535307368458E-5</v>
      </c>
      <c r="I227" s="176">
        <v>2.3115854007502565E-5</v>
      </c>
      <c r="J227" s="176">
        <v>1.4964846211213044E-4</v>
      </c>
      <c r="K227">
        <v>1.9714168661478262E-4</v>
      </c>
    </row>
    <row r="228" spans="3:11" x14ac:dyDescent="0.25">
      <c r="C228" s="171" t="s">
        <v>498</v>
      </c>
      <c r="D228" s="171" t="s">
        <v>1008</v>
      </c>
      <c r="E228" s="171" t="s">
        <v>1014</v>
      </c>
      <c r="F228" s="171" t="s">
        <v>1015</v>
      </c>
      <c r="G228" s="174" t="s">
        <v>1011</v>
      </c>
      <c r="H228" s="174">
        <v>1.6045037567668695E-2</v>
      </c>
      <c r="I228" s="176">
        <v>1.5394734792422508E-2</v>
      </c>
      <c r="J228" s="176">
        <v>0.13230574315882429</v>
      </c>
      <c r="K228">
        <v>0.13097110632956802</v>
      </c>
    </row>
    <row r="229" spans="3:11" x14ac:dyDescent="0.25">
      <c r="C229" s="171" t="s">
        <v>498</v>
      </c>
      <c r="D229" s="171" t="s">
        <v>1008</v>
      </c>
      <c r="E229" s="171" t="s">
        <v>1009</v>
      </c>
      <c r="F229" s="171" t="s">
        <v>1010</v>
      </c>
      <c r="G229" s="174" t="s">
        <v>1011</v>
      </c>
      <c r="H229" s="174">
        <v>2.3184382034510077E-3</v>
      </c>
      <c r="I229" s="176">
        <v>2.9660420669851105E-3</v>
      </c>
      <c r="J229" s="176">
        <v>1.911529323783448E-2</v>
      </c>
      <c r="K229">
        <v>2.5230911481654954E-2</v>
      </c>
    </row>
    <row r="230" spans="3:11" x14ac:dyDescent="0.25">
      <c r="C230" s="171" t="s">
        <v>498</v>
      </c>
      <c r="D230" s="171" t="s">
        <v>1008</v>
      </c>
      <c r="E230" s="171" t="s">
        <v>1012</v>
      </c>
      <c r="F230" s="171" t="s">
        <v>1013</v>
      </c>
      <c r="G230" s="174" t="s">
        <v>1011</v>
      </c>
      <c r="H230" s="174">
        <v>3.8788507372848098E-4</v>
      </c>
      <c r="I230" s="176">
        <v>4.9622881631230967E-4</v>
      </c>
      <c r="J230" s="176">
        <v>3.1980217939788268E-3</v>
      </c>
      <c r="K230">
        <v>4.2210585848564269E-3</v>
      </c>
    </row>
    <row r="231" spans="3:11" x14ac:dyDescent="0.25">
      <c r="C231" s="171" t="s">
        <v>498</v>
      </c>
      <c r="D231" s="171" t="s">
        <v>1016</v>
      </c>
      <c r="E231" s="171" t="s">
        <v>1017</v>
      </c>
      <c r="F231" s="171" t="s">
        <v>1018</v>
      </c>
      <c r="G231" s="174" t="s">
        <v>1019</v>
      </c>
      <c r="H231" s="174">
        <v>1.5176196603405192E-5</v>
      </c>
      <c r="I231" s="176">
        <v>1.2134118242460207E-5</v>
      </c>
      <c r="J231" s="176">
        <v>1.25126471268019E-4</v>
      </c>
      <c r="K231">
        <v>1.0321145206961241E-4</v>
      </c>
    </row>
    <row r="232" spans="3:11" x14ac:dyDescent="0.25">
      <c r="C232" s="171" t="s">
        <v>498</v>
      </c>
      <c r="D232" s="171" t="s">
        <v>1020</v>
      </c>
      <c r="E232" s="171" t="s">
        <v>1021</v>
      </c>
      <c r="F232" s="171" t="s">
        <v>1022</v>
      </c>
      <c r="G232" s="174" t="s">
        <v>1023</v>
      </c>
      <c r="H232" s="174">
        <v>8.658808127918251E-6</v>
      </c>
      <c r="I232" s="176">
        <v>1.1064860612282296E-5</v>
      </c>
      <c r="J232" s="176">
        <v>7.1595700870856192E-5</v>
      </c>
      <c r="K232">
        <v>9.4365766566739131E-5</v>
      </c>
    </row>
    <row r="233" spans="3:11" x14ac:dyDescent="0.25">
      <c r="C233" s="171" t="s">
        <v>498</v>
      </c>
      <c r="D233" s="171" t="s">
        <v>1020</v>
      </c>
      <c r="E233" s="171" t="s">
        <v>1024</v>
      </c>
      <c r="F233" s="171" t="s">
        <v>1025</v>
      </c>
      <c r="G233" s="174" t="s">
        <v>1023</v>
      </c>
      <c r="H233" s="174">
        <v>3.5083281447634924E-4</v>
      </c>
      <c r="I233" s="176">
        <v>2.6903340131735571E-4</v>
      </c>
      <c r="J233" s="176">
        <v>2.9008751400717526E-3</v>
      </c>
      <c r="K233">
        <v>2.2944295492695653E-3</v>
      </c>
    </row>
    <row r="234" spans="3:11" x14ac:dyDescent="0.25">
      <c r="C234" s="171" t="s">
        <v>498</v>
      </c>
      <c r="D234" s="171" t="s">
        <v>1020</v>
      </c>
      <c r="E234" s="171" t="s">
        <v>1026</v>
      </c>
      <c r="F234" s="171" t="s">
        <v>1027</v>
      </c>
      <c r="G234" s="174" t="s">
        <v>1023</v>
      </c>
      <c r="H234" s="174">
        <v>9.7777915779605776E-5</v>
      </c>
      <c r="I234" s="176">
        <v>1.2515258828007243E-4</v>
      </c>
      <c r="J234" s="176">
        <v>8.084806022391304E-4</v>
      </c>
      <c r="K234">
        <v>1.0673537014782609E-3</v>
      </c>
    </row>
    <row r="235" spans="3:11" x14ac:dyDescent="0.25">
      <c r="C235" s="171" t="s">
        <v>498</v>
      </c>
      <c r="D235" s="171" t="s">
        <v>1020</v>
      </c>
      <c r="E235" s="171" t="s">
        <v>1021</v>
      </c>
      <c r="F235" s="171" t="s">
        <v>1022</v>
      </c>
      <c r="G235" s="174" t="s">
        <v>1023</v>
      </c>
      <c r="H235" s="174">
        <v>1.9483364372956295E-4</v>
      </c>
      <c r="I235" s="176">
        <v>2.4925525830697638E-4</v>
      </c>
      <c r="J235" s="176">
        <v>1.6064038455360055E-3</v>
      </c>
      <c r="K235">
        <v>2.1202584930983424E-3</v>
      </c>
    </row>
    <row r="236" spans="3:11" x14ac:dyDescent="0.25">
      <c r="C236" s="171" t="s">
        <v>498</v>
      </c>
      <c r="D236" s="171" t="s">
        <v>1020</v>
      </c>
      <c r="E236" s="171" t="s">
        <v>1024</v>
      </c>
      <c r="F236" s="171" t="s">
        <v>1025</v>
      </c>
      <c r="G236" s="174" t="s">
        <v>1023</v>
      </c>
      <c r="H236" s="174">
        <v>7.7957084083594367E-3</v>
      </c>
      <c r="I236" s="176">
        <v>5.9839751799046839E-3</v>
      </c>
      <c r="J236" s="176">
        <v>6.4275036877913069E-2</v>
      </c>
      <c r="K236">
        <v>5.0903344721696435E-2</v>
      </c>
    </row>
    <row r="237" spans="3:11" x14ac:dyDescent="0.25">
      <c r="C237" s="171" t="s">
        <v>498</v>
      </c>
      <c r="D237" s="171" t="s">
        <v>1020</v>
      </c>
      <c r="E237" s="171" t="s">
        <v>1026</v>
      </c>
      <c r="F237" s="171" t="s">
        <v>1027</v>
      </c>
      <c r="G237" s="174" t="s">
        <v>1023</v>
      </c>
      <c r="H237" s="174">
        <v>2.1095427501449716E-3</v>
      </c>
      <c r="I237" s="176">
        <v>2.6987880690672382E-3</v>
      </c>
      <c r="J237" s="176">
        <v>1.7392596684808324E-2</v>
      </c>
      <c r="K237">
        <v>2.2956636929731579E-2</v>
      </c>
    </row>
    <row r="238" spans="3:11" x14ac:dyDescent="0.25">
      <c r="C238" s="171" t="s">
        <v>498</v>
      </c>
      <c r="D238" s="171" t="s">
        <v>1028</v>
      </c>
      <c r="E238" s="171" t="s">
        <v>1029</v>
      </c>
      <c r="F238" s="171" t="s">
        <v>1030</v>
      </c>
      <c r="G238" s="174" t="s">
        <v>1031</v>
      </c>
      <c r="H238" s="174">
        <v>3.4549714286433457E-4</v>
      </c>
      <c r="I238" s="176">
        <v>3.4759670615819695E-4</v>
      </c>
      <c r="J238" s="176">
        <v>2.8486767548377219E-3</v>
      </c>
      <c r="K238">
        <v>2.9566052140712088E-3</v>
      </c>
    </row>
    <row r="239" spans="3:11" x14ac:dyDescent="0.25">
      <c r="C239" s="171" t="s">
        <v>498</v>
      </c>
      <c r="D239" s="171" t="s">
        <v>1032</v>
      </c>
      <c r="E239" s="171" t="s">
        <v>1033</v>
      </c>
      <c r="F239" s="171" t="s">
        <v>1034</v>
      </c>
      <c r="G239" s="174" t="s">
        <v>1035</v>
      </c>
      <c r="H239" s="174">
        <v>1.3161150555997319E-3</v>
      </c>
      <c r="I239" s="176">
        <v>1.5708977244946779E-3</v>
      </c>
      <c r="J239" s="176">
        <v>1.0853410040584927E-2</v>
      </c>
      <c r="K239">
        <v>1.336474629259232E-2</v>
      </c>
    </row>
    <row r="240" spans="3:11" x14ac:dyDescent="0.25">
      <c r="C240" s="171" t="s">
        <v>498</v>
      </c>
      <c r="D240" s="171" t="s">
        <v>1036</v>
      </c>
      <c r="E240" s="171" t="s">
        <v>1037</v>
      </c>
      <c r="F240" s="171" t="s">
        <v>1038</v>
      </c>
      <c r="G240" s="174" t="s">
        <v>1039</v>
      </c>
      <c r="H240" s="174">
        <v>1.4159748881218785E-2</v>
      </c>
      <c r="I240" s="176">
        <v>1.1045473752571065E-2</v>
      </c>
      <c r="J240" s="176">
        <v>0.11675999450095849</v>
      </c>
      <c r="K240">
        <v>9.3969752298865894E-2</v>
      </c>
    </row>
    <row r="241" spans="3:11" x14ac:dyDescent="0.25">
      <c r="C241" s="171" t="s">
        <v>498</v>
      </c>
      <c r="D241" s="171" t="s">
        <v>1040</v>
      </c>
      <c r="E241" s="171" t="s">
        <v>1041</v>
      </c>
      <c r="F241" s="171" t="s">
        <v>1042</v>
      </c>
      <c r="G241" s="174" t="s">
        <v>1043</v>
      </c>
      <c r="H241" s="174">
        <v>3.7466555118058336E-5</v>
      </c>
      <c r="I241" s="176">
        <v>0</v>
      </c>
      <c r="J241" s="176">
        <v>3.0893317818658268E-4</v>
      </c>
      <c r="K241">
        <v>0</v>
      </c>
    </row>
    <row r="242" spans="3:11" x14ac:dyDescent="0.25">
      <c r="C242" s="171" t="s">
        <v>498</v>
      </c>
      <c r="D242" s="171" t="s">
        <v>1040</v>
      </c>
      <c r="E242" s="171" t="s">
        <v>1044</v>
      </c>
      <c r="F242" s="171" t="s">
        <v>1045</v>
      </c>
      <c r="G242" s="174" t="s">
        <v>1043</v>
      </c>
      <c r="H242" s="174">
        <v>4.4371116640278544E-4</v>
      </c>
      <c r="I242" s="176">
        <v>5.6763236503173194E-4</v>
      </c>
      <c r="J242" s="176">
        <v>3.6587530552451121E-3</v>
      </c>
      <c r="K242">
        <v>4.8289337444236344E-3</v>
      </c>
    </row>
    <row r="243" spans="3:11" x14ac:dyDescent="0.25">
      <c r="C243" s="171" t="s">
        <v>498</v>
      </c>
      <c r="D243" s="171" t="s">
        <v>1040</v>
      </c>
      <c r="E243" s="171" t="s">
        <v>1046</v>
      </c>
      <c r="F243" s="171" t="s">
        <v>1047</v>
      </c>
      <c r="G243" s="174" t="s">
        <v>1043</v>
      </c>
      <c r="H243" s="174">
        <v>9.5380692346352866E-3</v>
      </c>
      <c r="I243" s="176">
        <v>1.2201944239590139E-2</v>
      </c>
      <c r="J243" s="176">
        <v>7.8648532713040745E-2</v>
      </c>
      <c r="K243">
        <v>0.10380600660609865</v>
      </c>
    </row>
    <row r="244" spans="3:11" x14ac:dyDescent="0.25">
      <c r="C244" s="171" t="s">
        <v>498</v>
      </c>
      <c r="D244" s="171" t="s">
        <v>1048</v>
      </c>
      <c r="E244" s="171" t="s">
        <v>1049</v>
      </c>
      <c r="F244" s="171" t="s">
        <v>1050</v>
      </c>
      <c r="G244" s="174" t="s">
        <v>1051</v>
      </c>
      <c r="H244" s="174">
        <v>9.6944879513711361E-6</v>
      </c>
      <c r="I244" s="176">
        <v>1.2395883349865307E-5</v>
      </c>
      <c r="J244" s="176">
        <v>8.0159260859999999E-5</v>
      </c>
      <c r="K244">
        <v>1.0571728606173913E-4</v>
      </c>
    </row>
    <row r="245" spans="3:11" x14ac:dyDescent="0.25">
      <c r="C245" s="171" t="s">
        <v>498</v>
      </c>
      <c r="D245" s="171" t="s">
        <v>1048</v>
      </c>
      <c r="E245" s="171" t="s">
        <v>1052</v>
      </c>
      <c r="F245" s="171" t="s">
        <v>1053</v>
      </c>
      <c r="G245" s="174" t="s">
        <v>1051</v>
      </c>
      <c r="H245" s="174">
        <v>9.5463052081223973E-4</v>
      </c>
      <c r="I245" s="176">
        <v>1.2214574202023937E-3</v>
      </c>
      <c r="J245" s="176">
        <v>7.8718310822703079E-3</v>
      </c>
      <c r="K245">
        <v>1.0391497256921131E-2</v>
      </c>
    </row>
    <row r="246" spans="3:11" x14ac:dyDescent="0.25">
      <c r="C246" s="171" t="s">
        <v>498</v>
      </c>
      <c r="D246" s="171" t="s">
        <v>1048</v>
      </c>
      <c r="E246" s="171" t="s">
        <v>1054</v>
      </c>
      <c r="F246" s="171" t="s">
        <v>1055</v>
      </c>
      <c r="G246" s="174" t="s">
        <v>1051</v>
      </c>
      <c r="H246" s="174">
        <v>1.1160863961081487E-2</v>
      </c>
      <c r="I246" s="176">
        <v>1.4278137873484675E-2</v>
      </c>
      <c r="J246" s="176">
        <v>9.2031688378778093E-2</v>
      </c>
      <c r="K246">
        <v>0.12147198782983132</v>
      </c>
    </row>
    <row r="247" spans="3:11" x14ac:dyDescent="0.25">
      <c r="C247" s="171" t="s">
        <v>498</v>
      </c>
      <c r="D247" s="171" t="s">
        <v>1048</v>
      </c>
      <c r="E247" s="171" t="s">
        <v>1056</v>
      </c>
      <c r="F247" s="171" t="s">
        <v>1057</v>
      </c>
      <c r="G247" s="174" t="s">
        <v>1051</v>
      </c>
      <c r="H247" s="174">
        <v>2.3025988597434994E-3</v>
      </c>
      <c r="I247" s="176">
        <v>0</v>
      </c>
      <c r="J247" s="176">
        <v>1.8987091335796753E-2</v>
      </c>
      <c r="K247">
        <v>0</v>
      </c>
    </row>
    <row r="248" spans="3:11" x14ac:dyDescent="0.25">
      <c r="C248" s="171" t="s">
        <v>498</v>
      </c>
      <c r="D248" s="171" t="s">
        <v>1048</v>
      </c>
      <c r="E248" s="171" t="s">
        <v>1049</v>
      </c>
      <c r="F248" s="171" t="s">
        <v>1050</v>
      </c>
      <c r="G248" s="174" t="s">
        <v>1051</v>
      </c>
      <c r="H248" s="174">
        <v>2.0920085618335356E-4</v>
      </c>
      <c r="I248" s="176">
        <v>2.6763275613964809E-4</v>
      </c>
      <c r="J248" s="176">
        <v>1.7248016102563136E-3</v>
      </c>
      <c r="K248">
        <v>2.2765174433134645E-3</v>
      </c>
    </row>
    <row r="249" spans="3:11" x14ac:dyDescent="0.25">
      <c r="C249" s="171" t="s">
        <v>498</v>
      </c>
      <c r="D249" s="171" t="s">
        <v>1058</v>
      </c>
      <c r="E249" s="171" t="s">
        <v>1059</v>
      </c>
      <c r="F249" s="171" t="s">
        <v>1060</v>
      </c>
      <c r="G249" s="174" t="s">
        <v>1061</v>
      </c>
      <c r="H249" s="174">
        <v>3.6785407634358724E-3</v>
      </c>
      <c r="I249" s="176">
        <v>6.7181431901610763E-3</v>
      </c>
      <c r="J249" s="176">
        <v>3.0328918695786442E-2</v>
      </c>
      <c r="K249">
        <v>5.7147187943452409E-2</v>
      </c>
    </row>
    <row r="250" spans="3:11" x14ac:dyDescent="0.25">
      <c r="C250" s="171" t="s">
        <v>498</v>
      </c>
      <c r="D250" s="171" t="s">
        <v>1058</v>
      </c>
      <c r="E250" s="171" t="s">
        <v>1062</v>
      </c>
      <c r="F250" s="171" t="s">
        <v>1063</v>
      </c>
      <c r="G250" s="174" t="s">
        <v>1061</v>
      </c>
      <c r="H250" s="174">
        <v>4.5932424639856225E-3</v>
      </c>
      <c r="I250" s="176">
        <v>5.8762991609603108E-3</v>
      </c>
      <c r="J250" s="176">
        <v>3.7871324145291263E-2</v>
      </c>
      <c r="K250">
        <v>4.9988029372060309E-2</v>
      </c>
    </row>
    <row r="251" spans="3:11" x14ac:dyDescent="0.25">
      <c r="C251" s="171" t="s">
        <v>498</v>
      </c>
      <c r="D251" s="171" t="s">
        <v>1058</v>
      </c>
      <c r="E251" s="171" t="s">
        <v>1062</v>
      </c>
      <c r="F251" s="171" t="s">
        <v>1063</v>
      </c>
      <c r="G251" s="174" t="s">
        <v>1061</v>
      </c>
      <c r="H251" s="174">
        <v>2.048856611777995E-4</v>
      </c>
      <c r="I251" s="176">
        <v>2.6220791713175897E-4</v>
      </c>
      <c r="J251" s="176">
        <v>1.6941052733478261E-3</v>
      </c>
      <c r="K251">
        <v>2.2362189608191303E-3</v>
      </c>
    </row>
    <row r="252" spans="3:11" x14ac:dyDescent="0.25">
      <c r="C252" s="171" t="s">
        <v>498</v>
      </c>
      <c r="D252" s="171" t="s">
        <v>1058</v>
      </c>
      <c r="E252" s="171" t="s">
        <v>1059</v>
      </c>
      <c r="F252" s="171" t="s">
        <v>1060</v>
      </c>
      <c r="G252" s="174" t="s">
        <v>1061</v>
      </c>
      <c r="H252" s="174">
        <v>1.6783466562490782E-4</v>
      </c>
      <c r="I252" s="176">
        <v>3.064447838686022E-4</v>
      </c>
      <c r="J252" s="176">
        <v>1.3877476366634784E-3</v>
      </c>
      <c r="K252">
        <v>2.6134894919543484E-3</v>
      </c>
    </row>
    <row r="253" spans="3:11" x14ac:dyDescent="0.25">
      <c r="C253" s="171" t="s">
        <v>498</v>
      </c>
      <c r="D253" s="171" t="s">
        <v>1058</v>
      </c>
      <c r="E253" s="171" t="s">
        <v>1064</v>
      </c>
      <c r="F253" s="171" t="s">
        <v>1065</v>
      </c>
      <c r="G253" s="174" t="s">
        <v>1061</v>
      </c>
      <c r="H253" s="174">
        <v>3.2415813482398596E-3</v>
      </c>
      <c r="I253" s="176">
        <v>0</v>
      </c>
      <c r="J253" s="176">
        <v>2.6729347651534882E-2</v>
      </c>
      <c r="K253">
        <v>0</v>
      </c>
    </row>
    <row r="254" spans="3:11" x14ac:dyDescent="0.25">
      <c r="C254" s="171" t="s">
        <v>498</v>
      </c>
      <c r="D254" s="171" t="s">
        <v>1066</v>
      </c>
      <c r="E254" s="171" t="s">
        <v>1067</v>
      </c>
      <c r="F254" s="171" t="s">
        <v>1068</v>
      </c>
      <c r="G254" s="174" t="s">
        <v>1069</v>
      </c>
      <c r="H254" s="174">
        <v>5.0758899312585797E-5</v>
      </c>
      <c r="I254" s="176">
        <v>5.1115485663942237E-5</v>
      </c>
      <c r="J254" s="176">
        <v>4.1847826709920469E-4</v>
      </c>
      <c r="K254">
        <v>4.3472857399522364E-4</v>
      </c>
    </row>
    <row r="255" spans="3:11" x14ac:dyDescent="0.25">
      <c r="C255" s="171" t="s">
        <v>498</v>
      </c>
      <c r="D255" s="171" t="s">
        <v>1066</v>
      </c>
      <c r="E255" s="171" t="s">
        <v>1070</v>
      </c>
      <c r="F255" s="171" t="s">
        <v>1071</v>
      </c>
      <c r="G255" s="174" t="s">
        <v>1069</v>
      </c>
      <c r="H255" s="174">
        <v>5.4822321296096443E-4</v>
      </c>
      <c r="I255" s="176">
        <v>7.0112549918494027E-4</v>
      </c>
      <c r="J255" s="176">
        <v>4.533005534452174E-3</v>
      </c>
      <c r="K255">
        <v>5.9794919708823649E-3</v>
      </c>
    </row>
    <row r="256" spans="3:11" x14ac:dyDescent="0.25">
      <c r="C256" s="171" t="s">
        <v>498</v>
      </c>
      <c r="D256" s="171" t="s">
        <v>1066</v>
      </c>
      <c r="E256" s="171" t="s">
        <v>1070</v>
      </c>
      <c r="F256" s="171" t="s">
        <v>1071</v>
      </c>
      <c r="G256" s="174" t="s">
        <v>1069</v>
      </c>
      <c r="H256" s="174">
        <v>1.1909627072958421E-2</v>
      </c>
      <c r="I256" s="176">
        <v>1.5236301881357999E-2</v>
      </c>
      <c r="J256" s="176">
        <v>9.819287360021009E-2</v>
      </c>
      <c r="K256">
        <v>0.1296071910045665</v>
      </c>
    </row>
    <row r="257" spans="3:11" x14ac:dyDescent="0.25">
      <c r="C257" s="171" t="s">
        <v>498</v>
      </c>
      <c r="D257" s="171" t="s">
        <v>1072</v>
      </c>
      <c r="E257" s="171" t="s">
        <v>1073</v>
      </c>
      <c r="F257" s="171" t="s">
        <v>1074</v>
      </c>
      <c r="G257" s="174" t="s">
        <v>1075</v>
      </c>
      <c r="H257" s="174">
        <v>1.3485256471396563E-3</v>
      </c>
      <c r="I257" s="176">
        <v>0</v>
      </c>
      <c r="J257" s="176">
        <v>1.1119799435781482E-2</v>
      </c>
      <c r="K257">
        <v>0</v>
      </c>
    </row>
    <row r="258" spans="3:11" x14ac:dyDescent="0.25">
      <c r="C258" s="171" t="s">
        <v>498</v>
      </c>
      <c r="D258" s="171" t="s">
        <v>1072</v>
      </c>
      <c r="E258" s="171" t="s">
        <v>1076</v>
      </c>
      <c r="F258" s="171" t="s">
        <v>1077</v>
      </c>
      <c r="G258" s="174" t="s">
        <v>1075</v>
      </c>
      <c r="H258" s="174">
        <v>7.0196308358158408E-3</v>
      </c>
      <c r="I258" s="176">
        <v>0</v>
      </c>
      <c r="J258" s="176">
        <v>5.7883898211098024E-2</v>
      </c>
      <c r="K258">
        <v>0</v>
      </c>
    </row>
    <row r="259" spans="3:11" x14ac:dyDescent="0.25">
      <c r="C259" s="171" t="s">
        <v>498</v>
      </c>
      <c r="D259" s="171" t="s">
        <v>1072</v>
      </c>
      <c r="E259" s="171" t="s">
        <v>1078</v>
      </c>
      <c r="F259" s="171" t="s">
        <v>1079</v>
      </c>
      <c r="G259" s="174" t="s">
        <v>1075</v>
      </c>
      <c r="H259" s="174">
        <v>3.6412275486956208E-4</v>
      </c>
      <c r="I259" s="176">
        <v>0</v>
      </c>
      <c r="J259" s="176">
        <v>3.0026660740156098E-3</v>
      </c>
      <c r="K259">
        <v>0</v>
      </c>
    </row>
    <row r="260" spans="3:11" x14ac:dyDescent="0.25">
      <c r="C260" s="171" t="s">
        <v>498</v>
      </c>
      <c r="D260" s="171" t="s">
        <v>1080</v>
      </c>
      <c r="E260" s="171" t="s">
        <v>1081</v>
      </c>
      <c r="F260" s="171" t="s">
        <v>1082</v>
      </c>
      <c r="G260" s="174" t="s">
        <v>1083</v>
      </c>
      <c r="H260" s="174">
        <v>3.4977862460966127E-4</v>
      </c>
      <c r="I260" s="176">
        <v>4.4746428057676648E-4</v>
      </c>
      <c r="J260" s="176">
        <v>2.8842034170456594E-3</v>
      </c>
      <c r="K260">
        <v>3.8065303225428594E-3</v>
      </c>
    </row>
    <row r="261" spans="3:11" x14ac:dyDescent="0.25">
      <c r="C261" s="171" t="s">
        <v>498</v>
      </c>
      <c r="D261" s="171" t="s">
        <v>1080</v>
      </c>
      <c r="E261" s="171" t="s">
        <v>1084</v>
      </c>
      <c r="F261" s="171" t="s">
        <v>1085</v>
      </c>
      <c r="G261" s="174" t="s">
        <v>1083</v>
      </c>
      <c r="H261" s="174">
        <v>9.3568836605066369E-4</v>
      </c>
      <c r="I261" s="176">
        <v>1.1969963548462104E-3</v>
      </c>
      <c r="J261" s="176">
        <v>7.7154722866825181E-3</v>
      </c>
      <c r="K261">
        <v>1.0183181016379262E-2</v>
      </c>
    </row>
    <row r="262" spans="3:11" x14ac:dyDescent="0.25">
      <c r="C262" s="171" t="s">
        <v>498</v>
      </c>
      <c r="D262" s="171" t="s">
        <v>1086</v>
      </c>
      <c r="E262" s="171" t="s">
        <v>1087</v>
      </c>
      <c r="F262" s="171" t="s">
        <v>1088</v>
      </c>
      <c r="G262" s="174" t="s">
        <v>1089</v>
      </c>
      <c r="H262" s="174">
        <v>7.164932029947888E-5</v>
      </c>
      <c r="I262" s="176">
        <v>9.1665085824121367E-5</v>
      </c>
      <c r="J262" s="176">
        <v>5.9085337414699346E-4</v>
      </c>
      <c r="K262">
        <v>7.7984596489544093E-4</v>
      </c>
    </row>
    <row r="263" spans="3:11" x14ac:dyDescent="0.25">
      <c r="C263" s="171" t="s">
        <v>498</v>
      </c>
      <c r="D263" s="171" t="s">
        <v>1090</v>
      </c>
      <c r="E263" s="171" t="s">
        <v>1091</v>
      </c>
      <c r="F263" s="171" t="s">
        <v>1092</v>
      </c>
      <c r="G263" s="174" t="s">
        <v>1093</v>
      </c>
      <c r="H263" s="174">
        <v>2.2296468173457878E-4</v>
      </c>
      <c r="I263" s="176">
        <v>2.8447189675778441E-4</v>
      </c>
      <c r="J263" s="176">
        <v>1.8435923769652177E-3</v>
      </c>
      <c r="K263">
        <v>2.4260955058434783E-3</v>
      </c>
    </row>
    <row r="264" spans="3:11" x14ac:dyDescent="0.25">
      <c r="C264" s="171" t="s">
        <v>498</v>
      </c>
      <c r="D264" s="171" t="s">
        <v>1090</v>
      </c>
      <c r="E264" s="171" t="s">
        <v>1094</v>
      </c>
      <c r="F264" s="171" t="s">
        <v>1095</v>
      </c>
      <c r="G264" s="174" t="s">
        <v>1093</v>
      </c>
      <c r="H264" s="174">
        <v>1.4394602417539231E-5</v>
      </c>
      <c r="I264" s="176">
        <v>1.8420695601600002E-5</v>
      </c>
      <c r="J264" s="176">
        <v>1.1902234506365219E-4</v>
      </c>
      <c r="K264">
        <v>1.570994088446087E-4</v>
      </c>
    </row>
    <row r="265" spans="3:11" x14ac:dyDescent="0.25">
      <c r="C265" s="171" t="s">
        <v>498</v>
      </c>
      <c r="D265" s="171" t="s">
        <v>1090</v>
      </c>
      <c r="E265" s="171" t="s">
        <v>1096</v>
      </c>
      <c r="F265" s="171" t="s">
        <v>1097</v>
      </c>
      <c r="G265" s="174" t="s">
        <v>1093</v>
      </c>
      <c r="H265" s="174">
        <v>3.6429951756039052E-5</v>
      </c>
      <c r="I265" s="176">
        <v>4.6674267073741419E-5</v>
      </c>
      <c r="J265" s="176">
        <v>3.0122251124326086E-4</v>
      </c>
      <c r="K265">
        <v>3.9805770227826083E-4</v>
      </c>
    </row>
    <row r="266" spans="3:11" x14ac:dyDescent="0.25">
      <c r="C266" s="171" t="s">
        <v>498</v>
      </c>
      <c r="D266" s="171" t="s">
        <v>1090</v>
      </c>
      <c r="E266" s="171" t="s">
        <v>1098</v>
      </c>
      <c r="F266" s="171" t="s">
        <v>1099</v>
      </c>
      <c r="G266" s="174" t="s">
        <v>1093</v>
      </c>
      <c r="H266" s="174">
        <v>7.0109186795781547E-3</v>
      </c>
      <c r="I266" s="176">
        <v>8.9695271852853146E-3</v>
      </c>
      <c r="J266" s="176">
        <v>5.7811590676071792E-2</v>
      </c>
      <c r="K266">
        <v>7.6308799703505542E-2</v>
      </c>
    </row>
    <row r="267" spans="3:11" x14ac:dyDescent="0.25">
      <c r="C267" s="171" t="s">
        <v>498</v>
      </c>
      <c r="D267" s="171" t="s">
        <v>1090</v>
      </c>
      <c r="E267" s="171" t="s">
        <v>1091</v>
      </c>
      <c r="F267" s="171" t="s">
        <v>1092</v>
      </c>
      <c r="G267" s="174" t="s">
        <v>1093</v>
      </c>
      <c r="H267" s="174">
        <v>4.9031014620305345E-3</v>
      </c>
      <c r="I267" s="176">
        <v>6.2726783716586685E-3</v>
      </c>
      <c r="J267" s="176">
        <v>4.0425384475585621E-2</v>
      </c>
      <c r="K267">
        <v>5.3358515966092035E-2</v>
      </c>
    </row>
    <row r="268" spans="3:11" x14ac:dyDescent="0.25">
      <c r="C268" s="171" t="s">
        <v>498</v>
      </c>
      <c r="D268" s="171" t="s">
        <v>1090</v>
      </c>
      <c r="E268" s="171" t="s">
        <v>1094</v>
      </c>
      <c r="F268" s="171" t="s">
        <v>1095</v>
      </c>
      <c r="G268" s="174" t="s">
        <v>1093</v>
      </c>
      <c r="H268" s="174">
        <v>3.1420333599640104E-4</v>
      </c>
      <c r="I268" s="176">
        <v>4.0196653904627481E-4</v>
      </c>
      <c r="J268" s="176">
        <v>2.5905726331092666E-3</v>
      </c>
      <c r="K268">
        <v>3.4192719111745557E-3</v>
      </c>
    </row>
    <row r="269" spans="3:11" x14ac:dyDescent="0.25">
      <c r="C269" s="171" t="s">
        <v>498</v>
      </c>
      <c r="D269" s="171" t="s">
        <v>1090</v>
      </c>
      <c r="E269" s="171" t="s">
        <v>1096</v>
      </c>
      <c r="F269" s="171" t="s">
        <v>1097</v>
      </c>
      <c r="G269" s="174" t="s">
        <v>1093</v>
      </c>
      <c r="H269" s="174">
        <v>7.8981005000661024E-4</v>
      </c>
      <c r="I269" s="176">
        <v>1.010424231406038E-3</v>
      </c>
      <c r="J269" s="176">
        <v>6.511956416478908E-3</v>
      </c>
      <c r="K269">
        <v>8.5952556041580738E-3</v>
      </c>
    </row>
    <row r="270" spans="3:11" x14ac:dyDescent="0.25">
      <c r="C270" s="171" t="s">
        <v>498</v>
      </c>
      <c r="D270" s="171" t="s">
        <v>1100</v>
      </c>
      <c r="E270" s="171" t="s">
        <v>1101</v>
      </c>
      <c r="F270" s="171" t="s">
        <v>1102</v>
      </c>
      <c r="G270" s="174" t="s">
        <v>1103</v>
      </c>
      <c r="H270" s="174">
        <v>3.4761966776751725E-3</v>
      </c>
      <c r="I270" s="176">
        <v>4.4472033253849137E-3</v>
      </c>
      <c r="J270" s="176">
        <v>2.8660964831214143E-2</v>
      </c>
      <c r="K270">
        <v>3.7830561013643592E-2</v>
      </c>
    </row>
    <row r="271" spans="3:11" x14ac:dyDescent="0.25">
      <c r="C271" s="171" t="s">
        <v>498</v>
      </c>
      <c r="D271" s="171" t="s">
        <v>1100</v>
      </c>
      <c r="E271" s="171" t="s">
        <v>1104</v>
      </c>
      <c r="F271" s="171" t="s">
        <v>1105</v>
      </c>
      <c r="G271" s="174" t="s">
        <v>1103</v>
      </c>
      <c r="H271" s="174">
        <v>7.0402137403921785E-5</v>
      </c>
      <c r="I271" s="176">
        <v>9.0061820767876438E-5</v>
      </c>
      <c r="J271" s="176">
        <v>5.8048553548725767E-4</v>
      </c>
      <c r="K271">
        <v>7.6605873109479724E-4</v>
      </c>
    </row>
    <row r="272" spans="3:11" x14ac:dyDescent="0.25">
      <c r="C272" s="171" t="s">
        <v>498</v>
      </c>
      <c r="D272" s="171" t="s">
        <v>1100</v>
      </c>
      <c r="E272" s="171" t="s">
        <v>1106</v>
      </c>
      <c r="F272" s="171" t="s">
        <v>1107</v>
      </c>
      <c r="G272" s="174" t="s">
        <v>1103</v>
      </c>
      <c r="H272" s="174">
        <v>2.078334726193609E-3</v>
      </c>
      <c r="I272" s="176">
        <v>2.6587355225417991E-3</v>
      </c>
      <c r="J272" s="176">
        <v>1.7137357619832882E-2</v>
      </c>
      <c r="K272">
        <v>2.2618460395581561E-2</v>
      </c>
    </row>
    <row r="273" spans="3:11" x14ac:dyDescent="0.25">
      <c r="C273" s="171" t="s">
        <v>498</v>
      </c>
      <c r="D273" s="171" t="s">
        <v>1100</v>
      </c>
      <c r="E273" s="171" t="s">
        <v>1101</v>
      </c>
      <c r="F273" s="171" t="s">
        <v>1102</v>
      </c>
      <c r="G273" s="174" t="s">
        <v>1103</v>
      </c>
      <c r="H273" s="174">
        <v>1.5752218740807845E-4</v>
      </c>
      <c r="I273" s="176">
        <v>2.0147576335325829E-4</v>
      </c>
      <c r="J273" s="176">
        <v>1.3024784986086955E-3</v>
      </c>
      <c r="K273">
        <v>1.7182697116260868E-3</v>
      </c>
    </row>
    <row r="274" spans="3:11" x14ac:dyDescent="0.25">
      <c r="C274" s="171" t="s">
        <v>498</v>
      </c>
      <c r="D274" s="171" t="s">
        <v>1108</v>
      </c>
      <c r="E274" s="171" t="s">
        <v>1109</v>
      </c>
      <c r="F274" s="171" t="s">
        <v>1110</v>
      </c>
      <c r="G274" s="174" t="s">
        <v>1111</v>
      </c>
      <c r="H274" s="174">
        <v>1.8036763803498871E-4</v>
      </c>
      <c r="I274" s="176">
        <v>1.6732982831082531E-4</v>
      </c>
      <c r="J274" s="176">
        <v>1.4913770196499998E-3</v>
      </c>
      <c r="K274">
        <v>1.4270588732499998E-3</v>
      </c>
    </row>
    <row r="275" spans="3:11" x14ac:dyDescent="0.25">
      <c r="C275" s="171" t="s">
        <v>498</v>
      </c>
      <c r="D275" s="171" t="s">
        <v>1108</v>
      </c>
      <c r="E275" s="171" t="s">
        <v>1112</v>
      </c>
      <c r="F275" s="171" t="s">
        <v>1113</v>
      </c>
      <c r="G275" s="174" t="s">
        <v>1111</v>
      </c>
      <c r="H275" s="174">
        <v>1.7760932937007702E-3</v>
      </c>
      <c r="I275" s="176">
        <v>2.2720119549370053E-3</v>
      </c>
      <c r="J275" s="176">
        <v>1.4645395325172702E-2</v>
      </c>
      <c r="K275">
        <v>1.9328840843374488E-2</v>
      </c>
    </row>
    <row r="276" spans="3:11" x14ac:dyDescent="0.25">
      <c r="C276" s="171" t="s">
        <v>498</v>
      </c>
      <c r="D276" s="171" t="s">
        <v>1108</v>
      </c>
      <c r="E276" s="171" t="s">
        <v>1114</v>
      </c>
      <c r="F276" s="171" t="s">
        <v>1115</v>
      </c>
      <c r="G276" s="174" t="s">
        <v>1111</v>
      </c>
      <c r="H276" s="174">
        <v>5.5421300617075333E-3</v>
      </c>
      <c r="I276" s="176">
        <v>7.089707096939124E-3</v>
      </c>
      <c r="J276" s="176">
        <v>4.57000829166474E-2</v>
      </c>
      <c r="K276">
        <v>6.0316298341455549E-2</v>
      </c>
    </row>
    <row r="277" spans="3:11" x14ac:dyDescent="0.25">
      <c r="C277" s="171" t="s">
        <v>498</v>
      </c>
      <c r="D277" s="171" t="s">
        <v>1108</v>
      </c>
      <c r="E277" s="171" t="s">
        <v>1109</v>
      </c>
      <c r="F277" s="171" t="s">
        <v>1110</v>
      </c>
      <c r="G277" s="174" t="s">
        <v>1111</v>
      </c>
      <c r="H277" s="174">
        <v>3.873826393492083E-3</v>
      </c>
      <c r="I277" s="176">
        <v>3.5970055425808473E-3</v>
      </c>
      <c r="J277" s="176">
        <v>3.1938691549849837E-2</v>
      </c>
      <c r="K277">
        <v>3.0597411773578394E-2</v>
      </c>
    </row>
    <row r="278" spans="3:11" x14ac:dyDescent="0.25">
      <c r="C278" s="171" t="s">
        <v>498</v>
      </c>
      <c r="D278" s="171" t="s">
        <v>1116</v>
      </c>
      <c r="E278" s="171" t="s">
        <v>1117</v>
      </c>
      <c r="F278" s="171" t="s">
        <v>1118</v>
      </c>
      <c r="G278" s="174" t="s">
        <v>1119</v>
      </c>
      <c r="H278" s="174">
        <v>7.2579220638757987E-3</v>
      </c>
      <c r="I278" s="176">
        <v>7.7375212370195713E-3</v>
      </c>
      <c r="J278" s="176">
        <v>5.98489507070799E-2</v>
      </c>
      <c r="K278">
        <v>6.5828125581077632E-2</v>
      </c>
    </row>
    <row r="279" spans="3:11" x14ac:dyDescent="0.25">
      <c r="C279" s="171" t="s">
        <v>498</v>
      </c>
      <c r="D279" s="171" t="s">
        <v>1116</v>
      </c>
      <c r="E279" s="171" t="s">
        <v>1120</v>
      </c>
      <c r="F279" s="171" t="s">
        <v>1121</v>
      </c>
      <c r="G279" s="174" t="s">
        <v>1119</v>
      </c>
      <c r="H279" s="174">
        <v>4.0299998664834824E-3</v>
      </c>
      <c r="I279" s="176">
        <v>4.3822807580312529E-3</v>
      </c>
      <c r="J279" s="176">
        <v>3.3231548000161031E-2</v>
      </c>
      <c r="K279">
        <v>3.728186509982051E-2</v>
      </c>
    </row>
    <row r="280" spans="3:11" x14ac:dyDescent="0.25">
      <c r="C280" s="171" t="s">
        <v>498</v>
      </c>
      <c r="D280" s="171" t="s">
        <v>1122</v>
      </c>
      <c r="E280" s="171" t="s">
        <v>1123</v>
      </c>
      <c r="F280" s="171" t="s">
        <v>1124</v>
      </c>
      <c r="G280" s="174" t="s">
        <v>1125</v>
      </c>
      <c r="H280" s="174">
        <v>1.1681117398916454E-4</v>
      </c>
      <c r="I280" s="176">
        <v>0</v>
      </c>
      <c r="J280" s="176">
        <v>9.65857858004348E-4</v>
      </c>
      <c r="K280">
        <v>0</v>
      </c>
    </row>
    <row r="281" spans="3:11" x14ac:dyDescent="0.25">
      <c r="C281" s="171" t="s">
        <v>498</v>
      </c>
      <c r="D281" s="171" t="s">
        <v>1122</v>
      </c>
      <c r="E281" s="171" t="s">
        <v>1123</v>
      </c>
      <c r="F281" s="171" t="s">
        <v>1124</v>
      </c>
      <c r="G281" s="174" t="s">
        <v>1125</v>
      </c>
      <c r="H281" s="174">
        <v>2.5181291762344897E-3</v>
      </c>
      <c r="I281" s="176">
        <v>0</v>
      </c>
      <c r="J281" s="176">
        <v>2.0761207623939803E-2</v>
      </c>
      <c r="K281">
        <v>0</v>
      </c>
    </row>
    <row r="282" spans="3:11" x14ac:dyDescent="0.25">
      <c r="C282" s="171" t="s">
        <v>498</v>
      </c>
      <c r="D282" s="171" t="s">
        <v>1126</v>
      </c>
      <c r="E282" s="171" t="s">
        <v>1127</v>
      </c>
      <c r="F282" s="171" t="s">
        <v>1128</v>
      </c>
      <c r="G282" s="174" t="s">
        <v>691</v>
      </c>
      <c r="H282" s="174">
        <v>1.6307921575559835E-3</v>
      </c>
      <c r="I282" s="176">
        <v>0</v>
      </c>
      <c r="J282" s="176">
        <v>1.3445181968288223E-2</v>
      </c>
      <c r="K282">
        <v>0</v>
      </c>
    </row>
    <row r="283" spans="3:11" x14ac:dyDescent="0.25">
      <c r="C283" s="171" t="s">
        <v>498</v>
      </c>
      <c r="D283" s="171" t="s">
        <v>1126</v>
      </c>
      <c r="E283" s="171" t="s">
        <v>1129</v>
      </c>
      <c r="F283" s="171" t="s">
        <v>1130</v>
      </c>
      <c r="G283" s="174" t="s">
        <v>691</v>
      </c>
      <c r="H283" s="174">
        <v>6.5610000514769321E-3</v>
      </c>
      <c r="I283" s="176">
        <v>8.3935478853523898E-3</v>
      </c>
      <c r="J283" s="176">
        <v>5.4100745549077491E-2</v>
      </c>
      <c r="K283">
        <v>7.1406350902426502E-2</v>
      </c>
    </row>
    <row r="284" spans="3:11" x14ac:dyDescent="0.25">
      <c r="C284" s="171" t="s">
        <v>498</v>
      </c>
      <c r="D284" s="171" t="s">
        <v>1126</v>
      </c>
      <c r="E284" s="171" t="s">
        <v>1127</v>
      </c>
      <c r="F284" s="171" t="s">
        <v>1128</v>
      </c>
      <c r="G284" s="174" t="s">
        <v>691</v>
      </c>
      <c r="H284" s="174">
        <v>7.6111939695261115E-5</v>
      </c>
      <c r="I284" s="176">
        <v>0</v>
      </c>
      <c r="J284" s="176">
        <v>6.2933461356565212E-4</v>
      </c>
      <c r="K284">
        <v>0</v>
      </c>
    </row>
    <row r="285" spans="3:11" x14ac:dyDescent="0.25">
      <c r="C285" s="171" t="s">
        <v>498</v>
      </c>
      <c r="D285" s="171" t="s">
        <v>1131</v>
      </c>
      <c r="E285" s="171" t="s">
        <v>1132</v>
      </c>
      <c r="F285" s="171" t="s">
        <v>1133</v>
      </c>
      <c r="G285" s="174" t="s">
        <v>1134</v>
      </c>
      <c r="H285" s="174">
        <v>2.5374316924879365E-4</v>
      </c>
      <c r="I285" s="176">
        <v>2.4742764836783592E-4</v>
      </c>
      <c r="J285" s="176">
        <v>2.0980855303843475E-3</v>
      </c>
      <c r="K285">
        <v>2.1101666370852176E-3</v>
      </c>
    </row>
    <row r="286" spans="3:11" x14ac:dyDescent="0.25">
      <c r="C286" s="171" t="s">
        <v>498</v>
      </c>
      <c r="D286" s="171" t="s">
        <v>1131</v>
      </c>
      <c r="E286" s="171" t="s">
        <v>1135</v>
      </c>
      <c r="F286" s="171" t="s">
        <v>1136</v>
      </c>
      <c r="G286" s="174" t="s">
        <v>1134</v>
      </c>
      <c r="H286" s="174">
        <v>1.1472915264699899E-2</v>
      </c>
      <c r="I286" s="176">
        <v>1.4677203638418729E-2</v>
      </c>
      <c r="J286" s="176">
        <v>9.4605030206992305E-2</v>
      </c>
      <c r="K286">
        <v>0.12486723859605788</v>
      </c>
    </row>
    <row r="287" spans="3:11" x14ac:dyDescent="0.25">
      <c r="C287" s="171" t="s">
        <v>498</v>
      </c>
      <c r="D287" s="171" t="s">
        <v>1131</v>
      </c>
      <c r="E287" s="171" t="s">
        <v>1132</v>
      </c>
      <c r="F287" s="171" t="s">
        <v>1133</v>
      </c>
      <c r="G287" s="174" t="s">
        <v>1134</v>
      </c>
      <c r="H287" s="174">
        <v>5.420163835392555E-3</v>
      </c>
      <c r="I287" s="176">
        <v>5.2918445230335388E-3</v>
      </c>
      <c r="J287" s="176">
        <v>4.4688016638244329E-2</v>
      </c>
      <c r="K287">
        <v>4.501441647119362E-2</v>
      </c>
    </row>
    <row r="288" spans="3:11" x14ac:dyDescent="0.25">
      <c r="C288" s="171" t="s">
        <v>498</v>
      </c>
      <c r="D288" s="171" t="s">
        <v>1137</v>
      </c>
      <c r="E288" s="171" t="s">
        <v>821</v>
      </c>
      <c r="F288" s="171" t="s">
        <v>822</v>
      </c>
      <c r="G288" s="174" t="s">
        <v>818</v>
      </c>
      <c r="H288" s="174">
        <v>2.9622063037687064E-4</v>
      </c>
      <c r="I288" s="176">
        <v>3.7855356319977019E-4</v>
      </c>
      <c r="J288" s="176">
        <v>2.4493121144304351E-3</v>
      </c>
      <c r="K288">
        <v>3.2284633697295647E-3</v>
      </c>
    </row>
    <row r="289" spans="3:11" x14ac:dyDescent="0.25">
      <c r="C289" s="171" t="s">
        <v>498</v>
      </c>
      <c r="D289" s="171" t="s">
        <v>1137</v>
      </c>
      <c r="E289" s="171" t="s">
        <v>823</v>
      </c>
      <c r="F289" s="171" t="s">
        <v>824</v>
      </c>
      <c r="G289" s="174" t="s">
        <v>818</v>
      </c>
      <c r="H289" s="174">
        <v>1.3781037463878504E-4</v>
      </c>
      <c r="I289" s="176">
        <v>1.7599418024544935E-4</v>
      </c>
      <c r="J289" s="176">
        <v>1.1394905873623063E-3</v>
      </c>
      <c r="K289">
        <v>1.5009520961982608E-3</v>
      </c>
    </row>
    <row r="290" spans="3:11" x14ac:dyDescent="0.25">
      <c r="C290" s="171" t="s">
        <v>498</v>
      </c>
      <c r="D290" s="171" t="s">
        <v>1137</v>
      </c>
      <c r="E290" s="171" t="s">
        <v>819</v>
      </c>
      <c r="F290" s="171" t="s">
        <v>820</v>
      </c>
      <c r="G290" s="174" t="s">
        <v>818</v>
      </c>
      <c r="H290" s="174">
        <v>2.4472592042263248E-4</v>
      </c>
      <c r="I290" s="176">
        <v>0</v>
      </c>
      <c r="J290" s="176">
        <v>2.0235260482826087E-3</v>
      </c>
      <c r="K290">
        <v>0</v>
      </c>
    </row>
    <row r="291" spans="3:11" x14ac:dyDescent="0.25">
      <c r="C291" s="171" t="s">
        <v>498</v>
      </c>
      <c r="D291" s="171" t="s">
        <v>1138</v>
      </c>
      <c r="E291" s="171" t="s">
        <v>1139</v>
      </c>
      <c r="F291" s="171" t="s">
        <v>1140</v>
      </c>
      <c r="G291" s="174" t="s">
        <v>1141</v>
      </c>
      <c r="H291" s="174">
        <v>5.5083464610326356E-3</v>
      </c>
      <c r="I291" s="176">
        <v>7.0466187533655689E-3</v>
      </c>
      <c r="J291" s="176">
        <v>4.5421518903604866E-2</v>
      </c>
      <c r="K291">
        <v>5.9949809089777054E-2</v>
      </c>
    </row>
    <row r="292" spans="3:11" x14ac:dyDescent="0.25">
      <c r="C292" s="171" t="s">
        <v>498</v>
      </c>
      <c r="D292" s="171" t="s">
        <v>1142</v>
      </c>
      <c r="E292" s="171" t="s">
        <v>1143</v>
      </c>
      <c r="F292" s="171" t="s">
        <v>1144</v>
      </c>
      <c r="G292" s="174" t="s">
        <v>1145</v>
      </c>
      <c r="H292" s="174">
        <v>4.4343638742258855E-3</v>
      </c>
      <c r="I292" s="176">
        <v>5.6727129584046056E-3</v>
      </c>
      <c r="J292" s="176">
        <v>3.6564158989007285E-2</v>
      </c>
      <c r="K292">
        <v>4.8258432240275491E-2</v>
      </c>
    </row>
    <row r="293" spans="3:11" x14ac:dyDescent="0.25">
      <c r="C293" s="171" t="s">
        <v>498</v>
      </c>
      <c r="D293" s="171" t="s">
        <v>1146</v>
      </c>
      <c r="E293" s="171" t="s">
        <v>1147</v>
      </c>
      <c r="F293" s="171" t="s">
        <v>1148</v>
      </c>
      <c r="G293" s="174" t="s">
        <v>1149</v>
      </c>
      <c r="H293" s="174">
        <v>1.3344758768598523E-2</v>
      </c>
      <c r="I293" s="176">
        <v>1.6037144170443961E-2</v>
      </c>
      <c r="J293" s="176">
        <v>0.11003952958086273</v>
      </c>
      <c r="K293">
        <v>0.13643556383026256</v>
      </c>
    </row>
    <row r="294" spans="3:11" x14ac:dyDescent="0.25">
      <c r="C294" s="171" t="s">
        <v>498</v>
      </c>
      <c r="D294" s="171" t="s">
        <v>1150</v>
      </c>
      <c r="E294" s="171" t="s">
        <v>1151</v>
      </c>
      <c r="F294" s="171" t="s">
        <v>1152</v>
      </c>
      <c r="G294" s="174" t="s">
        <v>1153</v>
      </c>
      <c r="H294" s="174">
        <v>5.7635061142590495E-5</v>
      </c>
      <c r="I294" s="176">
        <v>7.3727455834113844E-5</v>
      </c>
      <c r="J294" s="176">
        <v>4.7523037709258718E-4</v>
      </c>
      <c r="K294">
        <v>6.2719324714319128E-4</v>
      </c>
    </row>
    <row r="295" spans="3:11" x14ac:dyDescent="0.25">
      <c r="C295" s="171" t="s">
        <v>498</v>
      </c>
      <c r="D295" s="171" t="s">
        <v>1154</v>
      </c>
      <c r="E295" s="171" t="s">
        <v>1155</v>
      </c>
      <c r="F295" s="171" t="s">
        <v>1156</v>
      </c>
      <c r="G295" s="174" t="s">
        <v>1157</v>
      </c>
      <c r="H295" s="174">
        <v>2.3614039001372232E-2</v>
      </c>
      <c r="I295" s="176">
        <v>2.6462142205522291E-2</v>
      </c>
      <c r="J295" s="176">
        <v>0.19472120055667269</v>
      </c>
      <c r="K295">
        <v>0.22512914572144579</v>
      </c>
    </row>
    <row r="296" spans="3:11" x14ac:dyDescent="0.25">
      <c r="C296" s="171" t="s">
        <v>498</v>
      </c>
      <c r="D296" s="171" t="s">
        <v>1158</v>
      </c>
      <c r="E296" s="171" t="s">
        <v>1159</v>
      </c>
      <c r="F296" s="171" t="s">
        <v>1160</v>
      </c>
      <c r="G296" s="174" t="s">
        <v>1161</v>
      </c>
      <c r="H296" s="174">
        <v>1.1541110060039924E-3</v>
      </c>
      <c r="I296" s="176">
        <v>1.4764805027634787E-3</v>
      </c>
      <c r="J296" s="176">
        <v>9.5152849386185481E-3</v>
      </c>
      <c r="K296">
        <v>1.2559264177174019E-2</v>
      </c>
    </row>
    <row r="297" spans="3:11" x14ac:dyDescent="0.25">
      <c r="C297" s="171" t="s">
        <v>498</v>
      </c>
      <c r="D297" s="171" t="s">
        <v>1158</v>
      </c>
      <c r="E297" s="171" t="s">
        <v>1159</v>
      </c>
      <c r="F297" s="171" t="s">
        <v>1160</v>
      </c>
      <c r="G297" s="174" t="s">
        <v>1161</v>
      </c>
      <c r="H297" s="174">
        <v>5.232756042611961E-5</v>
      </c>
      <c r="I297" s="176">
        <v>6.6945877604084419E-5</v>
      </c>
      <c r="J297" s="176">
        <v>4.3267252354173914E-4</v>
      </c>
      <c r="K297">
        <v>5.7094248901608702E-4</v>
      </c>
    </row>
    <row r="298" spans="3:11" x14ac:dyDescent="0.25">
      <c r="C298" s="171" t="s">
        <v>498</v>
      </c>
      <c r="D298" s="171" t="s">
        <v>1162</v>
      </c>
      <c r="E298" s="171" t="s">
        <v>1163</v>
      </c>
      <c r="F298" s="171" t="s">
        <v>1164</v>
      </c>
      <c r="G298" s="174" t="s">
        <v>1165</v>
      </c>
      <c r="H298" s="174">
        <v>3.6933864933543588E-4</v>
      </c>
      <c r="I298" s="176">
        <v>3.5436020791666648E-4</v>
      </c>
      <c r="J298" s="176">
        <v>3.0538913747963315E-3</v>
      </c>
      <c r="K298">
        <v>3.0221323008521738E-3</v>
      </c>
    </row>
    <row r="299" spans="3:11" x14ac:dyDescent="0.25">
      <c r="C299" s="171" t="s">
        <v>498</v>
      </c>
      <c r="D299" s="171" t="s">
        <v>1162</v>
      </c>
      <c r="E299" s="171" t="s">
        <v>1166</v>
      </c>
      <c r="F299" s="171" t="s">
        <v>1167</v>
      </c>
      <c r="G299" s="174" t="s">
        <v>1165</v>
      </c>
      <c r="H299" s="174">
        <v>3.9869448921648702E-5</v>
      </c>
      <c r="I299" s="176">
        <v>5.0985395082381761E-5</v>
      </c>
      <c r="J299" s="176">
        <v>3.2966213094347827E-4</v>
      </c>
      <c r="K299">
        <v>4.3482480794347823E-4</v>
      </c>
    </row>
    <row r="300" spans="3:11" x14ac:dyDescent="0.25">
      <c r="C300" s="171" t="s">
        <v>498</v>
      </c>
      <c r="D300" s="171" t="s">
        <v>1162</v>
      </c>
      <c r="E300" s="171" t="s">
        <v>1168</v>
      </c>
      <c r="F300" s="171" t="s">
        <v>1169</v>
      </c>
      <c r="G300" s="174" t="s">
        <v>1165</v>
      </c>
      <c r="H300" s="174">
        <v>6.8684151926028669E-3</v>
      </c>
      <c r="I300" s="176">
        <v>7.3631048311664565E-3</v>
      </c>
      <c r="J300" s="176">
        <v>5.6637428971619455E-2</v>
      </c>
      <c r="K300">
        <v>6.264360846603588E-2</v>
      </c>
    </row>
    <row r="301" spans="3:11" x14ac:dyDescent="0.25">
      <c r="C301" s="171" t="s">
        <v>498</v>
      </c>
      <c r="D301" s="171" t="s">
        <v>1162</v>
      </c>
      <c r="E301" s="171" t="s">
        <v>1163</v>
      </c>
      <c r="F301" s="171" t="s">
        <v>1164</v>
      </c>
      <c r="G301" s="174" t="s">
        <v>1165</v>
      </c>
      <c r="H301" s="174">
        <v>8.4577934788195377E-3</v>
      </c>
      <c r="I301" s="176">
        <v>8.1152907240164638E-3</v>
      </c>
      <c r="J301" s="176">
        <v>6.9735979809364329E-2</v>
      </c>
      <c r="K301">
        <v>6.903640848420689E-2</v>
      </c>
    </row>
    <row r="302" spans="3:11" x14ac:dyDescent="0.25">
      <c r="C302" s="171" t="s">
        <v>498</v>
      </c>
      <c r="D302" s="171" t="s">
        <v>1162</v>
      </c>
      <c r="E302" s="171" t="s">
        <v>1166</v>
      </c>
      <c r="F302" s="171" t="s">
        <v>1167</v>
      </c>
      <c r="G302" s="174" t="s">
        <v>1165</v>
      </c>
      <c r="H302" s="174">
        <v>8.975004071364801E-4</v>
      </c>
      <c r="I302" s="176">
        <v>1.1482044103666136E-3</v>
      </c>
      <c r="J302" s="176">
        <v>7.3999948506499637E-3</v>
      </c>
      <c r="K302">
        <v>9.7676247429952269E-3</v>
      </c>
    </row>
    <row r="303" spans="3:11" x14ac:dyDescent="0.25">
      <c r="C303" s="171" t="s">
        <v>498</v>
      </c>
      <c r="D303" s="171" t="s">
        <v>1162</v>
      </c>
      <c r="E303" s="171" t="s">
        <v>1170</v>
      </c>
      <c r="F303" s="171" t="s">
        <v>1171</v>
      </c>
      <c r="G303" s="174" t="s">
        <v>1165</v>
      </c>
      <c r="H303" s="174">
        <v>6.6047001835426722E-3</v>
      </c>
      <c r="I303" s="176">
        <v>8.4490885513620693E-3</v>
      </c>
      <c r="J303" s="176">
        <v>5.4462984706352538E-2</v>
      </c>
      <c r="K303">
        <v>7.1883151180794719E-2</v>
      </c>
    </row>
    <row r="304" spans="3:11" x14ac:dyDescent="0.25">
      <c r="C304" s="171" t="s">
        <v>498</v>
      </c>
      <c r="D304" s="171" t="s">
        <v>1162</v>
      </c>
      <c r="E304" s="171" t="s">
        <v>1172</v>
      </c>
      <c r="F304" s="171" t="s">
        <v>1173</v>
      </c>
      <c r="G304" s="174" t="s">
        <v>1165</v>
      </c>
      <c r="H304" s="174">
        <v>1.2378519770435904E-2</v>
      </c>
      <c r="I304" s="176">
        <v>0</v>
      </c>
      <c r="J304" s="176">
        <v>0.10207277492790344</v>
      </c>
      <c r="K304">
        <v>0</v>
      </c>
    </row>
    <row r="305" spans="3:11" x14ac:dyDescent="0.25">
      <c r="C305" s="171" t="s">
        <v>498</v>
      </c>
      <c r="D305" s="171" t="s">
        <v>1174</v>
      </c>
      <c r="E305" s="171" t="s">
        <v>1175</v>
      </c>
      <c r="F305" s="171" t="s">
        <v>1176</v>
      </c>
      <c r="G305" s="174" t="s">
        <v>1177</v>
      </c>
      <c r="H305" s="174">
        <v>1.1186723604155015E-4</v>
      </c>
      <c r="I305" s="176">
        <v>2.5331858386704097E-4</v>
      </c>
      <c r="J305" s="176">
        <v>9.2240306305269514E-4</v>
      </c>
      <c r="K305">
        <v>2.1548245429916361E-3</v>
      </c>
    </row>
    <row r="306" spans="3:11" x14ac:dyDescent="0.25">
      <c r="C306" s="171" t="s">
        <v>498</v>
      </c>
      <c r="D306" s="171" t="s">
        <v>1178</v>
      </c>
      <c r="E306" s="171" t="s">
        <v>1179</v>
      </c>
      <c r="F306" s="171" t="s">
        <v>1180</v>
      </c>
      <c r="G306" s="174" t="s">
        <v>1181</v>
      </c>
      <c r="H306" s="174">
        <v>7.7164184039281002E-5</v>
      </c>
      <c r="I306" s="176">
        <v>9.8710423696353781E-5</v>
      </c>
      <c r="J306" s="176">
        <v>6.3628771892545012E-4</v>
      </c>
      <c r="K306">
        <v>8.3965064154082247E-4</v>
      </c>
    </row>
    <row r="307" spans="3:11" x14ac:dyDescent="0.25">
      <c r="C307" s="171" t="s">
        <v>498</v>
      </c>
      <c r="D307" s="171" t="s">
        <v>1182</v>
      </c>
      <c r="E307" s="171" t="s">
        <v>1183</v>
      </c>
      <c r="F307" s="171" t="s">
        <v>1184</v>
      </c>
      <c r="G307" s="174" t="s">
        <v>1185</v>
      </c>
      <c r="H307" s="174">
        <v>1.3246819670971183E-5</v>
      </c>
      <c r="I307" s="176">
        <v>1.6946019909888242E-5</v>
      </c>
      <c r="J307" s="176">
        <v>1.0922960602701565E-4</v>
      </c>
      <c r="K307">
        <v>1.4416621655282644E-4</v>
      </c>
    </row>
    <row r="308" spans="3:11" x14ac:dyDescent="0.25">
      <c r="C308" s="171" t="s">
        <v>498</v>
      </c>
      <c r="D308" s="171" t="s">
        <v>1186</v>
      </c>
      <c r="E308" s="171" t="s">
        <v>1187</v>
      </c>
      <c r="F308" s="171" t="s">
        <v>1188</v>
      </c>
      <c r="G308" s="174" t="s">
        <v>1189</v>
      </c>
      <c r="H308" s="174">
        <v>8.1566061253807737E-3</v>
      </c>
      <c r="I308" s="176">
        <v>1.0434726251612894E-2</v>
      </c>
      <c r="J308" s="176">
        <v>6.7260310161405212E-2</v>
      </c>
      <c r="K308">
        <v>8.8776908549406508E-2</v>
      </c>
    </row>
    <row r="309" spans="3:11" x14ac:dyDescent="0.25">
      <c r="C309" s="171" t="s">
        <v>498</v>
      </c>
      <c r="D309" s="171" t="s">
        <v>1186</v>
      </c>
      <c r="E309" s="171" t="s">
        <v>1190</v>
      </c>
      <c r="F309" s="171" t="s">
        <v>1191</v>
      </c>
      <c r="G309" s="174" t="s">
        <v>1189</v>
      </c>
      <c r="H309" s="174">
        <v>2.1185690206179019E-4</v>
      </c>
      <c r="I309" s="176">
        <v>2.7098154315550327E-4</v>
      </c>
      <c r="J309" s="176">
        <v>1.7469011480399752E-3</v>
      </c>
      <c r="K309">
        <v>2.3052874333341191E-3</v>
      </c>
    </row>
    <row r="310" spans="3:11" x14ac:dyDescent="0.25">
      <c r="C310" s="171" t="s">
        <v>498</v>
      </c>
      <c r="D310" s="171" t="s">
        <v>1186</v>
      </c>
      <c r="E310" s="171" t="s">
        <v>1192</v>
      </c>
      <c r="F310" s="171" t="s">
        <v>1193</v>
      </c>
      <c r="G310" s="174" t="s">
        <v>1189</v>
      </c>
      <c r="H310" s="174">
        <v>3.7184370945937575E-3</v>
      </c>
      <c r="I310" s="176">
        <v>4.7568460871929138E-3</v>
      </c>
      <c r="J310" s="176">
        <v>3.0662340489604367E-2</v>
      </c>
      <c r="K310">
        <v>4.0469839816486296E-2</v>
      </c>
    </row>
    <row r="311" spans="3:11" x14ac:dyDescent="0.25">
      <c r="C311" s="171" t="s">
        <v>498</v>
      </c>
      <c r="D311" s="171" t="s">
        <v>1186</v>
      </c>
      <c r="E311" s="171" t="s">
        <v>1194</v>
      </c>
      <c r="F311" s="171" t="s">
        <v>1195</v>
      </c>
      <c r="G311" s="174" t="s">
        <v>1189</v>
      </c>
      <c r="H311" s="174">
        <v>4.0997853225802541E-3</v>
      </c>
      <c r="I311" s="176">
        <v>0</v>
      </c>
      <c r="J311" s="176">
        <v>3.3806719072638637E-2</v>
      </c>
      <c r="K311">
        <v>0</v>
      </c>
    </row>
    <row r="312" spans="3:11" x14ac:dyDescent="0.25">
      <c r="C312" s="171" t="s">
        <v>498</v>
      </c>
      <c r="D312" s="171" t="s">
        <v>1186</v>
      </c>
      <c r="E312" s="171" t="s">
        <v>1196</v>
      </c>
      <c r="F312" s="171" t="s">
        <v>1197</v>
      </c>
      <c r="G312" s="174" t="s">
        <v>1189</v>
      </c>
      <c r="H312" s="174">
        <v>6.7267036752112755E-3</v>
      </c>
      <c r="I312" s="176">
        <v>8.605495962657625E-3</v>
      </c>
      <c r="J312" s="176">
        <v>5.5468973745789435E-2</v>
      </c>
      <c r="K312">
        <v>7.3213138288327928E-2</v>
      </c>
    </row>
    <row r="313" spans="3:11" x14ac:dyDescent="0.25">
      <c r="C313" s="171" t="s">
        <v>498</v>
      </c>
      <c r="D313" s="171" t="s">
        <v>1198</v>
      </c>
      <c r="E313" s="171" t="s">
        <v>1199</v>
      </c>
      <c r="F313" s="171" t="s">
        <v>1200</v>
      </c>
      <c r="G313" s="174" t="s">
        <v>1201</v>
      </c>
      <c r="H313" s="174">
        <v>9.0962214303035483E-4</v>
      </c>
      <c r="I313" s="176">
        <v>0</v>
      </c>
      <c r="J313" s="176">
        <v>7.5000450263066395E-3</v>
      </c>
      <c r="K313">
        <v>0</v>
      </c>
    </row>
    <row r="314" spans="3:11" x14ac:dyDescent="0.25">
      <c r="C314" s="171" t="s">
        <v>498</v>
      </c>
      <c r="D314" s="171" t="s">
        <v>1202</v>
      </c>
      <c r="E314" s="171" t="s">
        <v>1203</v>
      </c>
      <c r="F314" s="171" t="s">
        <v>1204</v>
      </c>
      <c r="G314" s="174" t="s">
        <v>1205</v>
      </c>
      <c r="H314" s="174">
        <v>3.1053868016699652E-4</v>
      </c>
      <c r="I314" s="176">
        <v>3.96721571174453E-4</v>
      </c>
      <c r="J314" s="176">
        <v>2.5677014810365222E-3</v>
      </c>
      <c r="K314">
        <v>3.3834077526365219E-3</v>
      </c>
    </row>
    <row r="315" spans="3:11" x14ac:dyDescent="0.25">
      <c r="C315" s="171" t="s">
        <v>498</v>
      </c>
      <c r="D315" s="171" t="s">
        <v>1202</v>
      </c>
      <c r="E315" s="171" t="s">
        <v>1206</v>
      </c>
      <c r="F315" s="171" t="s">
        <v>1207</v>
      </c>
      <c r="G315" s="174" t="s">
        <v>1205</v>
      </c>
      <c r="H315" s="174">
        <v>7.2571675241018143E-6</v>
      </c>
      <c r="I315" s="176">
        <v>9.2528564654929333E-6</v>
      </c>
      <c r="J315" s="176">
        <v>6.000617955143479E-5</v>
      </c>
      <c r="K315">
        <v>7.8912236122434789E-5</v>
      </c>
    </row>
    <row r="316" spans="3:11" x14ac:dyDescent="0.25">
      <c r="C316" s="171" t="s">
        <v>498</v>
      </c>
      <c r="D316" s="171" t="s">
        <v>1202</v>
      </c>
      <c r="E316" s="171" t="s">
        <v>1206</v>
      </c>
      <c r="F316" s="171" t="s">
        <v>1207</v>
      </c>
      <c r="G316" s="174" t="s">
        <v>1205</v>
      </c>
      <c r="H316" s="174">
        <v>1.4174403159013124E-4</v>
      </c>
      <c r="I316" s="176">
        <v>1.8133319137345598E-4</v>
      </c>
      <c r="J316" s="176">
        <v>1.1685487948150503E-3</v>
      </c>
      <c r="K316">
        <v>1.5422596215528511E-3</v>
      </c>
    </row>
    <row r="317" spans="3:11" x14ac:dyDescent="0.25">
      <c r="C317" s="171" t="s">
        <v>498</v>
      </c>
      <c r="D317" s="171" t="s">
        <v>1202</v>
      </c>
      <c r="E317" s="171" t="s">
        <v>1203</v>
      </c>
      <c r="F317" s="171" t="s">
        <v>1204</v>
      </c>
      <c r="G317" s="174" t="s">
        <v>1205</v>
      </c>
      <c r="H317" s="174">
        <v>6.6561523365331367E-3</v>
      </c>
      <c r="I317" s="176">
        <v>8.5153481671268235E-3</v>
      </c>
      <c r="J317" s="176">
        <v>5.4878072346207771E-2</v>
      </c>
      <c r="K317">
        <v>7.2434255429299613E-2</v>
      </c>
    </row>
    <row r="318" spans="3:11" x14ac:dyDescent="0.25">
      <c r="C318" s="171" t="s">
        <v>498</v>
      </c>
      <c r="D318" s="171" t="s">
        <v>1208</v>
      </c>
      <c r="E318" s="171" t="s">
        <v>1209</v>
      </c>
      <c r="F318" s="171" t="s">
        <v>1210</v>
      </c>
      <c r="G318" s="174" t="s">
        <v>1211</v>
      </c>
      <c r="H318" s="174">
        <v>2.5762480919054552E-2</v>
      </c>
      <c r="I318" s="176">
        <v>2.7831055620414904E-2</v>
      </c>
      <c r="J318" s="176">
        <v>0.21243637271721386</v>
      </c>
      <c r="K318">
        <v>0.23677511597476603</v>
      </c>
    </row>
    <row r="319" spans="3:11" x14ac:dyDescent="0.25">
      <c r="C319" s="171" t="s">
        <v>498</v>
      </c>
      <c r="D319" s="171" t="s">
        <v>1212</v>
      </c>
      <c r="E319" s="171" t="s">
        <v>1213</v>
      </c>
      <c r="F319" s="171" t="s">
        <v>1214</v>
      </c>
      <c r="G319" s="174" t="s">
        <v>1215</v>
      </c>
      <c r="H319" s="174">
        <v>2.3585256596540722E-2</v>
      </c>
      <c r="I319" s="176">
        <v>2.3948497775882236E-2</v>
      </c>
      <c r="J319" s="176">
        <v>0.19448365238027765</v>
      </c>
      <c r="K319">
        <v>0.20374476998949673</v>
      </c>
    </row>
    <row r="320" spans="3:11" x14ac:dyDescent="0.25">
      <c r="C320" s="171" t="s">
        <v>498</v>
      </c>
      <c r="D320" s="171" t="s">
        <v>1216</v>
      </c>
      <c r="E320" s="171" t="s">
        <v>1217</v>
      </c>
      <c r="F320" s="171" t="s">
        <v>1218</v>
      </c>
      <c r="G320" s="174" t="s">
        <v>1219</v>
      </c>
      <c r="H320" s="174">
        <v>2.2924314392514571E-2</v>
      </c>
      <c r="I320" s="176">
        <v>2.5358504776645512E-2</v>
      </c>
      <c r="J320" s="176">
        <v>0.18903539819786633</v>
      </c>
      <c r="K320">
        <v>0.21574203279411835</v>
      </c>
    </row>
    <row r="321" spans="3:11" x14ac:dyDescent="0.25">
      <c r="C321" s="171" t="s">
        <v>498</v>
      </c>
      <c r="D321" s="171" t="s">
        <v>1220</v>
      </c>
      <c r="E321" s="171" t="s">
        <v>1221</v>
      </c>
      <c r="F321" s="171" t="s">
        <v>1222</v>
      </c>
      <c r="G321" s="174" t="s">
        <v>1223</v>
      </c>
      <c r="H321" s="174">
        <v>0</v>
      </c>
      <c r="I321" s="176">
        <v>1.3706121367359133E-4</v>
      </c>
      <c r="J321" s="176">
        <v>0</v>
      </c>
      <c r="K321">
        <v>1.1660106314859459E-3</v>
      </c>
    </row>
    <row r="322" spans="3:11" x14ac:dyDescent="0.25">
      <c r="C322" s="171" t="s">
        <v>498</v>
      </c>
      <c r="D322" s="171" t="s">
        <v>1220</v>
      </c>
      <c r="E322" s="171" t="s">
        <v>1224</v>
      </c>
      <c r="F322" s="171" t="s">
        <v>1225</v>
      </c>
      <c r="G322" s="174" t="s">
        <v>1223</v>
      </c>
      <c r="H322" s="174">
        <v>9.5856075488413798E-3</v>
      </c>
      <c r="I322" s="176">
        <v>1.2263272355442081E-2</v>
      </c>
      <c r="J322" s="176">
        <v>7.9041924037434541E-2</v>
      </c>
      <c r="K322">
        <v>0.10432977658926799</v>
      </c>
    </row>
    <row r="323" spans="3:11" x14ac:dyDescent="0.25">
      <c r="C323" s="171" t="s">
        <v>498</v>
      </c>
      <c r="D323" s="171" t="s">
        <v>1226</v>
      </c>
      <c r="E323" s="171" t="s">
        <v>1227</v>
      </c>
      <c r="F323" s="171" t="s">
        <v>1228</v>
      </c>
      <c r="G323" s="174" t="s">
        <v>1229</v>
      </c>
      <c r="H323" s="174">
        <v>1.223708508856022E-2</v>
      </c>
      <c r="I323" s="176">
        <v>1.5654851289344535E-2</v>
      </c>
      <c r="J323" s="176">
        <v>0.1009053987370557</v>
      </c>
      <c r="K323">
        <v>0.13318310920454055</v>
      </c>
    </row>
    <row r="324" spans="3:11" x14ac:dyDescent="0.25">
      <c r="C324" s="171" t="s">
        <v>498</v>
      </c>
      <c r="D324" s="171" t="s">
        <v>1230</v>
      </c>
      <c r="E324" s="171" t="s">
        <v>1231</v>
      </c>
      <c r="F324" s="171" t="s">
        <v>1232</v>
      </c>
      <c r="G324" s="174" t="s">
        <v>1233</v>
      </c>
      <c r="H324" s="174">
        <v>1.8369259357012845E-2</v>
      </c>
      <c r="I324" s="176">
        <v>1.6644816236528536E-2</v>
      </c>
      <c r="J324" s="176">
        <v>0.15147092886335023</v>
      </c>
      <c r="K324">
        <v>0.14160590050374297</v>
      </c>
    </row>
    <row r="325" spans="3:11" x14ac:dyDescent="0.25">
      <c r="C325" s="171" t="s">
        <v>498</v>
      </c>
      <c r="D325" s="171" t="s">
        <v>1230</v>
      </c>
      <c r="E325" s="171" t="s">
        <v>1234</v>
      </c>
      <c r="F325" s="171" t="s">
        <v>1235</v>
      </c>
      <c r="G325" s="174" t="s">
        <v>1233</v>
      </c>
      <c r="H325" s="174">
        <v>5.0480105501654804E-3</v>
      </c>
      <c r="I325" s="176">
        <v>0</v>
      </c>
      <c r="J325" s="176">
        <v>4.1625375622563091E-2</v>
      </c>
      <c r="K325">
        <v>0</v>
      </c>
    </row>
    <row r="326" spans="3:11" x14ac:dyDescent="0.25">
      <c r="C326" s="171" t="s">
        <v>498</v>
      </c>
      <c r="D326" s="171" t="s">
        <v>1230</v>
      </c>
      <c r="E326" s="171" t="s">
        <v>1234</v>
      </c>
      <c r="F326" s="171" t="s">
        <v>1236</v>
      </c>
      <c r="G326" s="174" t="s">
        <v>1233</v>
      </c>
      <c r="H326" s="174">
        <v>0</v>
      </c>
      <c r="I326" s="176">
        <v>1.2789349986158177E-3</v>
      </c>
      <c r="J326" s="176">
        <v>0</v>
      </c>
      <c r="K326">
        <v>1.0880281092062166E-2</v>
      </c>
    </row>
    <row r="327" spans="3:11" x14ac:dyDescent="0.25">
      <c r="C327" s="171" t="s">
        <v>498</v>
      </c>
      <c r="D327" s="171" t="s">
        <v>1230</v>
      </c>
      <c r="E327" s="171" t="s">
        <v>1234</v>
      </c>
      <c r="F327" s="171" t="s">
        <v>1237</v>
      </c>
      <c r="G327" s="174" t="s">
        <v>1233</v>
      </c>
      <c r="H327" s="174">
        <v>0</v>
      </c>
      <c r="I327" s="176">
        <v>4.419568123841042E-3</v>
      </c>
      <c r="J327" s="176">
        <v>0</v>
      </c>
      <c r="K327">
        <v>3.7598362695363319E-2</v>
      </c>
    </row>
    <row r="328" spans="3:11" x14ac:dyDescent="0.25">
      <c r="C328" s="171" t="s">
        <v>498</v>
      </c>
      <c r="D328" s="171" t="s">
        <v>1238</v>
      </c>
      <c r="E328" s="171" t="s">
        <v>1239</v>
      </c>
      <c r="F328" s="171" t="s">
        <v>1240</v>
      </c>
      <c r="G328" s="174" t="s">
        <v>1241</v>
      </c>
      <c r="H328" s="174">
        <v>4.8425745576890977E-6</v>
      </c>
      <c r="I328" s="176">
        <v>6.1950569981888886E-6</v>
      </c>
      <c r="J328" s="176">
        <v>3.9871968754935536E-5</v>
      </c>
      <c r="K328">
        <v>5.2585605827614311E-5</v>
      </c>
    </row>
    <row r="329" spans="3:11" x14ac:dyDescent="0.25">
      <c r="C329" s="171" t="s">
        <v>498</v>
      </c>
      <c r="D329" s="171" t="s">
        <v>1238</v>
      </c>
      <c r="E329" s="171" t="s">
        <v>1242</v>
      </c>
      <c r="F329" s="171" t="s">
        <v>1243</v>
      </c>
      <c r="G329" s="174" t="s">
        <v>1241</v>
      </c>
      <c r="H329" s="174">
        <v>7.7390483701441108E-4</v>
      </c>
      <c r="I329" s="176">
        <v>9.901932580136765E-4</v>
      </c>
      <c r="J329" s="176">
        <v>6.3816367268231386E-3</v>
      </c>
      <c r="K329">
        <v>8.423837009259855E-3</v>
      </c>
    </row>
    <row r="330" spans="3:11" x14ac:dyDescent="0.25">
      <c r="C330" s="171" t="s">
        <v>498</v>
      </c>
      <c r="D330" s="171" t="s">
        <v>1244</v>
      </c>
      <c r="E330" s="171" t="s">
        <v>1245</v>
      </c>
      <c r="F330" s="171" t="s">
        <v>1246</v>
      </c>
      <c r="G330" s="174" t="s">
        <v>1247</v>
      </c>
      <c r="H330" s="174">
        <v>2.6208697112052718E-3</v>
      </c>
      <c r="I330" s="176">
        <v>2.8655523118581373E-3</v>
      </c>
      <c r="J330" s="176">
        <v>2.1611624648842732E-2</v>
      </c>
      <c r="K330">
        <v>2.4378325726548605E-2</v>
      </c>
    </row>
    <row r="331" spans="3:11" x14ac:dyDescent="0.25">
      <c r="C331" s="171" t="s">
        <v>498</v>
      </c>
      <c r="D331" s="171" t="s">
        <v>1244</v>
      </c>
      <c r="E331" s="171" t="s">
        <v>1248</v>
      </c>
      <c r="F331" s="171" t="s">
        <v>1249</v>
      </c>
      <c r="G331" s="174" t="s">
        <v>1247</v>
      </c>
      <c r="H331" s="174">
        <v>1.0976201568869757E-3</v>
      </c>
      <c r="I331" s="176">
        <v>0</v>
      </c>
      <c r="J331" s="176">
        <v>9.0506518117920692E-3</v>
      </c>
      <c r="K331">
        <v>0</v>
      </c>
    </row>
    <row r="332" spans="3:11" x14ac:dyDescent="0.25">
      <c r="C332" s="171" t="s">
        <v>498</v>
      </c>
      <c r="D332" s="171" t="s">
        <v>1244</v>
      </c>
      <c r="E332" s="171" t="s">
        <v>1250</v>
      </c>
      <c r="F332" s="171" t="s">
        <v>1251</v>
      </c>
      <c r="G332" s="174" t="s">
        <v>1247</v>
      </c>
      <c r="H332" s="174">
        <v>7.4725615268718586E-3</v>
      </c>
      <c r="I332" s="176">
        <v>9.5593702495797347E-3</v>
      </c>
      <c r="J332" s="176">
        <v>6.1617721499179767E-2</v>
      </c>
      <c r="K332">
        <v>8.1325642449214239E-2</v>
      </c>
    </row>
    <row r="333" spans="3:11" x14ac:dyDescent="0.25">
      <c r="C333" s="171" t="s">
        <v>498</v>
      </c>
      <c r="D333" s="171" t="s">
        <v>1252</v>
      </c>
      <c r="E333" s="171" t="s">
        <v>1253</v>
      </c>
      <c r="F333" s="171" t="s">
        <v>1254</v>
      </c>
      <c r="G333" s="174" t="s">
        <v>1255</v>
      </c>
      <c r="H333" s="174">
        <v>4.5896589778827651E-3</v>
      </c>
      <c r="I333" s="176">
        <v>5.8717076877249528E-3</v>
      </c>
      <c r="J333" s="176">
        <v>3.7842033141373473E-2</v>
      </c>
      <c r="K333">
        <v>4.9949630867608695E-2</v>
      </c>
    </row>
    <row r="334" spans="3:11" x14ac:dyDescent="0.25">
      <c r="C334" s="171" t="s">
        <v>498</v>
      </c>
      <c r="D334" s="171" t="s">
        <v>1252</v>
      </c>
      <c r="E334" s="171" t="s">
        <v>1256</v>
      </c>
      <c r="F334" s="171" t="s">
        <v>1257</v>
      </c>
      <c r="G334" s="174" t="s">
        <v>1255</v>
      </c>
      <c r="H334" s="174">
        <v>3.196511889769322E-3</v>
      </c>
      <c r="I334" s="176">
        <v>4.089399914092409E-3</v>
      </c>
      <c r="J334" s="176">
        <v>2.6355494804028167E-2</v>
      </c>
      <c r="K334">
        <v>3.4787897976493135E-2</v>
      </c>
    </row>
    <row r="335" spans="3:11" x14ac:dyDescent="0.25">
      <c r="C335" s="171" t="s">
        <v>498</v>
      </c>
      <c r="D335" s="171" t="s">
        <v>1252</v>
      </c>
      <c r="E335" s="171" t="s">
        <v>1253</v>
      </c>
      <c r="F335" s="171" t="s">
        <v>1254</v>
      </c>
      <c r="G335" s="174" t="s">
        <v>1255</v>
      </c>
      <c r="H335" s="174">
        <v>2.0780444591513432E-4</v>
      </c>
      <c r="I335" s="176">
        <v>2.6579196951815416E-4</v>
      </c>
      <c r="J335" s="176">
        <v>1.7182393615356522E-3</v>
      </c>
      <c r="K335">
        <v>2.2667852609930435E-3</v>
      </c>
    </row>
    <row r="336" spans="3:11" x14ac:dyDescent="0.25">
      <c r="C336" s="171" t="s">
        <v>498</v>
      </c>
      <c r="D336" s="171" t="s">
        <v>1252</v>
      </c>
      <c r="E336" s="171" t="s">
        <v>1256</v>
      </c>
      <c r="F336" s="171" t="s">
        <v>1257</v>
      </c>
      <c r="G336" s="174" t="s">
        <v>1255</v>
      </c>
      <c r="H336" s="174">
        <v>1.4272994230507614E-4</v>
      </c>
      <c r="I336" s="176">
        <v>1.8242975751645406E-4</v>
      </c>
      <c r="J336" s="176">
        <v>1.1801682291169566E-3</v>
      </c>
      <c r="K336">
        <v>1.555837395142174E-3</v>
      </c>
    </row>
    <row r="337" spans="3:11" x14ac:dyDescent="0.25">
      <c r="C337" s="171" t="s">
        <v>498</v>
      </c>
      <c r="D337" s="171" t="s">
        <v>1258</v>
      </c>
      <c r="E337" s="171" t="s">
        <v>1259</v>
      </c>
      <c r="F337" s="171" t="s">
        <v>1260</v>
      </c>
      <c r="G337" s="174" t="s">
        <v>1261</v>
      </c>
      <c r="H337" s="174">
        <v>3.8881420170016224E-4</v>
      </c>
      <c r="I337" s="176">
        <v>3.9756056361174059E-4</v>
      </c>
      <c r="J337" s="176">
        <v>3.2149257574504348E-3</v>
      </c>
      <c r="K337">
        <v>3.3905630316104353E-3</v>
      </c>
    </row>
    <row r="338" spans="3:11" x14ac:dyDescent="0.25">
      <c r="C338" s="171" t="s">
        <v>498</v>
      </c>
      <c r="D338" s="171" t="s">
        <v>1258</v>
      </c>
      <c r="E338" s="171" t="s">
        <v>1262</v>
      </c>
      <c r="F338" s="171" t="s">
        <v>1263</v>
      </c>
      <c r="G338" s="174" t="s">
        <v>1261</v>
      </c>
      <c r="H338" s="174">
        <v>2.5262693767978824E-4</v>
      </c>
      <c r="I338" s="176">
        <v>3.2290621165174304E-4</v>
      </c>
      <c r="J338" s="176">
        <v>2.0888559250695649E-3</v>
      </c>
      <c r="K338">
        <v>2.7538794440713039E-3</v>
      </c>
    </row>
    <row r="339" spans="3:11" x14ac:dyDescent="0.25">
      <c r="C339" s="171" t="s">
        <v>498</v>
      </c>
      <c r="D339" s="171" t="s">
        <v>1258</v>
      </c>
      <c r="E339" s="171" t="s">
        <v>1259</v>
      </c>
      <c r="F339" s="171" t="s">
        <v>1260</v>
      </c>
      <c r="G339" s="174" t="s">
        <v>1261</v>
      </c>
      <c r="H339" s="174">
        <v>8.2217408522612702E-3</v>
      </c>
      <c r="I339" s="176">
        <v>8.4152249522922145E-3</v>
      </c>
      <c r="J339" s="176">
        <v>6.7784879378998839E-2</v>
      </c>
      <c r="K339">
        <v>7.1581166553882233E-2</v>
      </c>
    </row>
    <row r="340" spans="3:11" x14ac:dyDescent="0.25">
      <c r="C340" s="171" t="s">
        <v>498</v>
      </c>
      <c r="D340" s="171" t="s">
        <v>1258</v>
      </c>
      <c r="E340" s="171" t="s">
        <v>1262</v>
      </c>
      <c r="F340" s="171" t="s">
        <v>1263</v>
      </c>
      <c r="G340" s="174" t="s">
        <v>1261</v>
      </c>
      <c r="H340" s="174">
        <v>5.5650823749652358E-3</v>
      </c>
      <c r="I340" s="176">
        <v>7.1195767187807665E-3</v>
      </c>
      <c r="J340" s="176">
        <v>4.5883476117453588E-2</v>
      </c>
      <c r="K340">
        <v>6.056329243366948E-2</v>
      </c>
    </row>
    <row r="341" spans="3:11" x14ac:dyDescent="0.25">
      <c r="C341" s="171" t="s">
        <v>498</v>
      </c>
      <c r="D341" s="171" t="s">
        <v>1264</v>
      </c>
      <c r="E341" s="171" t="s">
        <v>1265</v>
      </c>
      <c r="F341" s="171" t="s">
        <v>1266</v>
      </c>
      <c r="G341" s="174" t="s">
        <v>1267</v>
      </c>
      <c r="H341" s="174">
        <v>3.3651585788147067E-3</v>
      </c>
      <c r="I341" s="176">
        <v>2.5953228415068071E-3</v>
      </c>
      <c r="J341" s="176">
        <v>2.7748226932345136E-2</v>
      </c>
      <c r="K341">
        <v>2.207895931679112E-2</v>
      </c>
    </row>
    <row r="342" spans="3:11" x14ac:dyDescent="0.25">
      <c r="C342" s="171" t="s">
        <v>1268</v>
      </c>
      <c r="D342" s="171" t="s">
        <v>1269</v>
      </c>
      <c r="E342" s="171" t="s">
        <v>1270</v>
      </c>
      <c r="F342" s="171" t="s">
        <v>1271</v>
      </c>
      <c r="G342" s="174"/>
      <c r="H342" s="174">
        <v>0</v>
      </c>
      <c r="I342" s="176">
        <v>0</v>
      </c>
      <c r="J342" s="176">
        <v>0</v>
      </c>
      <c r="K342">
        <v>0</v>
      </c>
    </row>
    <row r="343" spans="3:11" x14ac:dyDescent="0.25">
      <c r="C343" s="171" t="s">
        <v>1268</v>
      </c>
      <c r="D343" s="171" t="s">
        <v>1269</v>
      </c>
      <c r="E343" s="171" t="s">
        <v>1272</v>
      </c>
      <c r="F343" s="171" t="s">
        <v>1271</v>
      </c>
      <c r="G343" s="174"/>
      <c r="H343" s="174">
        <v>0</v>
      </c>
      <c r="I343" s="176">
        <v>0</v>
      </c>
      <c r="J343" s="176">
        <v>0</v>
      </c>
      <c r="K343">
        <v>0</v>
      </c>
    </row>
    <row r="344" spans="3:11" x14ac:dyDescent="0.25">
      <c r="C344" s="171" t="s">
        <v>1268</v>
      </c>
      <c r="D344" s="171" t="s">
        <v>1269</v>
      </c>
      <c r="E344" s="171" t="s">
        <v>1273</v>
      </c>
      <c r="F344" s="171" t="s">
        <v>1271</v>
      </c>
      <c r="G344" s="174"/>
      <c r="H344" s="174">
        <v>0</v>
      </c>
      <c r="I344" s="176">
        <v>0</v>
      </c>
      <c r="J344" s="176">
        <v>0</v>
      </c>
      <c r="K344">
        <v>0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aStaticData">
    <tabColor theme="4" tint="-0.249977111117893"/>
  </sheetPr>
  <dimension ref="D1:AT252"/>
  <sheetViews>
    <sheetView zoomScale="70" zoomScaleNormal="70" workbookViewId="0">
      <selection activeCell="D1" sqref="D1:AT1"/>
    </sheetView>
  </sheetViews>
  <sheetFormatPr defaultRowHeight="15" outlineLevelCol="1" x14ac:dyDescent="0.25"/>
  <cols>
    <col min="4" max="4" width="12" customWidth="1"/>
    <col min="5" max="5" width="48.42578125" bestFit="1" customWidth="1"/>
    <col min="6" max="6" width="37.5703125" bestFit="1" customWidth="1"/>
    <col min="7" max="7" width="14.140625" bestFit="1" customWidth="1"/>
    <col min="8" max="8" width="23" bestFit="1" customWidth="1"/>
    <col min="9" max="9" width="32.28515625" bestFit="1" customWidth="1"/>
    <col min="10" max="10" width="13.42578125" bestFit="1" customWidth="1"/>
    <col min="11" max="11" width="25.5703125" bestFit="1" customWidth="1"/>
    <col min="12" max="12" width="23.42578125" bestFit="1" customWidth="1"/>
    <col min="13" max="13" width="23.7109375" bestFit="1" customWidth="1"/>
    <col min="14" max="14" width="23.28515625" bestFit="1" customWidth="1"/>
    <col min="15" max="15" width="26.140625" bestFit="1" customWidth="1"/>
    <col min="16" max="16" width="28.42578125" bestFit="1" customWidth="1"/>
    <col min="17" max="17" width="27.28515625" bestFit="1" customWidth="1"/>
    <col min="18" max="18" width="22" bestFit="1" customWidth="1"/>
    <col min="19" max="19" width="23" bestFit="1" customWidth="1"/>
    <col min="20" max="20" width="41.140625" customWidth="1"/>
    <col min="21" max="21" width="19.140625" customWidth="1" outlineLevel="1"/>
    <col min="22" max="22" width="20.85546875" customWidth="1" outlineLevel="1"/>
    <col min="23" max="23" width="25.5703125" customWidth="1" outlineLevel="1"/>
    <col min="24" max="24" width="29" customWidth="1" outlineLevel="1"/>
    <col min="25" max="25" width="30.140625" customWidth="1" outlineLevel="1"/>
    <col min="26" max="26" width="26.140625" customWidth="1" outlineLevel="1"/>
    <col min="27" max="27" width="22.7109375" customWidth="1" outlineLevel="1"/>
    <col min="28" max="28" width="19" customWidth="1" outlineLevel="1"/>
    <col min="29" max="29" width="21.28515625" customWidth="1" outlineLevel="1"/>
    <col min="30" max="30" width="29" customWidth="1" outlineLevel="1"/>
    <col min="31" max="31" width="27.5703125" customWidth="1" outlineLevel="1"/>
    <col min="32" max="32" width="35.42578125" customWidth="1" outlineLevel="1"/>
    <col min="33" max="33" width="21.85546875" customWidth="1" outlineLevel="1"/>
    <col min="34" max="34" width="28.7109375" customWidth="1" outlineLevel="1"/>
    <col min="35" max="35" width="31.5703125" customWidth="1" outlineLevel="1"/>
    <col min="36" max="36" width="34" customWidth="1" outlineLevel="1"/>
    <col min="37" max="37" width="32.7109375" customWidth="1" outlineLevel="1"/>
    <col min="38" max="38" width="26.140625" customWidth="1" outlineLevel="1"/>
    <col min="39" max="39" width="28.42578125" customWidth="1" outlineLevel="1"/>
    <col min="40" max="40" width="18.42578125" customWidth="1" outlineLevel="1"/>
    <col min="41" max="41" width="13.7109375" customWidth="1" outlineLevel="1"/>
    <col min="42" max="42" width="16.28515625" customWidth="1" outlineLevel="1"/>
    <col min="43" max="43" width="23.28515625" customWidth="1" outlineLevel="1"/>
    <col min="44" max="44" width="17.7109375" customWidth="1" outlineLevel="1"/>
    <col min="45" max="45" width="9.140625" customWidth="1" outlineLevel="1"/>
  </cols>
  <sheetData>
    <row r="1" spans="4:46" s="14" customFormat="1" x14ac:dyDescent="0.25">
      <c r="D1" s="42" t="s">
        <v>5</v>
      </c>
      <c r="E1" s="42" t="s">
        <v>193</v>
      </c>
      <c r="F1" s="42" t="s">
        <v>194</v>
      </c>
      <c r="G1" s="42" t="s">
        <v>69</v>
      </c>
      <c r="H1" s="42" t="s">
        <v>75</v>
      </c>
      <c r="I1" s="42" t="s">
        <v>76</v>
      </c>
      <c r="J1" s="42" t="s">
        <v>77</v>
      </c>
      <c r="K1" s="42" t="s">
        <v>131</v>
      </c>
      <c r="L1" s="42" t="s">
        <v>132</v>
      </c>
      <c r="M1" s="42" t="s">
        <v>58</v>
      </c>
      <c r="N1" s="42" t="s">
        <v>183</v>
      </c>
      <c r="O1" s="42" t="s">
        <v>112</v>
      </c>
      <c r="P1" s="42" t="s">
        <v>113</v>
      </c>
      <c r="Q1" s="42" t="s">
        <v>114</v>
      </c>
      <c r="R1" s="42" t="s">
        <v>115</v>
      </c>
      <c r="S1" s="42" t="s">
        <v>92</v>
      </c>
      <c r="T1" s="42" t="s">
        <v>116</v>
      </c>
      <c r="U1" s="42" t="s">
        <v>204</v>
      </c>
      <c r="V1" s="42" t="s">
        <v>176</v>
      </c>
      <c r="W1" s="42" t="s">
        <v>6</v>
      </c>
      <c r="X1" s="42" t="s">
        <v>88</v>
      </c>
      <c r="Y1" s="42" t="s">
        <v>138</v>
      </c>
      <c r="Z1" s="42" t="s">
        <v>89</v>
      </c>
      <c r="AA1" s="42" t="s">
        <v>177</v>
      </c>
      <c r="AB1" s="42" t="s">
        <v>90</v>
      </c>
      <c r="AC1" s="42" t="s">
        <v>111</v>
      </c>
      <c r="AD1" s="42" t="s">
        <v>140</v>
      </c>
      <c r="AE1" s="42" t="s">
        <v>141</v>
      </c>
      <c r="AF1" s="42" t="s">
        <v>142</v>
      </c>
      <c r="AG1" s="42" t="s">
        <v>143</v>
      </c>
      <c r="AH1" s="42" t="s">
        <v>91</v>
      </c>
      <c r="AI1" s="42" t="s">
        <v>133</v>
      </c>
      <c r="AJ1" s="42" t="s">
        <v>134</v>
      </c>
      <c r="AK1" s="42" t="s">
        <v>135</v>
      </c>
      <c r="AL1" s="42" t="s">
        <v>136</v>
      </c>
      <c r="AM1" s="42" t="s">
        <v>178</v>
      </c>
      <c r="AN1" s="42" t="s">
        <v>137</v>
      </c>
      <c r="AO1" s="42" t="s">
        <v>93</v>
      </c>
      <c r="AP1" s="42" t="s">
        <v>94</v>
      </c>
      <c r="AQ1" s="42" t="s">
        <v>139</v>
      </c>
      <c r="AR1" s="42" t="s">
        <v>95</v>
      </c>
      <c r="AS1" s="42" t="s">
        <v>313</v>
      </c>
      <c r="AT1" s="43" t="s">
        <v>208</v>
      </c>
    </row>
    <row r="2" spans="4:46" x14ac:dyDescent="0.25">
      <c r="D2" t="s">
        <v>510</v>
      </c>
      <c r="E2" s="177" t="str">
        <f>INDEX(tblBOneExport[[INSTRUMENT]:[ISIN]],MATCH(tblGetStaticData[[#This Row],[ISIN]],tblBOneExport[ISIN],0),1)</f>
        <v>AFFINITY WAT FIN 3.278 22/08/42 EMTN</v>
      </c>
      <c r="F2" s="155" t="str">
        <f>tblGetStaticData[[#This Row],[iPasL2]]&amp; " " &amp; tblGetStaticData[[#This Row],[Tiering]]</f>
        <v>Other Utility SEN</v>
      </c>
      <c r="G2" s="155" t="s">
        <v>1282</v>
      </c>
      <c r="H2" t="s">
        <v>1323</v>
      </c>
      <c r="I2" t="s">
        <v>1323</v>
      </c>
      <c r="J2" t="s">
        <v>1323</v>
      </c>
      <c r="K2" t="s">
        <v>506</v>
      </c>
      <c r="L2" t="s">
        <v>1281</v>
      </c>
      <c r="M2" t="s">
        <v>493</v>
      </c>
      <c r="N2" t="s">
        <v>1882</v>
      </c>
      <c r="O2" t="s">
        <v>1419</v>
      </c>
      <c r="P2" t="s">
        <v>1883</v>
      </c>
      <c r="Q2" t="s">
        <v>1884</v>
      </c>
      <c r="R2" t="s">
        <v>1360</v>
      </c>
      <c r="S2" t="s">
        <v>1885</v>
      </c>
      <c r="T2" t="s">
        <v>1886</v>
      </c>
      <c r="U2" t="s">
        <v>1887</v>
      </c>
      <c r="V2" t="s">
        <v>510</v>
      </c>
      <c r="W2" t="s">
        <v>506</v>
      </c>
      <c r="X2" t="s">
        <v>1322</v>
      </c>
      <c r="Y2" t="s">
        <v>1888</v>
      </c>
      <c r="Z2" t="s">
        <v>1888</v>
      </c>
      <c r="AA2" t="s">
        <v>493</v>
      </c>
      <c r="AB2" t="s">
        <v>1889</v>
      </c>
      <c r="AC2" t="s">
        <v>1282</v>
      </c>
      <c r="AD2" t="s">
        <v>1890</v>
      </c>
      <c r="AE2" t="s">
        <v>1891</v>
      </c>
      <c r="AF2" t="s">
        <v>1890</v>
      </c>
      <c r="AG2" t="s">
        <v>1891</v>
      </c>
      <c r="AH2" t="s">
        <v>1419</v>
      </c>
      <c r="AI2" t="s">
        <v>1419</v>
      </c>
      <c r="AJ2" t="s">
        <v>1883</v>
      </c>
      <c r="AK2" t="s">
        <v>1884</v>
      </c>
      <c r="AL2" t="s">
        <v>1360</v>
      </c>
      <c r="AM2" t="s">
        <v>1885</v>
      </c>
      <c r="AN2" t="s">
        <v>1886</v>
      </c>
      <c r="AO2" t="s">
        <v>1892</v>
      </c>
      <c r="AP2" t="s">
        <v>1281</v>
      </c>
      <c r="AQ2" t="s">
        <v>1893</v>
      </c>
      <c r="AR2" t="s">
        <v>1281</v>
      </c>
      <c r="AS2" t="s">
        <v>1282</v>
      </c>
      <c r="AT2" t="s">
        <v>1894</v>
      </c>
    </row>
    <row r="3" spans="4:46" x14ac:dyDescent="0.25">
      <c r="D3" t="s">
        <v>839</v>
      </c>
      <c r="E3" s="177" t="str">
        <f>INDEX(tblBOneExport[[INSTRUMENT]:[ISIN]],MATCH(tblGetStaticData[[#This Row],[ISIN]],tblBOneExport[ISIN],0),1)</f>
        <v>HENKEL AG &amp; CO 0.875 13/09/22 EMTN</v>
      </c>
      <c r="F3" s="155" t="str">
        <f>tblGetStaticData[[#This Row],[iPasL2]]&amp; " " &amp; tblGetStaticData[[#This Row],[Tiering]]</f>
        <v>Consumer Noncyclical SEN</v>
      </c>
      <c r="G3" s="155" t="s">
        <v>1282</v>
      </c>
      <c r="H3" t="s">
        <v>1279</v>
      </c>
      <c r="I3" t="s">
        <v>1279</v>
      </c>
      <c r="J3" t="s">
        <v>1343</v>
      </c>
      <c r="K3" t="s">
        <v>840</v>
      </c>
      <c r="L3" t="s">
        <v>1332</v>
      </c>
      <c r="M3" t="s">
        <v>493</v>
      </c>
      <c r="N3" t="s">
        <v>1882</v>
      </c>
      <c r="O3" t="s">
        <v>1433</v>
      </c>
      <c r="P3" t="s">
        <v>1432</v>
      </c>
      <c r="Q3" t="s">
        <v>1895</v>
      </c>
      <c r="R3" t="s">
        <v>1433</v>
      </c>
      <c r="S3" t="s">
        <v>1432</v>
      </c>
      <c r="T3" t="s">
        <v>1895</v>
      </c>
      <c r="U3" t="s">
        <v>1887</v>
      </c>
      <c r="V3" t="s">
        <v>839</v>
      </c>
      <c r="W3" t="s">
        <v>840</v>
      </c>
      <c r="X3" t="s">
        <v>1896</v>
      </c>
      <c r="Y3" t="s">
        <v>1897</v>
      </c>
      <c r="Z3" t="s">
        <v>1898</v>
      </c>
      <c r="AA3" t="s">
        <v>493</v>
      </c>
      <c r="AB3" t="s">
        <v>1899</v>
      </c>
      <c r="AC3" t="s">
        <v>1282</v>
      </c>
      <c r="AD3" t="s">
        <v>1900</v>
      </c>
      <c r="AE3" t="s">
        <v>1901</v>
      </c>
      <c r="AF3" t="s">
        <v>1900</v>
      </c>
      <c r="AG3" t="s">
        <v>1901</v>
      </c>
      <c r="AH3" t="s">
        <v>1433</v>
      </c>
      <c r="AI3" t="s">
        <v>1433</v>
      </c>
      <c r="AJ3" t="s">
        <v>1432</v>
      </c>
      <c r="AK3" t="s">
        <v>1895</v>
      </c>
      <c r="AL3" t="s">
        <v>1433</v>
      </c>
      <c r="AM3" t="s">
        <v>1432</v>
      </c>
      <c r="AN3" t="s">
        <v>1895</v>
      </c>
      <c r="AO3" t="s">
        <v>1902</v>
      </c>
      <c r="AP3" t="s">
        <v>1332</v>
      </c>
      <c r="AQ3" t="s">
        <v>1332</v>
      </c>
      <c r="AR3" t="s">
        <v>1332</v>
      </c>
      <c r="AS3" t="s">
        <v>1282</v>
      </c>
      <c r="AT3" t="s">
        <v>1894</v>
      </c>
    </row>
    <row r="4" spans="4:46" x14ac:dyDescent="0.25">
      <c r="D4" t="s">
        <v>1173</v>
      </c>
      <c r="E4" s="177" t="str">
        <f>INDEX(tblBOneExport[[INSTRUMENT]:[ISIN]],MATCH(tblGetStaticData[[#This Row],[ISIN]],tblBOneExport[ISIN],0),1)</f>
        <v>THAMES WATER UTC 7.738 09/04/58 EMTN</v>
      </c>
      <c r="F4" s="155" t="str">
        <f>tblGetStaticData[[#This Row],[iPasL2]]&amp; " " &amp; tblGetStaticData[[#This Row],[Tiering]]</f>
        <v>Other Utility SEN</v>
      </c>
      <c r="G4" s="155" t="s">
        <v>1282</v>
      </c>
      <c r="H4" t="s">
        <v>1323</v>
      </c>
      <c r="I4" t="s">
        <v>1323</v>
      </c>
      <c r="J4" t="s">
        <v>1323</v>
      </c>
      <c r="K4" t="s">
        <v>1165</v>
      </c>
      <c r="L4" t="s">
        <v>1281</v>
      </c>
      <c r="M4" t="s">
        <v>493</v>
      </c>
      <c r="N4" t="s">
        <v>1882</v>
      </c>
      <c r="O4" t="s">
        <v>1419</v>
      </c>
      <c r="P4" t="s">
        <v>1883</v>
      </c>
      <c r="Q4" t="s">
        <v>1884</v>
      </c>
      <c r="R4" t="s">
        <v>1360</v>
      </c>
      <c r="S4" t="s">
        <v>1885</v>
      </c>
      <c r="T4" t="s">
        <v>1886</v>
      </c>
      <c r="U4" t="s">
        <v>1887</v>
      </c>
      <c r="V4" t="s">
        <v>1173</v>
      </c>
      <c r="W4" t="s">
        <v>1165</v>
      </c>
      <c r="X4" t="s">
        <v>1322</v>
      </c>
      <c r="Y4" t="s">
        <v>1888</v>
      </c>
      <c r="Z4" t="s">
        <v>1888</v>
      </c>
      <c r="AA4" t="s">
        <v>493</v>
      </c>
      <c r="AB4" t="s">
        <v>1889</v>
      </c>
      <c r="AC4" t="s">
        <v>1282</v>
      </c>
      <c r="AD4" t="s">
        <v>1903</v>
      </c>
      <c r="AE4" t="s">
        <v>1904</v>
      </c>
      <c r="AF4" t="s">
        <v>1903</v>
      </c>
      <c r="AG4" t="s">
        <v>1904</v>
      </c>
      <c r="AH4" t="s">
        <v>1419</v>
      </c>
      <c r="AI4" t="s">
        <v>1419</v>
      </c>
      <c r="AJ4" t="s">
        <v>1883</v>
      </c>
      <c r="AK4" t="s">
        <v>1884</v>
      </c>
      <c r="AL4" t="s">
        <v>1360</v>
      </c>
      <c r="AM4" t="s">
        <v>1885</v>
      </c>
      <c r="AN4" t="s">
        <v>1886</v>
      </c>
      <c r="AO4" t="s">
        <v>1892</v>
      </c>
      <c r="AP4" t="s">
        <v>1315</v>
      </c>
      <c r="AQ4" t="s">
        <v>1893</v>
      </c>
      <c r="AR4" t="s">
        <v>1315</v>
      </c>
      <c r="AS4" t="s">
        <v>1282</v>
      </c>
      <c r="AT4" t="s">
        <v>1894</v>
      </c>
    </row>
    <row r="5" spans="4:46" x14ac:dyDescent="0.25">
      <c r="D5" t="s">
        <v>570</v>
      </c>
      <c r="E5" s="177" t="str">
        <f>INDEX(tblBOneExport[[INSTRUMENT]:[ISIN]],MATCH(tblGetStaticData[[#This Row],[ISIN]],tblBOneExport[ISIN],0),1)</f>
        <v>BASF SE 1.75 11/03/25 EMTN</v>
      </c>
      <c r="F5" s="155" t="str">
        <f>tblGetStaticData[[#This Row],[iPasL2]]&amp; " " &amp; tblGetStaticData[[#This Row],[Tiering]]</f>
        <v>Basic SEN</v>
      </c>
      <c r="G5" s="155" t="s">
        <v>1282</v>
      </c>
      <c r="H5" t="s">
        <v>1512</v>
      </c>
      <c r="I5" t="s">
        <v>1512</v>
      </c>
      <c r="J5" t="s">
        <v>1513</v>
      </c>
      <c r="K5" t="s">
        <v>571</v>
      </c>
      <c r="L5" t="s">
        <v>1293</v>
      </c>
      <c r="M5" t="s">
        <v>493</v>
      </c>
      <c r="N5" t="s">
        <v>1882</v>
      </c>
      <c r="O5" t="s">
        <v>1433</v>
      </c>
      <c r="P5" t="s">
        <v>1432</v>
      </c>
      <c r="Q5" t="s">
        <v>1895</v>
      </c>
      <c r="R5" t="s">
        <v>1433</v>
      </c>
      <c r="S5" t="s">
        <v>1432</v>
      </c>
      <c r="T5" t="s">
        <v>1895</v>
      </c>
      <c r="U5" t="s">
        <v>1887</v>
      </c>
      <c r="V5" t="s">
        <v>570</v>
      </c>
      <c r="W5" t="s">
        <v>571</v>
      </c>
      <c r="X5" t="s">
        <v>1905</v>
      </c>
      <c r="Y5" t="s">
        <v>1513</v>
      </c>
      <c r="Z5" t="s">
        <v>1906</v>
      </c>
      <c r="AA5" t="s">
        <v>493</v>
      </c>
      <c r="AB5" t="s">
        <v>1899</v>
      </c>
      <c r="AC5" t="s">
        <v>1282</v>
      </c>
      <c r="AD5" t="s">
        <v>1907</v>
      </c>
      <c r="AE5" t="s">
        <v>1908</v>
      </c>
      <c r="AF5" t="s">
        <v>1907</v>
      </c>
      <c r="AG5" t="s">
        <v>1908</v>
      </c>
      <c r="AH5" t="s">
        <v>1433</v>
      </c>
      <c r="AI5" t="s">
        <v>1433</v>
      </c>
      <c r="AJ5" t="s">
        <v>1432</v>
      </c>
      <c r="AK5" t="s">
        <v>1895</v>
      </c>
      <c r="AL5" t="s">
        <v>1433</v>
      </c>
      <c r="AM5" t="s">
        <v>1432</v>
      </c>
      <c r="AN5" t="s">
        <v>1895</v>
      </c>
      <c r="AO5" t="s">
        <v>1909</v>
      </c>
      <c r="AP5" t="s">
        <v>1893</v>
      </c>
      <c r="AQ5" t="s">
        <v>1293</v>
      </c>
      <c r="AR5" t="s">
        <v>1873</v>
      </c>
      <c r="AS5" t="s">
        <v>1282</v>
      </c>
      <c r="AT5" t="s">
        <v>1894</v>
      </c>
    </row>
    <row r="6" spans="4:46" x14ac:dyDescent="0.25">
      <c r="D6" t="s">
        <v>1200</v>
      </c>
      <c r="E6" s="177" t="str">
        <f>INDEX(tblBOneExport[[INSTRUMENT]:[ISIN]],MATCH(tblGetStaticData[[#This Row],[ISIN]],tblBOneExport[ISIN],0),1)</f>
        <v>UNILEVER PLC 1.125 03/02/22 EMTN</v>
      </c>
      <c r="F6" s="155" t="str">
        <f>tblGetStaticData[[#This Row],[iPasL2]]&amp; " " &amp; tblGetStaticData[[#This Row],[Tiering]]</f>
        <v>Consumer Noncyclical SEN</v>
      </c>
      <c r="G6" s="155" t="s">
        <v>1282</v>
      </c>
      <c r="H6" t="s">
        <v>1279</v>
      </c>
      <c r="I6" t="s">
        <v>1279</v>
      </c>
      <c r="J6" t="s">
        <v>1280</v>
      </c>
      <c r="K6" t="s">
        <v>1201</v>
      </c>
      <c r="L6" t="s">
        <v>1293</v>
      </c>
      <c r="M6" t="s">
        <v>493</v>
      </c>
      <c r="N6" t="s">
        <v>1882</v>
      </c>
      <c r="O6" t="s">
        <v>1360</v>
      </c>
      <c r="P6" t="s">
        <v>1885</v>
      </c>
      <c r="Q6" t="s">
        <v>1886</v>
      </c>
      <c r="R6" t="s">
        <v>1360</v>
      </c>
      <c r="S6" t="s">
        <v>1885</v>
      </c>
      <c r="T6" t="s">
        <v>1886</v>
      </c>
      <c r="U6" t="s">
        <v>1887</v>
      </c>
      <c r="V6" t="s">
        <v>1200</v>
      </c>
      <c r="W6" t="s">
        <v>1201</v>
      </c>
      <c r="X6" t="s">
        <v>1896</v>
      </c>
      <c r="Y6" t="s">
        <v>1910</v>
      </c>
      <c r="Z6" t="s">
        <v>1911</v>
      </c>
      <c r="AA6" t="s">
        <v>493</v>
      </c>
      <c r="AB6" t="s">
        <v>1899</v>
      </c>
      <c r="AC6" t="s">
        <v>1282</v>
      </c>
      <c r="AD6" t="s">
        <v>1912</v>
      </c>
      <c r="AE6" t="s">
        <v>1901</v>
      </c>
      <c r="AF6" t="s">
        <v>1912</v>
      </c>
      <c r="AG6" t="s">
        <v>1901</v>
      </c>
      <c r="AH6" t="s">
        <v>1360</v>
      </c>
      <c r="AI6" t="s">
        <v>1360</v>
      </c>
      <c r="AJ6" t="s">
        <v>1885</v>
      </c>
      <c r="AK6" t="s">
        <v>1886</v>
      </c>
      <c r="AL6" t="s">
        <v>1360</v>
      </c>
      <c r="AM6" t="s">
        <v>1885</v>
      </c>
      <c r="AN6" t="s">
        <v>1886</v>
      </c>
      <c r="AO6" t="s">
        <v>1909</v>
      </c>
      <c r="AP6" t="s">
        <v>1293</v>
      </c>
      <c r="AQ6" t="s">
        <v>1293</v>
      </c>
      <c r="AR6" t="s">
        <v>1293</v>
      </c>
      <c r="AS6" t="s">
        <v>1282</v>
      </c>
      <c r="AT6" t="s">
        <v>1894</v>
      </c>
    </row>
    <row r="7" spans="4:46" x14ac:dyDescent="0.25">
      <c r="D7" t="s">
        <v>1022</v>
      </c>
      <c r="E7" s="177" t="str">
        <f>INDEX(tblBOneExport[[INSTRUMENT]:[ISIN]],MATCH(tblGetStaticData[[#This Row],[ISIN]],tblBOneExport[ISIN],0),1)</f>
        <v>FRANCE TELECOM 7.25 10/11/20 EMTN</v>
      </c>
      <c r="F7" s="155" t="str">
        <f>tblGetStaticData[[#This Row],[iPasL2]]&amp; " " &amp; tblGetStaticData[[#This Row],[Tiering]]</f>
        <v>Communications SEN</v>
      </c>
      <c r="G7" s="155" t="s">
        <v>1282</v>
      </c>
      <c r="H7" t="s">
        <v>1312</v>
      </c>
      <c r="I7" t="s">
        <v>1312</v>
      </c>
      <c r="J7" t="s">
        <v>1313</v>
      </c>
      <c r="K7" t="s">
        <v>1023</v>
      </c>
      <c r="L7" t="s">
        <v>1315</v>
      </c>
      <c r="M7" t="s">
        <v>493</v>
      </c>
      <c r="N7" t="s">
        <v>1882</v>
      </c>
      <c r="O7" t="s">
        <v>1317</v>
      </c>
      <c r="P7" t="s">
        <v>1316</v>
      </c>
      <c r="Q7" t="s">
        <v>1895</v>
      </c>
      <c r="R7" t="s">
        <v>1317</v>
      </c>
      <c r="S7" t="s">
        <v>1316</v>
      </c>
      <c r="T7" t="s">
        <v>1895</v>
      </c>
      <c r="U7" t="s">
        <v>1887</v>
      </c>
      <c r="V7" t="s">
        <v>1022</v>
      </c>
      <c r="W7" t="s">
        <v>1023</v>
      </c>
      <c r="X7" t="s">
        <v>1312</v>
      </c>
      <c r="Y7" t="s">
        <v>1313</v>
      </c>
      <c r="Z7" t="s">
        <v>1913</v>
      </c>
      <c r="AA7" t="s">
        <v>493</v>
      </c>
      <c r="AB7" t="s">
        <v>1899</v>
      </c>
      <c r="AC7" t="s">
        <v>1282</v>
      </c>
      <c r="AD7" t="s">
        <v>1914</v>
      </c>
      <c r="AE7" t="s">
        <v>1915</v>
      </c>
      <c r="AF7" t="s">
        <v>1914</v>
      </c>
      <c r="AG7" t="s">
        <v>1915</v>
      </c>
      <c r="AH7" t="s">
        <v>1317</v>
      </c>
      <c r="AI7" t="s">
        <v>1317</v>
      </c>
      <c r="AJ7" t="s">
        <v>1316</v>
      </c>
      <c r="AK7" t="s">
        <v>1895</v>
      </c>
      <c r="AL7" t="s">
        <v>1317</v>
      </c>
      <c r="AM7" t="s">
        <v>1316</v>
      </c>
      <c r="AN7" t="s">
        <v>1895</v>
      </c>
      <c r="AO7" t="s">
        <v>1916</v>
      </c>
      <c r="AP7" t="s">
        <v>1315</v>
      </c>
      <c r="AQ7" t="s">
        <v>1315</v>
      </c>
      <c r="AR7" t="s">
        <v>1315</v>
      </c>
      <c r="AS7" t="s">
        <v>1282</v>
      </c>
      <c r="AT7" t="s">
        <v>1894</v>
      </c>
    </row>
    <row r="8" spans="4:46" x14ac:dyDescent="0.25">
      <c r="D8" t="s">
        <v>1025</v>
      </c>
      <c r="E8" s="177" t="str">
        <f>INDEX(tblBOneExport[[INSTRUMENT]:[ISIN]],MATCH(tblGetStaticData[[#This Row],[ISIN]],tblBOneExport[ISIN],0),1)</f>
        <v>FRANCE TELECOM 5.625 23/01/34 EMTN</v>
      </c>
      <c r="F8" s="155" t="str">
        <f>tblGetStaticData[[#This Row],[iPasL2]]&amp; " " &amp; tblGetStaticData[[#This Row],[Tiering]]</f>
        <v>Communications SEN</v>
      </c>
      <c r="G8" s="155" t="s">
        <v>1282</v>
      </c>
      <c r="H8" t="s">
        <v>1312</v>
      </c>
      <c r="I8" t="s">
        <v>1312</v>
      </c>
      <c r="J8" t="s">
        <v>1313</v>
      </c>
      <c r="K8" t="s">
        <v>1023</v>
      </c>
      <c r="L8" t="s">
        <v>1315</v>
      </c>
      <c r="M8" t="s">
        <v>493</v>
      </c>
      <c r="N8" t="s">
        <v>1882</v>
      </c>
      <c r="O8" t="s">
        <v>1317</v>
      </c>
      <c r="P8" t="s">
        <v>1316</v>
      </c>
      <c r="Q8" t="s">
        <v>1895</v>
      </c>
      <c r="R8" t="s">
        <v>1317</v>
      </c>
      <c r="S8" t="s">
        <v>1316</v>
      </c>
      <c r="T8" t="s">
        <v>1895</v>
      </c>
      <c r="U8" t="s">
        <v>1887</v>
      </c>
      <c r="V8" t="s">
        <v>1025</v>
      </c>
      <c r="W8" t="s">
        <v>1023</v>
      </c>
      <c r="X8" t="s">
        <v>1312</v>
      </c>
      <c r="Y8" t="s">
        <v>1313</v>
      </c>
      <c r="Z8" t="s">
        <v>1913</v>
      </c>
      <c r="AA8" t="s">
        <v>493</v>
      </c>
      <c r="AB8" t="s">
        <v>1899</v>
      </c>
      <c r="AC8" t="s">
        <v>1282</v>
      </c>
      <c r="AD8" t="s">
        <v>1917</v>
      </c>
      <c r="AE8" t="s">
        <v>1918</v>
      </c>
      <c r="AF8" t="s">
        <v>1917</v>
      </c>
      <c r="AG8" t="s">
        <v>1918</v>
      </c>
      <c r="AH8" t="s">
        <v>1317</v>
      </c>
      <c r="AI8" t="s">
        <v>1317</v>
      </c>
      <c r="AJ8" t="s">
        <v>1316</v>
      </c>
      <c r="AK8" t="s">
        <v>1895</v>
      </c>
      <c r="AL8" t="s">
        <v>1317</v>
      </c>
      <c r="AM8" t="s">
        <v>1316</v>
      </c>
      <c r="AN8" t="s">
        <v>1895</v>
      </c>
      <c r="AO8" t="s">
        <v>1916</v>
      </c>
      <c r="AP8" t="s">
        <v>1315</v>
      </c>
      <c r="AQ8" t="s">
        <v>1315</v>
      </c>
      <c r="AR8" t="s">
        <v>1315</v>
      </c>
      <c r="AS8" t="s">
        <v>1282</v>
      </c>
      <c r="AT8" t="s">
        <v>1894</v>
      </c>
    </row>
    <row r="9" spans="4:46" x14ac:dyDescent="0.25">
      <c r="D9" t="s">
        <v>1228</v>
      </c>
      <c r="E9" s="177" t="str">
        <f>INDEX(tblBOneExport[[INSTRUMENT]:[ISIN]],MATCH(tblGetStaticData[[#This Row],[ISIN]],tblBOneExport[ISIN],0),1)</f>
        <v>VEOLIA ENVRNMT 6.125 29/10/37 EMTN</v>
      </c>
      <c r="F9" s="155" t="str">
        <f>tblGetStaticData[[#This Row],[iPasL2]]&amp; " " &amp; tblGetStaticData[[#This Row],[Tiering]]</f>
        <v>Other Utility SEN</v>
      </c>
      <c r="G9" s="155" t="s">
        <v>1282</v>
      </c>
      <c r="H9" t="s">
        <v>1323</v>
      </c>
      <c r="I9" t="s">
        <v>1323</v>
      </c>
      <c r="J9" t="s">
        <v>1323</v>
      </c>
      <c r="K9" t="s">
        <v>1229</v>
      </c>
      <c r="L9" t="s">
        <v>1288</v>
      </c>
      <c r="M9" t="s">
        <v>493</v>
      </c>
      <c r="N9" t="s">
        <v>1882</v>
      </c>
      <c r="O9" t="s">
        <v>1317</v>
      </c>
      <c r="P9" t="s">
        <v>1316</v>
      </c>
      <c r="Q9" t="s">
        <v>1895</v>
      </c>
      <c r="R9" t="s">
        <v>1317</v>
      </c>
      <c r="S9" t="s">
        <v>1316</v>
      </c>
      <c r="T9" t="s">
        <v>1895</v>
      </c>
      <c r="U9" t="s">
        <v>1887</v>
      </c>
      <c r="V9" t="s">
        <v>1228</v>
      </c>
      <c r="W9" t="s">
        <v>1229</v>
      </c>
      <c r="X9" t="s">
        <v>1322</v>
      </c>
      <c r="Y9" t="s">
        <v>1888</v>
      </c>
      <c r="Z9" t="s">
        <v>1888</v>
      </c>
      <c r="AA9" t="s">
        <v>493</v>
      </c>
      <c r="AB9" t="s">
        <v>1899</v>
      </c>
      <c r="AC9" t="s">
        <v>1282</v>
      </c>
      <c r="AD9" t="s">
        <v>1919</v>
      </c>
      <c r="AE9" t="s">
        <v>1920</v>
      </c>
      <c r="AF9" t="s">
        <v>1919</v>
      </c>
      <c r="AG9" t="s">
        <v>1920</v>
      </c>
      <c r="AH9" t="s">
        <v>1317</v>
      </c>
      <c r="AI9" t="s">
        <v>1317</v>
      </c>
      <c r="AJ9" t="s">
        <v>1316</v>
      </c>
      <c r="AK9" t="s">
        <v>1895</v>
      </c>
      <c r="AL9" t="s">
        <v>1317</v>
      </c>
      <c r="AM9" t="s">
        <v>1316</v>
      </c>
      <c r="AN9" t="s">
        <v>1895</v>
      </c>
      <c r="AO9" t="s">
        <v>1916</v>
      </c>
      <c r="AP9" t="s">
        <v>1288</v>
      </c>
      <c r="AQ9" t="s">
        <v>1288</v>
      </c>
      <c r="AR9" t="s">
        <v>1288</v>
      </c>
      <c r="AS9" t="s">
        <v>1282</v>
      </c>
      <c r="AT9" t="s">
        <v>1894</v>
      </c>
    </row>
    <row r="10" spans="4:46" x14ac:dyDescent="0.25">
      <c r="D10" t="s">
        <v>777</v>
      </c>
      <c r="E10" s="177" t="str">
        <f>INDEX(tblBOneExport[[INSTRUMENT]:[ISIN]],MATCH(tblGetStaticData[[#This Row],[ISIN]],tblBOneExport[ISIN],0),1)</f>
        <v>GDF SUEZ 7 30/10/28 EMTN</v>
      </c>
      <c r="F10" s="155" t="str">
        <f>tblGetStaticData[[#This Row],[iPasL2]]&amp; " " &amp; tblGetStaticData[[#This Row],[Tiering]]</f>
        <v>Natural Gas SEN</v>
      </c>
      <c r="G10" s="155" t="s">
        <v>1282</v>
      </c>
      <c r="H10" t="s">
        <v>1326</v>
      </c>
      <c r="I10" t="s">
        <v>1326</v>
      </c>
      <c r="J10" t="s">
        <v>1326</v>
      </c>
      <c r="K10" t="s">
        <v>775</v>
      </c>
      <c r="L10" t="s">
        <v>1281</v>
      </c>
      <c r="M10" t="s">
        <v>493</v>
      </c>
      <c r="N10" t="s">
        <v>1882</v>
      </c>
      <c r="O10" t="s">
        <v>1317</v>
      </c>
      <c r="P10" t="s">
        <v>1316</v>
      </c>
      <c r="Q10" t="s">
        <v>1895</v>
      </c>
      <c r="R10" t="s">
        <v>1317</v>
      </c>
      <c r="S10" t="s">
        <v>1316</v>
      </c>
      <c r="T10" t="s">
        <v>1895</v>
      </c>
      <c r="U10" t="s">
        <v>1887</v>
      </c>
      <c r="V10" t="s">
        <v>777</v>
      </c>
      <c r="W10" t="s">
        <v>775</v>
      </c>
      <c r="X10" t="s">
        <v>1322</v>
      </c>
      <c r="Y10" t="s">
        <v>1358</v>
      </c>
      <c r="Z10" t="s">
        <v>1921</v>
      </c>
      <c r="AA10" t="s">
        <v>493</v>
      </c>
      <c r="AB10" t="s">
        <v>1899</v>
      </c>
      <c r="AC10" t="s">
        <v>1282</v>
      </c>
      <c r="AD10" t="s">
        <v>1922</v>
      </c>
      <c r="AE10" t="s">
        <v>1923</v>
      </c>
      <c r="AF10" t="s">
        <v>1922</v>
      </c>
      <c r="AG10" t="s">
        <v>1923</v>
      </c>
      <c r="AH10" t="s">
        <v>1317</v>
      </c>
      <c r="AI10" t="s">
        <v>1317</v>
      </c>
      <c r="AJ10" t="s">
        <v>1316</v>
      </c>
      <c r="AK10" t="s">
        <v>1895</v>
      </c>
      <c r="AL10" t="s">
        <v>1317</v>
      </c>
      <c r="AM10" t="s">
        <v>1316</v>
      </c>
      <c r="AN10" t="s">
        <v>1895</v>
      </c>
      <c r="AO10" t="s">
        <v>1902</v>
      </c>
      <c r="AP10" t="s">
        <v>1281</v>
      </c>
      <c r="AQ10" t="s">
        <v>1893</v>
      </c>
      <c r="AR10" t="s">
        <v>1281</v>
      </c>
      <c r="AS10" t="s">
        <v>1282</v>
      </c>
      <c r="AT10" t="s">
        <v>1894</v>
      </c>
    </row>
    <row r="11" spans="4:46" x14ac:dyDescent="0.25">
      <c r="D11" t="s">
        <v>705</v>
      </c>
      <c r="E11" s="177" t="str">
        <f>INDEX(tblBOneExport[[INSTRUMENT]:[ISIN]],MATCH(tblGetStaticData[[#This Row],[ISIN]],tblBOneExport[ISIN],0),1)</f>
        <v>ELEC DE FRANCE 6.125 02/06/34 EMTN</v>
      </c>
      <c r="F11" s="155" t="str">
        <f>tblGetStaticData[[#This Row],[iPasL2]]&amp; " " &amp; tblGetStaticData[[#This Row],[Tiering]]</f>
        <v>Foreign Agency SEN</v>
      </c>
      <c r="G11" s="155" t="s">
        <v>1282</v>
      </c>
      <c r="H11" t="s">
        <v>1331</v>
      </c>
      <c r="I11" t="s">
        <v>1331</v>
      </c>
      <c r="J11" t="s">
        <v>1331</v>
      </c>
      <c r="K11" t="s">
        <v>701</v>
      </c>
      <c r="L11" t="s">
        <v>1281</v>
      </c>
      <c r="M11" t="s">
        <v>493</v>
      </c>
      <c r="N11" t="s">
        <v>1882</v>
      </c>
      <c r="O11" t="s">
        <v>1317</v>
      </c>
      <c r="P11" t="s">
        <v>1316</v>
      </c>
      <c r="Q11" t="s">
        <v>1895</v>
      </c>
      <c r="R11" t="s">
        <v>1317</v>
      </c>
      <c r="S11" t="s">
        <v>1316</v>
      </c>
      <c r="T11" t="s">
        <v>1895</v>
      </c>
      <c r="U11" t="s">
        <v>1887</v>
      </c>
      <c r="V11" t="s">
        <v>705</v>
      </c>
      <c r="W11" t="s">
        <v>701</v>
      </c>
      <c r="X11" t="s">
        <v>1322</v>
      </c>
      <c r="Y11" t="s">
        <v>1358</v>
      </c>
      <c r="Z11" t="s">
        <v>1924</v>
      </c>
      <c r="AA11" t="s">
        <v>493</v>
      </c>
      <c r="AB11" t="s">
        <v>1899</v>
      </c>
      <c r="AC11" t="s">
        <v>1282</v>
      </c>
      <c r="AD11" t="s">
        <v>1925</v>
      </c>
      <c r="AE11" t="s">
        <v>1918</v>
      </c>
      <c r="AF11" t="s">
        <v>1925</v>
      </c>
      <c r="AG11" t="s">
        <v>1918</v>
      </c>
      <c r="AH11" t="s">
        <v>1317</v>
      </c>
      <c r="AI11" t="s">
        <v>1317</v>
      </c>
      <c r="AJ11" t="s">
        <v>1316</v>
      </c>
      <c r="AK11" t="s">
        <v>1895</v>
      </c>
      <c r="AL11" t="s">
        <v>1317</v>
      </c>
      <c r="AM11" t="s">
        <v>1316</v>
      </c>
      <c r="AN11" t="s">
        <v>1895</v>
      </c>
      <c r="AO11" t="s">
        <v>1892</v>
      </c>
      <c r="AP11" t="s">
        <v>1281</v>
      </c>
      <c r="AQ11" t="s">
        <v>1281</v>
      </c>
      <c r="AR11" t="s">
        <v>1281</v>
      </c>
      <c r="AS11" t="s">
        <v>1282</v>
      </c>
      <c r="AT11" t="s">
        <v>1894</v>
      </c>
    </row>
    <row r="12" spans="4:46" x14ac:dyDescent="0.25">
      <c r="D12" t="s">
        <v>703</v>
      </c>
      <c r="E12" s="177" t="str">
        <f>INDEX(tblBOneExport[[INSTRUMENT]:[ISIN]],MATCH(tblGetStaticData[[#This Row],[ISIN]],tblBOneExport[ISIN],0),1)</f>
        <v>ELEC DE FRANCE 5.125 22/09/50 EMTN</v>
      </c>
      <c r="F12" s="155" t="str">
        <f>tblGetStaticData[[#This Row],[iPasL2]]&amp; " " &amp; tblGetStaticData[[#This Row],[Tiering]]</f>
        <v>Foreign Agency SEN</v>
      </c>
      <c r="G12" s="155" t="s">
        <v>1282</v>
      </c>
      <c r="H12" t="s">
        <v>1331</v>
      </c>
      <c r="I12" t="s">
        <v>1331</v>
      </c>
      <c r="J12" t="s">
        <v>1331</v>
      </c>
      <c r="K12" t="s">
        <v>701</v>
      </c>
      <c r="L12" t="s">
        <v>1281</v>
      </c>
      <c r="M12" t="s">
        <v>493</v>
      </c>
      <c r="N12" t="s">
        <v>1882</v>
      </c>
      <c r="O12" t="s">
        <v>1317</v>
      </c>
      <c r="P12" t="s">
        <v>1316</v>
      </c>
      <c r="Q12" t="s">
        <v>1895</v>
      </c>
      <c r="R12" t="s">
        <v>1317</v>
      </c>
      <c r="S12" t="s">
        <v>1316</v>
      </c>
      <c r="T12" t="s">
        <v>1895</v>
      </c>
      <c r="U12" t="s">
        <v>1887</v>
      </c>
      <c r="V12" t="s">
        <v>703</v>
      </c>
      <c r="W12" t="s">
        <v>701</v>
      </c>
      <c r="X12" t="s">
        <v>1322</v>
      </c>
      <c r="Y12" t="s">
        <v>1358</v>
      </c>
      <c r="Z12" t="s">
        <v>1924</v>
      </c>
      <c r="AA12" t="s">
        <v>493</v>
      </c>
      <c r="AB12" t="s">
        <v>1899</v>
      </c>
      <c r="AC12" t="s">
        <v>1282</v>
      </c>
      <c r="AD12" t="s">
        <v>1926</v>
      </c>
      <c r="AE12" t="s">
        <v>1904</v>
      </c>
      <c r="AF12" t="s">
        <v>1926</v>
      </c>
      <c r="AG12" t="s">
        <v>1904</v>
      </c>
      <c r="AH12" t="s">
        <v>1317</v>
      </c>
      <c r="AI12" t="s">
        <v>1317</v>
      </c>
      <c r="AJ12" t="s">
        <v>1316</v>
      </c>
      <c r="AK12" t="s">
        <v>1895</v>
      </c>
      <c r="AL12" t="s">
        <v>1317</v>
      </c>
      <c r="AM12" t="s">
        <v>1316</v>
      </c>
      <c r="AN12" t="s">
        <v>1895</v>
      </c>
      <c r="AO12" t="s">
        <v>1892</v>
      </c>
      <c r="AP12" t="s">
        <v>1281</v>
      </c>
      <c r="AQ12" t="s">
        <v>1281</v>
      </c>
      <c r="AR12" t="s">
        <v>1281</v>
      </c>
      <c r="AS12" t="s">
        <v>1282</v>
      </c>
      <c r="AT12" t="s">
        <v>1894</v>
      </c>
    </row>
    <row r="13" spans="4:46" x14ac:dyDescent="0.25">
      <c r="D13" t="s">
        <v>774</v>
      </c>
      <c r="E13" s="177" t="str">
        <f>INDEX(tblBOneExport[[INSTRUMENT]:[ISIN]],MATCH(tblGetStaticData[[#This Row],[ISIN]],tblBOneExport[ISIN],0),1)</f>
        <v>GDF SUEZ 5 01/10/60 EMTN</v>
      </c>
      <c r="F13" s="155" t="str">
        <f>tblGetStaticData[[#This Row],[iPasL2]]&amp; " " &amp; tblGetStaticData[[#This Row],[Tiering]]</f>
        <v>Natural Gas SEN</v>
      </c>
      <c r="G13" s="155" t="s">
        <v>1282</v>
      </c>
      <c r="H13" t="s">
        <v>1326</v>
      </c>
      <c r="I13" t="s">
        <v>1326</v>
      </c>
      <c r="J13" t="s">
        <v>1326</v>
      </c>
      <c r="K13" t="s">
        <v>775</v>
      </c>
      <c r="L13" t="s">
        <v>1281</v>
      </c>
      <c r="M13" t="s">
        <v>493</v>
      </c>
      <c r="N13" t="s">
        <v>1882</v>
      </c>
      <c r="O13" t="s">
        <v>1317</v>
      </c>
      <c r="P13" t="s">
        <v>1316</v>
      </c>
      <c r="Q13" t="s">
        <v>1895</v>
      </c>
      <c r="R13" t="s">
        <v>1317</v>
      </c>
      <c r="S13" t="s">
        <v>1316</v>
      </c>
      <c r="T13" t="s">
        <v>1895</v>
      </c>
      <c r="U13" t="s">
        <v>1887</v>
      </c>
      <c r="V13" t="s">
        <v>774</v>
      </c>
      <c r="W13" t="s">
        <v>775</v>
      </c>
      <c r="X13" t="s">
        <v>1322</v>
      </c>
      <c r="Y13" t="s">
        <v>1358</v>
      </c>
      <c r="Z13" t="s">
        <v>1921</v>
      </c>
      <c r="AA13" t="s">
        <v>493</v>
      </c>
      <c r="AB13" t="s">
        <v>1899</v>
      </c>
      <c r="AC13" t="s">
        <v>1282</v>
      </c>
      <c r="AD13" t="s">
        <v>1927</v>
      </c>
      <c r="AE13" t="s">
        <v>1904</v>
      </c>
      <c r="AF13" t="s">
        <v>1927</v>
      </c>
      <c r="AG13" t="s">
        <v>1904</v>
      </c>
      <c r="AH13" t="s">
        <v>1317</v>
      </c>
      <c r="AI13" t="s">
        <v>1317</v>
      </c>
      <c r="AJ13" t="s">
        <v>1316</v>
      </c>
      <c r="AK13" t="s">
        <v>1895</v>
      </c>
      <c r="AL13" t="s">
        <v>1317</v>
      </c>
      <c r="AM13" t="s">
        <v>1316</v>
      </c>
      <c r="AN13" t="s">
        <v>1895</v>
      </c>
      <c r="AO13" t="s">
        <v>1902</v>
      </c>
      <c r="AP13" t="s">
        <v>1281</v>
      </c>
      <c r="AQ13" t="s">
        <v>1893</v>
      </c>
      <c r="AR13" t="s">
        <v>1281</v>
      </c>
      <c r="AS13" t="s">
        <v>1282</v>
      </c>
      <c r="AT13" t="s">
        <v>1894</v>
      </c>
    </row>
    <row r="14" spans="4:46" x14ac:dyDescent="0.25">
      <c r="D14" t="s">
        <v>700</v>
      </c>
      <c r="E14" s="177" t="str">
        <f>INDEX(tblBOneExport[[INSTRUMENT]:[ISIN]],MATCH(tblGetStaticData[[#This Row],[ISIN]],tblBOneExport[ISIN],0),1)</f>
        <v>ELEC DE FRANCE 5.5 17/10/41 EMTN</v>
      </c>
      <c r="F14" s="155" t="str">
        <f>tblGetStaticData[[#This Row],[iPasL2]]&amp; " " &amp; tblGetStaticData[[#This Row],[Tiering]]</f>
        <v>Foreign Agency SEN</v>
      </c>
      <c r="G14" s="155" t="s">
        <v>1282</v>
      </c>
      <c r="H14" t="s">
        <v>1331</v>
      </c>
      <c r="I14" t="s">
        <v>1331</v>
      </c>
      <c r="J14" t="s">
        <v>1331</v>
      </c>
      <c r="K14" t="s">
        <v>701</v>
      </c>
      <c r="L14" t="s">
        <v>1281</v>
      </c>
      <c r="M14" t="s">
        <v>493</v>
      </c>
      <c r="N14" t="s">
        <v>1882</v>
      </c>
      <c r="O14" t="s">
        <v>1317</v>
      </c>
      <c r="P14" t="s">
        <v>1316</v>
      </c>
      <c r="Q14" t="s">
        <v>1895</v>
      </c>
      <c r="R14" t="s">
        <v>1317</v>
      </c>
      <c r="S14" t="s">
        <v>1316</v>
      </c>
      <c r="T14" t="s">
        <v>1895</v>
      </c>
      <c r="U14" t="s">
        <v>1887</v>
      </c>
      <c r="V14" t="s">
        <v>700</v>
      </c>
      <c r="W14" t="s">
        <v>701</v>
      </c>
      <c r="X14" t="s">
        <v>1322</v>
      </c>
      <c r="Y14" t="s">
        <v>1358</v>
      </c>
      <c r="Z14" t="s">
        <v>1924</v>
      </c>
      <c r="AA14" t="s">
        <v>493</v>
      </c>
      <c r="AB14" t="s">
        <v>1899</v>
      </c>
      <c r="AC14" t="s">
        <v>1282</v>
      </c>
      <c r="AD14" t="s">
        <v>1928</v>
      </c>
      <c r="AE14" t="s">
        <v>1929</v>
      </c>
      <c r="AF14" t="s">
        <v>1928</v>
      </c>
      <c r="AG14" t="s">
        <v>1929</v>
      </c>
      <c r="AH14" t="s">
        <v>1317</v>
      </c>
      <c r="AI14" t="s">
        <v>1317</v>
      </c>
      <c r="AJ14" t="s">
        <v>1316</v>
      </c>
      <c r="AK14" t="s">
        <v>1895</v>
      </c>
      <c r="AL14" t="s">
        <v>1317</v>
      </c>
      <c r="AM14" t="s">
        <v>1316</v>
      </c>
      <c r="AN14" t="s">
        <v>1895</v>
      </c>
      <c r="AO14" t="s">
        <v>1892</v>
      </c>
      <c r="AP14" t="s">
        <v>1281</v>
      </c>
      <c r="AQ14" t="s">
        <v>1281</v>
      </c>
      <c r="AR14" t="s">
        <v>1281</v>
      </c>
      <c r="AS14" t="s">
        <v>1282</v>
      </c>
      <c r="AT14" t="s">
        <v>1894</v>
      </c>
    </row>
    <row r="15" spans="4:46" x14ac:dyDescent="0.25">
      <c r="D15" t="s">
        <v>1148</v>
      </c>
      <c r="E15" s="177" t="str">
        <f>INDEX(tblBOneExport[[INSTRUMENT]:[ISIN]],MATCH(tblGetStaticData[[#This Row],[ISIN]],tblBOneExport[ISIN],0),1)</f>
        <v>SUEZ ENVIRON 5.375 02/12/30 EMTN</v>
      </c>
      <c r="F15" s="155" t="str">
        <f>tblGetStaticData[[#This Row],[iPasL2]]&amp; " " &amp; tblGetStaticData[[#This Row],[Tiering]]</f>
        <v>Other Utility SEN</v>
      </c>
      <c r="G15" s="155" t="s">
        <v>1282</v>
      </c>
      <c r="H15" t="s">
        <v>1323</v>
      </c>
      <c r="I15" t="s">
        <v>1323</v>
      </c>
      <c r="J15" t="s">
        <v>1323</v>
      </c>
      <c r="K15" t="s">
        <v>1149</v>
      </c>
      <c r="L15" t="s">
        <v>1332</v>
      </c>
      <c r="M15" t="s">
        <v>493</v>
      </c>
      <c r="N15" t="s">
        <v>1882</v>
      </c>
      <c r="O15" t="s">
        <v>1317</v>
      </c>
      <c r="P15" t="s">
        <v>1316</v>
      </c>
      <c r="Q15" t="s">
        <v>1895</v>
      </c>
      <c r="R15" t="s">
        <v>1317</v>
      </c>
      <c r="S15" t="s">
        <v>1316</v>
      </c>
      <c r="T15" t="s">
        <v>1895</v>
      </c>
      <c r="U15" t="s">
        <v>1887</v>
      </c>
      <c r="V15" t="s">
        <v>1148</v>
      </c>
      <c r="W15" t="s">
        <v>1149</v>
      </c>
      <c r="X15" t="s">
        <v>1322</v>
      </c>
      <c r="Y15" t="s">
        <v>1888</v>
      </c>
      <c r="Z15" t="s">
        <v>1888</v>
      </c>
      <c r="AA15" t="s">
        <v>493</v>
      </c>
      <c r="AB15" t="s">
        <v>1899</v>
      </c>
      <c r="AC15" t="s">
        <v>1282</v>
      </c>
      <c r="AD15" t="s">
        <v>1930</v>
      </c>
      <c r="AE15" t="s">
        <v>1931</v>
      </c>
      <c r="AF15" t="s">
        <v>1930</v>
      </c>
      <c r="AG15" t="s">
        <v>1931</v>
      </c>
      <c r="AH15" t="s">
        <v>1317</v>
      </c>
      <c r="AI15" t="s">
        <v>1317</v>
      </c>
      <c r="AJ15" t="s">
        <v>1316</v>
      </c>
      <c r="AK15" t="s">
        <v>1895</v>
      </c>
      <c r="AL15" t="s">
        <v>1317</v>
      </c>
      <c r="AM15" t="s">
        <v>1316</v>
      </c>
      <c r="AN15" t="s">
        <v>1895</v>
      </c>
      <c r="AO15" t="s">
        <v>1892</v>
      </c>
      <c r="AP15" t="s">
        <v>1893</v>
      </c>
      <c r="AQ15" t="s">
        <v>1893</v>
      </c>
      <c r="AR15" t="s">
        <v>1873</v>
      </c>
      <c r="AS15" t="s">
        <v>1282</v>
      </c>
      <c r="AT15" t="s">
        <v>1894</v>
      </c>
    </row>
    <row r="16" spans="4:46" x14ac:dyDescent="0.25">
      <c r="D16" t="s">
        <v>918</v>
      </c>
      <c r="E16" s="177" t="str">
        <f>INDEX(tblBOneExport[[INSTRUMENT]:[ISIN]],MATCH(tblGetStaticData[[#This Row],[ISIN]],tblBOneExport[ISIN],0),1)</f>
        <v>LVMH MOET HENNES 1.625 20/12/17 EMTN</v>
      </c>
      <c r="F16" s="155" t="str">
        <f>tblGetStaticData[[#This Row],[iPasL2]]&amp; " " &amp; tblGetStaticData[[#This Row],[Tiering]]</f>
        <v>Consumer Noncyclical SEN</v>
      </c>
      <c r="G16" s="155" t="s">
        <v>1282</v>
      </c>
      <c r="H16" t="s">
        <v>1279</v>
      </c>
      <c r="I16" t="s">
        <v>1279</v>
      </c>
      <c r="J16" t="s">
        <v>1343</v>
      </c>
      <c r="K16" t="s">
        <v>919</v>
      </c>
      <c r="L16" t="s">
        <v>1332</v>
      </c>
      <c r="M16" t="s">
        <v>493</v>
      </c>
      <c r="N16" t="s">
        <v>1882</v>
      </c>
      <c r="O16" t="s">
        <v>1317</v>
      </c>
      <c r="P16" t="s">
        <v>1316</v>
      </c>
      <c r="Q16" t="s">
        <v>1895</v>
      </c>
      <c r="R16" t="s">
        <v>1317</v>
      </c>
      <c r="S16" t="s">
        <v>1316</v>
      </c>
      <c r="T16" t="s">
        <v>1895</v>
      </c>
      <c r="U16" t="s">
        <v>1887</v>
      </c>
      <c r="V16" t="s">
        <v>918</v>
      </c>
      <c r="W16" t="s">
        <v>919</v>
      </c>
      <c r="X16" t="s">
        <v>1932</v>
      </c>
      <c r="Y16" t="s">
        <v>1933</v>
      </c>
      <c r="Z16" t="s">
        <v>1934</v>
      </c>
      <c r="AA16" t="s">
        <v>493</v>
      </c>
      <c r="AB16" t="s">
        <v>1899</v>
      </c>
      <c r="AC16" t="s">
        <v>1282</v>
      </c>
      <c r="AD16" t="s">
        <v>1935</v>
      </c>
      <c r="AE16" t="s">
        <v>1936</v>
      </c>
      <c r="AF16" t="s">
        <v>1935</v>
      </c>
      <c r="AG16" t="s">
        <v>1936</v>
      </c>
      <c r="AH16" t="s">
        <v>1317</v>
      </c>
      <c r="AI16" t="s">
        <v>1317</v>
      </c>
      <c r="AJ16" t="s">
        <v>1316</v>
      </c>
      <c r="AK16" t="s">
        <v>1895</v>
      </c>
      <c r="AL16" t="s">
        <v>1317</v>
      </c>
      <c r="AM16" t="s">
        <v>1316</v>
      </c>
      <c r="AN16" t="s">
        <v>1895</v>
      </c>
      <c r="AO16" t="s">
        <v>1893</v>
      </c>
      <c r="AP16" t="s">
        <v>1293</v>
      </c>
      <c r="AQ16" t="s">
        <v>1893</v>
      </c>
      <c r="AR16" t="s">
        <v>1873</v>
      </c>
      <c r="AS16" t="s">
        <v>1282</v>
      </c>
      <c r="AT16" t="s">
        <v>1894</v>
      </c>
    </row>
    <row r="17" spans="4:46" x14ac:dyDescent="0.25">
      <c r="D17" t="s">
        <v>1176</v>
      </c>
      <c r="E17" s="177" t="str">
        <f>INDEX(tblBOneExport[[INSTRUMENT]:[ISIN]],MATCH(tblGetStaticData[[#This Row],[ISIN]],tblBOneExport[ISIN],0),1)</f>
        <v>TNT N.V. 7.5 14/08/18</v>
      </c>
      <c r="F17" s="155" t="str">
        <f>tblGetStaticData[[#This Row],[iPasL2]]&amp; " " &amp; tblGetStaticData[[#This Row],[Tiering]]</f>
        <v>Transportation SEN</v>
      </c>
      <c r="G17" s="155" t="s">
        <v>1282</v>
      </c>
      <c r="H17" t="s">
        <v>1348</v>
      </c>
      <c r="I17" t="s">
        <v>1348</v>
      </c>
      <c r="J17" t="s">
        <v>1348</v>
      </c>
      <c r="K17" t="s">
        <v>1177</v>
      </c>
      <c r="L17" t="s">
        <v>1288</v>
      </c>
      <c r="M17" t="s">
        <v>493</v>
      </c>
      <c r="N17" t="s">
        <v>1882</v>
      </c>
      <c r="O17" t="s">
        <v>1295</v>
      </c>
      <c r="P17" t="s">
        <v>1294</v>
      </c>
      <c r="Q17" t="s">
        <v>1895</v>
      </c>
      <c r="R17" t="s">
        <v>1295</v>
      </c>
      <c r="S17" t="s">
        <v>1294</v>
      </c>
      <c r="T17" t="s">
        <v>1895</v>
      </c>
      <c r="U17" t="s">
        <v>1887</v>
      </c>
      <c r="V17" t="s">
        <v>1176</v>
      </c>
      <c r="W17" t="s">
        <v>1177</v>
      </c>
      <c r="X17" t="s">
        <v>1937</v>
      </c>
      <c r="Y17" t="s">
        <v>1348</v>
      </c>
      <c r="Z17" t="s">
        <v>1938</v>
      </c>
      <c r="AA17" t="s">
        <v>493</v>
      </c>
      <c r="AB17" t="s">
        <v>1899</v>
      </c>
      <c r="AC17" t="s">
        <v>1282</v>
      </c>
      <c r="AD17" t="s">
        <v>1939</v>
      </c>
      <c r="AE17" t="s">
        <v>1936</v>
      </c>
      <c r="AF17" t="s">
        <v>1939</v>
      </c>
      <c r="AG17" t="s">
        <v>1936</v>
      </c>
      <c r="AH17" t="s">
        <v>1295</v>
      </c>
      <c r="AI17" t="s">
        <v>1295</v>
      </c>
      <c r="AJ17" t="s">
        <v>1294</v>
      </c>
      <c r="AK17" t="s">
        <v>1895</v>
      </c>
      <c r="AL17" t="s">
        <v>1295</v>
      </c>
      <c r="AM17" t="s">
        <v>1294</v>
      </c>
      <c r="AN17" t="s">
        <v>1895</v>
      </c>
      <c r="AO17" t="s">
        <v>1940</v>
      </c>
      <c r="AP17" t="s">
        <v>1315</v>
      </c>
      <c r="AQ17" t="s">
        <v>1893</v>
      </c>
      <c r="AR17" t="s">
        <v>1288</v>
      </c>
      <c r="AS17" t="s">
        <v>1282</v>
      </c>
      <c r="AT17" t="s">
        <v>1894</v>
      </c>
    </row>
    <row r="18" spans="4:46" x14ac:dyDescent="0.25">
      <c r="D18" t="s">
        <v>739</v>
      </c>
      <c r="E18" s="177" t="str">
        <f>INDEX(tblBOneExport[[INSTRUMENT]:[ISIN]],MATCH(tblGetStaticData[[#This Row],[ISIN]],tblBOneExport[ISIN],0),1)</f>
        <v>EUROPEAN INVT BK 8.75 25/08/17</v>
      </c>
      <c r="F18" s="155" t="str">
        <f>tblGetStaticData[[#This Row],[iPasL2]]&amp; " " &amp; tblGetStaticData[[#This Row],[Tiering]]</f>
        <v>Supranationals SEN</v>
      </c>
      <c r="G18" s="155" t="s">
        <v>1282</v>
      </c>
      <c r="H18" t="s">
        <v>1352</v>
      </c>
      <c r="I18" t="s">
        <v>1352</v>
      </c>
      <c r="J18" t="s">
        <v>1352</v>
      </c>
      <c r="K18" t="s">
        <v>733</v>
      </c>
      <c r="L18" t="s">
        <v>1353</v>
      </c>
      <c r="M18" t="s">
        <v>493</v>
      </c>
      <c r="N18" t="s">
        <v>1882</v>
      </c>
      <c r="O18" t="s">
        <v>1522</v>
      </c>
      <c r="P18" t="s">
        <v>1521</v>
      </c>
      <c r="Q18" t="s">
        <v>1895</v>
      </c>
      <c r="R18" t="s">
        <v>1522</v>
      </c>
      <c r="S18" t="s">
        <v>1521</v>
      </c>
      <c r="T18" t="s">
        <v>1895</v>
      </c>
      <c r="U18" t="s">
        <v>1941</v>
      </c>
      <c r="V18" t="s">
        <v>739</v>
      </c>
      <c r="W18" t="s">
        <v>733</v>
      </c>
      <c r="X18" t="s">
        <v>1942</v>
      </c>
      <c r="Y18" t="s">
        <v>1943</v>
      </c>
      <c r="Z18" t="s">
        <v>1944</v>
      </c>
      <c r="AA18" t="s">
        <v>493</v>
      </c>
      <c r="AB18" t="s">
        <v>1899</v>
      </c>
      <c r="AC18" t="s">
        <v>1282</v>
      </c>
      <c r="AD18" t="s">
        <v>1945</v>
      </c>
      <c r="AE18" t="s">
        <v>1936</v>
      </c>
      <c r="AF18" t="s">
        <v>1945</v>
      </c>
      <c r="AG18" t="s">
        <v>1936</v>
      </c>
      <c r="AH18" t="s">
        <v>1946</v>
      </c>
      <c r="AI18" t="s">
        <v>1522</v>
      </c>
      <c r="AJ18" t="s">
        <v>1521</v>
      </c>
      <c r="AK18" t="s">
        <v>1895</v>
      </c>
      <c r="AL18" t="s">
        <v>1946</v>
      </c>
      <c r="AO18" t="s">
        <v>1947</v>
      </c>
      <c r="AP18" t="s">
        <v>1353</v>
      </c>
      <c r="AQ18" t="s">
        <v>1353</v>
      </c>
      <c r="AR18" t="s">
        <v>1353</v>
      </c>
      <c r="AS18" t="s">
        <v>1282</v>
      </c>
      <c r="AT18" t="s">
        <v>1894</v>
      </c>
    </row>
    <row r="19" spans="4:46" x14ac:dyDescent="0.25">
      <c r="D19" t="s">
        <v>690</v>
      </c>
      <c r="E19" s="177" t="str">
        <f>INDEX(tblBOneExport[[INSTRUMENT]:[ISIN]],MATCH(tblGetStaticData[[#This Row],[ISIN]],tblBOneExport[ISIN],0),1)</f>
        <v>EDF NRG NET EPN 8.5 31/03/25</v>
      </c>
      <c r="F19" s="155" t="str">
        <f>tblGetStaticData[[#This Row],[iPasL2]]&amp; " " &amp; tblGetStaticData[[#This Row],[Tiering]]</f>
        <v>Electric SEN</v>
      </c>
      <c r="G19" s="155" t="s">
        <v>1282</v>
      </c>
      <c r="H19" t="s">
        <v>1358</v>
      </c>
      <c r="I19" t="s">
        <v>1358</v>
      </c>
      <c r="J19" t="s">
        <v>1358</v>
      </c>
      <c r="K19" t="s">
        <v>691</v>
      </c>
      <c r="L19" t="s">
        <v>1315</v>
      </c>
      <c r="M19" t="s">
        <v>493</v>
      </c>
      <c r="N19" t="s">
        <v>1882</v>
      </c>
      <c r="O19" t="s">
        <v>1360</v>
      </c>
      <c r="P19" t="s">
        <v>1885</v>
      </c>
      <c r="Q19" t="s">
        <v>1886</v>
      </c>
      <c r="R19" t="s">
        <v>1360</v>
      </c>
      <c r="S19" t="s">
        <v>1885</v>
      </c>
      <c r="T19" t="s">
        <v>1886</v>
      </c>
      <c r="U19" t="s">
        <v>1887</v>
      </c>
      <c r="V19" t="s">
        <v>690</v>
      </c>
      <c r="W19" t="s">
        <v>691</v>
      </c>
      <c r="X19" t="s">
        <v>1322</v>
      </c>
      <c r="Y19" t="s">
        <v>1358</v>
      </c>
      <c r="Z19" t="s">
        <v>1948</v>
      </c>
      <c r="AA19" t="s">
        <v>493</v>
      </c>
      <c r="AB19" t="s">
        <v>1899</v>
      </c>
      <c r="AC19" t="s">
        <v>1282</v>
      </c>
      <c r="AD19" t="s">
        <v>1949</v>
      </c>
      <c r="AE19" t="s">
        <v>1908</v>
      </c>
      <c r="AF19" t="s">
        <v>1949</v>
      </c>
      <c r="AG19" t="s">
        <v>1908</v>
      </c>
      <c r="AH19" t="s">
        <v>1360</v>
      </c>
      <c r="AI19" t="s">
        <v>1360</v>
      </c>
      <c r="AJ19" t="s">
        <v>1885</v>
      </c>
      <c r="AK19" t="s">
        <v>1886</v>
      </c>
      <c r="AL19" t="s">
        <v>1360</v>
      </c>
      <c r="AM19" t="s">
        <v>1885</v>
      </c>
      <c r="AN19" t="s">
        <v>1886</v>
      </c>
      <c r="AO19" t="s">
        <v>1916</v>
      </c>
      <c r="AP19" t="s">
        <v>1315</v>
      </c>
      <c r="AQ19" t="s">
        <v>1315</v>
      </c>
      <c r="AR19" t="s">
        <v>1315</v>
      </c>
      <c r="AS19" t="s">
        <v>1282</v>
      </c>
      <c r="AT19" t="s">
        <v>1894</v>
      </c>
    </row>
    <row r="20" spans="4:46" x14ac:dyDescent="0.25">
      <c r="D20" t="s">
        <v>712</v>
      </c>
      <c r="E20" s="177" t="str">
        <f>INDEX(tblBOneExport[[INSTRUMENT]:[ISIN]],MATCH(tblGetStaticData[[#This Row],[ISIN]],tblBOneExport[ISIN],0),1)</f>
        <v>UNITED UTIL ELEC 8.875 25/03/26 BR</v>
      </c>
      <c r="F20" s="155" t="str">
        <f>tblGetStaticData[[#This Row],[iPasL2]]&amp; " " &amp; tblGetStaticData[[#This Row],[Tiering]]</f>
        <v>Electric SEN</v>
      </c>
      <c r="G20" s="155" t="s">
        <v>1282</v>
      </c>
      <c r="H20" t="s">
        <v>1358</v>
      </c>
      <c r="I20" t="s">
        <v>1358</v>
      </c>
      <c r="J20" t="s">
        <v>1358</v>
      </c>
      <c r="K20" t="s">
        <v>713</v>
      </c>
      <c r="L20" t="s">
        <v>1315</v>
      </c>
      <c r="M20" t="s">
        <v>493</v>
      </c>
      <c r="N20" t="s">
        <v>1882</v>
      </c>
      <c r="O20" t="s">
        <v>1360</v>
      </c>
      <c r="P20" t="s">
        <v>1885</v>
      </c>
      <c r="Q20" t="s">
        <v>1886</v>
      </c>
      <c r="R20" t="s">
        <v>1360</v>
      </c>
      <c r="S20" t="s">
        <v>1885</v>
      </c>
      <c r="T20" t="s">
        <v>1886</v>
      </c>
      <c r="U20" t="s">
        <v>1887</v>
      </c>
      <c r="V20" t="s">
        <v>712</v>
      </c>
      <c r="W20" t="s">
        <v>713</v>
      </c>
      <c r="X20" t="s">
        <v>1322</v>
      </c>
      <c r="Y20" t="s">
        <v>1358</v>
      </c>
      <c r="Z20" t="s">
        <v>1948</v>
      </c>
      <c r="AA20" t="s">
        <v>493</v>
      </c>
      <c r="AB20" t="s">
        <v>1899</v>
      </c>
      <c r="AC20" t="s">
        <v>1282</v>
      </c>
      <c r="AD20" t="s">
        <v>1950</v>
      </c>
      <c r="AE20" t="s">
        <v>1951</v>
      </c>
      <c r="AF20" t="s">
        <v>1950</v>
      </c>
      <c r="AG20" t="s">
        <v>1951</v>
      </c>
      <c r="AH20" t="s">
        <v>1360</v>
      </c>
      <c r="AI20" t="s">
        <v>1360</v>
      </c>
      <c r="AJ20" t="s">
        <v>1885</v>
      </c>
      <c r="AK20" t="s">
        <v>1886</v>
      </c>
      <c r="AL20" t="s">
        <v>1360</v>
      </c>
      <c r="AM20" t="s">
        <v>1885</v>
      </c>
      <c r="AN20" t="s">
        <v>1886</v>
      </c>
      <c r="AO20" t="s">
        <v>1916</v>
      </c>
      <c r="AP20" t="s">
        <v>1315</v>
      </c>
      <c r="AQ20" t="s">
        <v>1281</v>
      </c>
      <c r="AR20" t="s">
        <v>1315</v>
      </c>
      <c r="AS20" t="s">
        <v>1282</v>
      </c>
      <c r="AT20" t="s">
        <v>1894</v>
      </c>
    </row>
    <row r="21" spans="4:46" x14ac:dyDescent="0.25">
      <c r="D21" t="s">
        <v>1050</v>
      </c>
      <c r="E21" s="177" t="str">
        <f>INDEX(tblBOneExport[[INSTRUMENT]:[ISIN]],MATCH(tblGetStaticData[[#This Row],[ISIN]],tblBOneExport[ISIN],0),1)</f>
        <v>SOUTH WALES ELEC 9.25 09/11/20</v>
      </c>
      <c r="F21" s="155" t="str">
        <f>tblGetStaticData[[#This Row],[iPasL2]]&amp; " " &amp; tblGetStaticData[[#This Row],[Tiering]]</f>
        <v>Electric SEN</v>
      </c>
      <c r="G21" s="155" t="s">
        <v>1282</v>
      </c>
      <c r="H21" t="s">
        <v>1358</v>
      </c>
      <c r="I21" t="s">
        <v>1358</v>
      </c>
      <c r="J21" t="s">
        <v>1358</v>
      </c>
      <c r="K21" t="s">
        <v>1051</v>
      </c>
      <c r="L21" t="s">
        <v>1288</v>
      </c>
      <c r="M21" t="s">
        <v>493</v>
      </c>
      <c r="N21" t="s">
        <v>1882</v>
      </c>
      <c r="O21" t="s">
        <v>1360</v>
      </c>
      <c r="P21" t="s">
        <v>1885</v>
      </c>
      <c r="Q21" t="s">
        <v>1886</v>
      </c>
      <c r="R21" t="s">
        <v>1360</v>
      </c>
      <c r="S21" t="s">
        <v>1885</v>
      </c>
      <c r="T21" t="s">
        <v>1886</v>
      </c>
      <c r="U21" t="s">
        <v>1887</v>
      </c>
      <c r="V21" t="s">
        <v>1050</v>
      </c>
      <c r="W21" t="s">
        <v>1051</v>
      </c>
      <c r="X21" t="s">
        <v>1322</v>
      </c>
      <c r="Y21" t="s">
        <v>1358</v>
      </c>
      <c r="Z21" t="s">
        <v>1948</v>
      </c>
      <c r="AA21" t="s">
        <v>493</v>
      </c>
      <c r="AB21" t="s">
        <v>1899</v>
      </c>
      <c r="AC21" t="s">
        <v>1282</v>
      </c>
      <c r="AD21" t="s">
        <v>1952</v>
      </c>
      <c r="AE21" t="s">
        <v>1915</v>
      </c>
      <c r="AF21" t="s">
        <v>1952</v>
      </c>
      <c r="AG21" t="s">
        <v>1915</v>
      </c>
      <c r="AH21" t="s">
        <v>1360</v>
      </c>
      <c r="AI21" t="s">
        <v>1360</v>
      </c>
      <c r="AJ21" t="s">
        <v>1885</v>
      </c>
      <c r="AK21" t="s">
        <v>1886</v>
      </c>
      <c r="AL21" t="s">
        <v>1360</v>
      </c>
      <c r="AM21" t="s">
        <v>1885</v>
      </c>
      <c r="AN21" t="s">
        <v>1886</v>
      </c>
      <c r="AO21" t="s">
        <v>1916</v>
      </c>
      <c r="AP21" t="s">
        <v>1281</v>
      </c>
      <c r="AQ21" t="s">
        <v>1953</v>
      </c>
      <c r="AR21" t="s">
        <v>1873</v>
      </c>
      <c r="AS21" t="s">
        <v>1282</v>
      </c>
      <c r="AT21" t="s">
        <v>1894</v>
      </c>
    </row>
    <row r="22" spans="4:46" x14ac:dyDescent="0.25">
      <c r="D22" t="s">
        <v>1013</v>
      </c>
      <c r="E22" s="177" t="str">
        <f>INDEX(tblBOneExport[[INSTRUMENT]:[ISIN]],MATCH(tblGetStaticData[[#This Row],[ISIN]],tblBOneExport[ISIN],0),1)</f>
        <v>NORTHUMBRIAN WTR 6.875 06/02/23</v>
      </c>
      <c r="F22" s="155" t="str">
        <f>tblGetStaticData[[#This Row],[iPasL2]]&amp; " " &amp; tblGetStaticData[[#This Row],[Tiering]]</f>
        <v>Other Utility SEN</v>
      </c>
      <c r="G22" s="155" t="s">
        <v>1282</v>
      </c>
      <c r="H22" t="s">
        <v>1323</v>
      </c>
      <c r="I22" t="s">
        <v>1323</v>
      </c>
      <c r="J22" t="s">
        <v>1323</v>
      </c>
      <c r="K22" t="s">
        <v>1011</v>
      </c>
      <c r="L22" t="s">
        <v>1288</v>
      </c>
      <c r="M22" t="s">
        <v>493</v>
      </c>
      <c r="N22" t="s">
        <v>1882</v>
      </c>
      <c r="O22" t="s">
        <v>1360</v>
      </c>
      <c r="P22" t="s">
        <v>1885</v>
      </c>
      <c r="Q22" t="s">
        <v>1886</v>
      </c>
      <c r="R22" t="s">
        <v>1360</v>
      </c>
      <c r="S22" t="s">
        <v>1885</v>
      </c>
      <c r="T22" t="s">
        <v>1886</v>
      </c>
      <c r="U22" t="s">
        <v>1887</v>
      </c>
      <c r="V22" t="s">
        <v>1013</v>
      </c>
      <c r="W22" t="s">
        <v>1011</v>
      </c>
      <c r="X22" t="s">
        <v>1322</v>
      </c>
      <c r="Y22" t="s">
        <v>1888</v>
      </c>
      <c r="Z22" t="s">
        <v>1888</v>
      </c>
      <c r="AA22" t="s">
        <v>493</v>
      </c>
      <c r="AB22" t="s">
        <v>1899</v>
      </c>
      <c r="AC22" t="s">
        <v>1282</v>
      </c>
      <c r="AD22" t="s">
        <v>1954</v>
      </c>
      <c r="AE22" t="s">
        <v>1955</v>
      </c>
      <c r="AF22" t="s">
        <v>1954</v>
      </c>
      <c r="AG22" t="s">
        <v>1955</v>
      </c>
      <c r="AH22" t="s">
        <v>1360</v>
      </c>
      <c r="AI22" t="s">
        <v>1360</v>
      </c>
      <c r="AJ22" t="s">
        <v>1885</v>
      </c>
      <c r="AK22" t="s">
        <v>1886</v>
      </c>
      <c r="AL22" t="s">
        <v>1360</v>
      </c>
      <c r="AM22" t="s">
        <v>1885</v>
      </c>
      <c r="AN22" t="s">
        <v>1886</v>
      </c>
      <c r="AO22" t="s">
        <v>1893</v>
      </c>
      <c r="AP22" t="s">
        <v>1315</v>
      </c>
      <c r="AQ22" t="s">
        <v>1953</v>
      </c>
      <c r="AR22" t="s">
        <v>1873</v>
      </c>
      <c r="AS22" t="s">
        <v>1282</v>
      </c>
      <c r="AT22" t="s">
        <v>1894</v>
      </c>
    </row>
    <row r="23" spans="4:46" x14ac:dyDescent="0.25">
      <c r="D23" t="s">
        <v>732</v>
      </c>
      <c r="E23" s="177" t="str">
        <f>INDEX(tblBOneExport[[INSTRUMENT]:[ISIN]],MATCH(tblGetStaticData[[#This Row],[ISIN]],tblBOneExport[ISIN],0),1)</f>
        <v>EUROPEAN INVT BK 6 07/12/28</v>
      </c>
      <c r="F23" s="155" t="str">
        <f>tblGetStaticData[[#This Row],[iPasL2]]&amp; " " &amp; tblGetStaticData[[#This Row],[Tiering]]</f>
        <v>Supranationals SEN</v>
      </c>
      <c r="G23" s="155" t="s">
        <v>1282</v>
      </c>
      <c r="H23" t="s">
        <v>1352</v>
      </c>
      <c r="I23" t="s">
        <v>1352</v>
      </c>
      <c r="J23" t="s">
        <v>1352</v>
      </c>
      <c r="K23" t="s">
        <v>733</v>
      </c>
      <c r="L23" t="s">
        <v>1353</v>
      </c>
      <c r="M23" t="s">
        <v>493</v>
      </c>
      <c r="N23" t="s">
        <v>1882</v>
      </c>
      <c r="O23" t="s">
        <v>1522</v>
      </c>
      <c r="P23" t="s">
        <v>1521</v>
      </c>
      <c r="Q23" t="s">
        <v>1895</v>
      </c>
      <c r="R23" t="s">
        <v>1522</v>
      </c>
      <c r="S23" t="s">
        <v>1521</v>
      </c>
      <c r="T23" t="s">
        <v>1895</v>
      </c>
      <c r="U23" t="s">
        <v>1941</v>
      </c>
      <c r="V23" t="s">
        <v>732</v>
      </c>
      <c r="W23" t="s">
        <v>733</v>
      </c>
      <c r="X23" t="s">
        <v>1942</v>
      </c>
      <c r="Y23" t="s">
        <v>1943</v>
      </c>
      <c r="Z23" t="s">
        <v>1944</v>
      </c>
      <c r="AA23" t="s">
        <v>493</v>
      </c>
      <c r="AB23" t="s">
        <v>1899</v>
      </c>
      <c r="AC23" t="s">
        <v>1282</v>
      </c>
      <c r="AD23" t="s">
        <v>1956</v>
      </c>
      <c r="AE23" t="s">
        <v>1923</v>
      </c>
      <c r="AF23" t="s">
        <v>1956</v>
      </c>
      <c r="AG23" t="s">
        <v>1923</v>
      </c>
      <c r="AH23" t="s">
        <v>1946</v>
      </c>
      <c r="AI23" t="s">
        <v>1522</v>
      </c>
      <c r="AJ23" t="s">
        <v>1521</v>
      </c>
      <c r="AK23" t="s">
        <v>1895</v>
      </c>
      <c r="AL23" t="s">
        <v>1946</v>
      </c>
      <c r="AO23" t="s">
        <v>1947</v>
      </c>
      <c r="AP23" t="s">
        <v>1353</v>
      </c>
      <c r="AQ23" t="s">
        <v>1353</v>
      </c>
      <c r="AR23" t="s">
        <v>1353</v>
      </c>
      <c r="AS23" t="s">
        <v>1282</v>
      </c>
      <c r="AT23" t="s">
        <v>1894</v>
      </c>
    </row>
    <row r="24" spans="4:46" x14ac:dyDescent="0.25">
      <c r="D24" t="s">
        <v>843</v>
      </c>
      <c r="E24" s="177" t="str">
        <f>INDEX(tblBOneExport[[INSTRUMENT]:[ISIN]],MATCH(tblGetStaticData[[#This Row],[ISIN]],tblBOneExport[ISIN],0),1)</f>
        <v>SCOTTISH PWR UK 6.75 29/05/23 EMTN</v>
      </c>
      <c r="F24" s="155" t="str">
        <f>tblGetStaticData[[#This Row],[iPasL2]]&amp; " " &amp; tblGetStaticData[[#This Row],[Tiering]]</f>
        <v>Electric SEN</v>
      </c>
      <c r="G24" s="155" t="s">
        <v>1282</v>
      </c>
      <c r="H24" t="s">
        <v>1358</v>
      </c>
      <c r="I24" t="s">
        <v>1358</v>
      </c>
      <c r="J24" t="s">
        <v>1358</v>
      </c>
      <c r="K24" t="s">
        <v>844</v>
      </c>
      <c r="L24" t="s">
        <v>1315</v>
      </c>
      <c r="M24" t="s">
        <v>493</v>
      </c>
      <c r="N24" t="s">
        <v>1882</v>
      </c>
      <c r="O24" t="s">
        <v>1360</v>
      </c>
      <c r="P24" t="s">
        <v>1885</v>
      </c>
      <c r="Q24" t="s">
        <v>1886</v>
      </c>
      <c r="R24" t="s">
        <v>1360</v>
      </c>
      <c r="S24" t="s">
        <v>1885</v>
      </c>
      <c r="T24" t="s">
        <v>1886</v>
      </c>
      <c r="U24" t="s">
        <v>1887</v>
      </c>
      <c r="V24" t="s">
        <v>843</v>
      </c>
      <c r="W24" t="s">
        <v>844</v>
      </c>
      <c r="X24" t="s">
        <v>1322</v>
      </c>
      <c r="Y24" t="s">
        <v>1358</v>
      </c>
      <c r="Z24" t="s">
        <v>1921</v>
      </c>
      <c r="AA24" t="s">
        <v>493</v>
      </c>
      <c r="AB24" t="s">
        <v>1899</v>
      </c>
      <c r="AC24" t="s">
        <v>1282</v>
      </c>
      <c r="AD24" t="s">
        <v>1957</v>
      </c>
      <c r="AE24" t="s">
        <v>1955</v>
      </c>
      <c r="AF24" t="s">
        <v>1957</v>
      </c>
      <c r="AG24" t="s">
        <v>1955</v>
      </c>
      <c r="AH24" t="s">
        <v>1360</v>
      </c>
      <c r="AI24" t="s">
        <v>1360</v>
      </c>
      <c r="AJ24" t="s">
        <v>1885</v>
      </c>
      <c r="AK24" t="s">
        <v>1886</v>
      </c>
      <c r="AL24" t="s">
        <v>1360</v>
      </c>
      <c r="AM24" t="s">
        <v>1885</v>
      </c>
      <c r="AN24" t="s">
        <v>1886</v>
      </c>
      <c r="AO24" t="s">
        <v>1916</v>
      </c>
      <c r="AP24" t="s">
        <v>1315</v>
      </c>
      <c r="AQ24" t="s">
        <v>1281</v>
      </c>
      <c r="AR24" t="s">
        <v>1315</v>
      </c>
      <c r="AS24" t="s">
        <v>1282</v>
      </c>
      <c r="AT24" t="s">
        <v>1894</v>
      </c>
    </row>
    <row r="25" spans="4:46" x14ac:dyDescent="0.25">
      <c r="D25" t="s">
        <v>531</v>
      </c>
      <c r="E25" s="177" t="str">
        <f>INDEX(tblBOneExport[[INSTRUMENT]:[ISIN]],MATCH(tblGetStaticData[[#This Row],[ISIN]],tblBOneExport[ISIN],0),1)</f>
        <v>ANGLIAN WAT FIN 6.875 21/08/23</v>
      </c>
      <c r="F25" s="155" t="str">
        <f>tblGetStaticData[[#This Row],[iPasL2]]&amp; " " &amp; tblGetStaticData[[#This Row],[Tiering]]</f>
        <v>Other Utility SEN</v>
      </c>
      <c r="G25" s="155" t="s">
        <v>1282</v>
      </c>
      <c r="H25" t="s">
        <v>1323</v>
      </c>
      <c r="I25" t="s">
        <v>1323</v>
      </c>
      <c r="J25" t="s">
        <v>1323</v>
      </c>
      <c r="K25" t="s">
        <v>532</v>
      </c>
      <c r="L25" t="s">
        <v>1281</v>
      </c>
      <c r="M25" t="s">
        <v>493</v>
      </c>
      <c r="N25" t="s">
        <v>1882</v>
      </c>
      <c r="O25" t="s">
        <v>1360</v>
      </c>
      <c r="P25" t="s">
        <v>1885</v>
      </c>
      <c r="Q25" t="s">
        <v>1886</v>
      </c>
      <c r="R25" t="s">
        <v>1360</v>
      </c>
      <c r="S25" t="s">
        <v>1885</v>
      </c>
      <c r="T25" t="s">
        <v>1886</v>
      </c>
      <c r="U25" t="s">
        <v>1887</v>
      </c>
      <c r="V25" t="s">
        <v>531</v>
      </c>
      <c r="W25" t="s">
        <v>532</v>
      </c>
      <c r="X25" t="s">
        <v>1322</v>
      </c>
      <c r="Y25" t="s">
        <v>1888</v>
      </c>
      <c r="Z25" t="s">
        <v>1888</v>
      </c>
      <c r="AA25" t="s">
        <v>493</v>
      </c>
      <c r="AB25" t="s">
        <v>1899</v>
      </c>
      <c r="AC25" t="s">
        <v>1282</v>
      </c>
      <c r="AD25" t="s">
        <v>1958</v>
      </c>
      <c r="AE25" t="s">
        <v>1955</v>
      </c>
      <c r="AF25" t="s">
        <v>1958</v>
      </c>
      <c r="AG25" t="s">
        <v>1955</v>
      </c>
      <c r="AH25" t="s">
        <v>1360</v>
      </c>
      <c r="AI25" t="s">
        <v>1360</v>
      </c>
      <c r="AJ25" t="s">
        <v>1885</v>
      </c>
      <c r="AK25" t="s">
        <v>1886</v>
      </c>
      <c r="AL25" t="s">
        <v>1360</v>
      </c>
      <c r="AM25" t="s">
        <v>1885</v>
      </c>
      <c r="AN25" t="s">
        <v>1886</v>
      </c>
      <c r="AO25" t="s">
        <v>1892</v>
      </c>
      <c r="AP25" t="s">
        <v>1281</v>
      </c>
      <c r="AQ25" t="s">
        <v>1332</v>
      </c>
      <c r="AR25" t="s">
        <v>1281</v>
      </c>
      <c r="AS25" t="s">
        <v>1282</v>
      </c>
      <c r="AT25" t="s">
        <v>1894</v>
      </c>
    </row>
    <row r="26" spans="4:46" x14ac:dyDescent="0.25">
      <c r="D26" t="s">
        <v>728</v>
      </c>
      <c r="E26" s="177" t="str">
        <f>INDEX(tblBOneExport[[INSTRUMENT]:[ISIN]],MATCH(tblGetStaticData[[#This Row],[ISIN]],tblBOneExport[ISIN],0),1)</f>
        <v>EURO BK RECON&amp;DV 5.625 07/12/28 EMTN</v>
      </c>
      <c r="F26" s="155" t="str">
        <f>tblGetStaticData[[#This Row],[iPasL2]]&amp; " " &amp; tblGetStaticData[[#This Row],[Tiering]]</f>
        <v>Supranationals SEN</v>
      </c>
      <c r="G26" s="155" t="s">
        <v>1282</v>
      </c>
      <c r="H26" t="s">
        <v>1352</v>
      </c>
      <c r="I26" t="s">
        <v>1352</v>
      </c>
      <c r="J26" t="s">
        <v>1352</v>
      </c>
      <c r="K26" t="s">
        <v>729</v>
      </c>
      <c r="L26" t="s">
        <v>1353</v>
      </c>
      <c r="M26" t="s">
        <v>493</v>
      </c>
      <c r="N26" t="s">
        <v>1882</v>
      </c>
      <c r="O26" t="s">
        <v>1360</v>
      </c>
      <c r="P26" t="s">
        <v>1885</v>
      </c>
      <c r="Q26" t="s">
        <v>1886</v>
      </c>
      <c r="R26" t="s">
        <v>1360</v>
      </c>
      <c r="S26" t="s">
        <v>1885</v>
      </c>
      <c r="T26" t="s">
        <v>1886</v>
      </c>
      <c r="U26" t="s">
        <v>1887</v>
      </c>
      <c r="V26" t="s">
        <v>728</v>
      </c>
      <c r="W26" t="s">
        <v>729</v>
      </c>
      <c r="X26" t="s">
        <v>1942</v>
      </c>
      <c r="Y26" t="s">
        <v>1943</v>
      </c>
      <c r="Z26" t="s">
        <v>1944</v>
      </c>
      <c r="AA26" t="s">
        <v>493</v>
      </c>
      <c r="AB26" t="s">
        <v>1899</v>
      </c>
      <c r="AC26" t="s">
        <v>1282</v>
      </c>
      <c r="AD26" t="s">
        <v>1956</v>
      </c>
      <c r="AE26" t="s">
        <v>1923</v>
      </c>
      <c r="AF26" t="s">
        <v>1956</v>
      </c>
      <c r="AG26" t="s">
        <v>1923</v>
      </c>
      <c r="AH26" t="s">
        <v>1946</v>
      </c>
      <c r="AI26" t="s">
        <v>1360</v>
      </c>
      <c r="AJ26" t="s">
        <v>1885</v>
      </c>
      <c r="AK26" t="s">
        <v>1886</v>
      </c>
      <c r="AL26" t="s">
        <v>1946</v>
      </c>
      <c r="AO26" t="s">
        <v>1947</v>
      </c>
      <c r="AP26" t="s">
        <v>1353</v>
      </c>
      <c r="AQ26" t="s">
        <v>1353</v>
      </c>
      <c r="AR26" t="s">
        <v>1353</v>
      </c>
      <c r="AS26" t="s">
        <v>1282</v>
      </c>
      <c r="AT26" t="s">
        <v>1894</v>
      </c>
    </row>
    <row r="27" spans="4:46" x14ac:dyDescent="0.25">
      <c r="D27" t="s">
        <v>1167</v>
      </c>
      <c r="E27" s="177" t="str">
        <f>INDEX(tblBOneExport[[INSTRUMENT]:[ISIN]],MATCH(tblGetStaticData[[#This Row],[ISIN]],tblBOneExport[ISIN],0),1)</f>
        <v>THAMES WATER UTL 6.75 16/11/28 EMTN</v>
      </c>
      <c r="F27" s="155" t="str">
        <f>tblGetStaticData[[#This Row],[iPasL2]]&amp; " " &amp; tblGetStaticData[[#This Row],[Tiering]]</f>
        <v>Other Utility SEN</v>
      </c>
      <c r="G27" s="155" t="s">
        <v>1282</v>
      </c>
      <c r="H27" t="s">
        <v>1323</v>
      </c>
      <c r="I27" t="s">
        <v>1323</v>
      </c>
      <c r="J27" t="s">
        <v>1323</v>
      </c>
      <c r="K27" t="s">
        <v>1165</v>
      </c>
      <c r="L27" t="s">
        <v>1281</v>
      </c>
      <c r="M27" t="s">
        <v>493</v>
      </c>
      <c r="N27" t="s">
        <v>1882</v>
      </c>
      <c r="O27" t="s">
        <v>1360</v>
      </c>
      <c r="P27" t="s">
        <v>1885</v>
      </c>
      <c r="Q27" t="s">
        <v>1886</v>
      </c>
      <c r="R27" t="s">
        <v>1360</v>
      </c>
      <c r="S27" t="s">
        <v>1885</v>
      </c>
      <c r="T27" t="s">
        <v>1886</v>
      </c>
      <c r="U27" t="s">
        <v>1887</v>
      </c>
      <c r="V27" t="s">
        <v>1167</v>
      </c>
      <c r="W27" t="s">
        <v>1165</v>
      </c>
      <c r="X27" t="s">
        <v>1322</v>
      </c>
      <c r="Y27" t="s">
        <v>1888</v>
      </c>
      <c r="Z27" t="s">
        <v>1888</v>
      </c>
      <c r="AA27" t="s">
        <v>493</v>
      </c>
      <c r="AB27" t="s">
        <v>1889</v>
      </c>
      <c r="AC27" t="s">
        <v>1282</v>
      </c>
      <c r="AD27" t="s">
        <v>1959</v>
      </c>
      <c r="AE27" t="s">
        <v>1923</v>
      </c>
      <c r="AF27" t="s">
        <v>1959</v>
      </c>
      <c r="AG27" t="s">
        <v>1923</v>
      </c>
      <c r="AH27" t="s">
        <v>1360</v>
      </c>
      <c r="AI27" t="s">
        <v>1360</v>
      </c>
      <c r="AJ27" t="s">
        <v>1885</v>
      </c>
      <c r="AK27" t="s">
        <v>1886</v>
      </c>
      <c r="AL27" t="s">
        <v>1360</v>
      </c>
      <c r="AM27" t="s">
        <v>1885</v>
      </c>
      <c r="AN27" t="s">
        <v>1886</v>
      </c>
      <c r="AO27" t="s">
        <v>1892</v>
      </c>
      <c r="AP27" t="s">
        <v>1315</v>
      </c>
      <c r="AQ27" t="s">
        <v>1893</v>
      </c>
      <c r="AR27" t="s">
        <v>1315</v>
      </c>
      <c r="AS27" t="s">
        <v>1282</v>
      </c>
      <c r="AT27" t="s">
        <v>1894</v>
      </c>
    </row>
    <row r="28" spans="4:46" x14ac:dyDescent="0.25">
      <c r="D28" t="s">
        <v>783</v>
      </c>
      <c r="E28" s="177" t="str">
        <f>INDEX(tblBOneExport[[INSTRUMENT]:[ISIN]],MATCH(tblGetStaticData[[#This Row],[ISIN]],tblBOneExport[ISIN],0),1)</f>
        <v>GEN ELEC CAP CRP 5.5 07/06/21 EMTN</v>
      </c>
      <c r="F28" s="155" t="str">
        <f>tblGetStaticData[[#This Row],[iPasL2]]&amp; " " &amp; tblGetStaticData[[#This Row],[Tiering]]</f>
        <v>Finance Companies SEN</v>
      </c>
      <c r="G28" s="155" t="s">
        <v>1282</v>
      </c>
      <c r="H28" t="s">
        <v>1381</v>
      </c>
      <c r="I28" t="s">
        <v>1381</v>
      </c>
      <c r="J28" t="s">
        <v>1382</v>
      </c>
      <c r="K28" t="s">
        <v>781</v>
      </c>
      <c r="L28" t="s">
        <v>1408</v>
      </c>
      <c r="M28" t="s">
        <v>493</v>
      </c>
      <c r="N28" t="s">
        <v>1882</v>
      </c>
      <c r="O28" t="s">
        <v>1309</v>
      </c>
      <c r="P28" t="s">
        <v>1960</v>
      </c>
      <c r="Q28" t="s">
        <v>1961</v>
      </c>
      <c r="R28" t="s">
        <v>1309</v>
      </c>
      <c r="S28" t="s">
        <v>1960</v>
      </c>
      <c r="T28" t="s">
        <v>1961</v>
      </c>
      <c r="U28" t="s">
        <v>1962</v>
      </c>
      <c r="V28" t="s">
        <v>783</v>
      </c>
      <c r="W28" t="s">
        <v>781</v>
      </c>
      <c r="X28" t="s">
        <v>1937</v>
      </c>
      <c r="Y28" t="s">
        <v>1963</v>
      </c>
      <c r="Z28" t="s">
        <v>1964</v>
      </c>
      <c r="AA28" t="s">
        <v>493</v>
      </c>
      <c r="AB28" t="s">
        <v>1899</v>
      </c>
      <c r="AC28" t="s">
        <v>1282</v>
      </c>
      <c r="AD28" t="s">
        <v>1965</v>
      </c>
      <c r="AE28" t="s">
        <v>1966</v>
      </c>
      <c r="AF28" t="s">
        <v>1965</v>
      </c>
      <c r="AG28" t="s">
        <v>1966</v>
      </c>
      <c r="AH28" t="s">
        <v>1309</v>
      </c>
      <c r="AI28" t="s">
        <v>1309</v>
      </c>
      <c r="AJ28" t="s">
        <v>1960</v>
      </c>
      <c r="AK28" t="s">
        <v>1961</v>
      </c>
      <c r="AL28" t="s">
        <v>1309</v>
      </c>
      <c r="AM28" t="s">
        <v>1960</v>
      </c>
      <c r="AN28" t="s">
        <v>1961</v>
      </c>
      <c r="AO28" t="s">
        <v>1909</v>
      </c>
      <c r="AP28" t="s">
        <v>1408</v>
      </c>
      <c r="AQ28" t="s">
        <v>1408</v>
      </c>
      <c r="AR28" t="s">
        <v>1293</v>
      </c>
      <c r="AS28" t="s">
        <v>1282</v>
      </c>
      <c r="AT28" t="s">
        <v>1894</v>
      </c>
    </row>
    <row r="29" spans="4:46" x14ac:dyDescent="0.25">
      <c r="D29" t="s">
        <v>562</v>
      </c>
      <c r="E29" s="177" t="str">
        <f>INDEX(tblBOneExport[[INSTRUMENT]:[ISIN]],MATCH(tblGetStaticData[[#This Row],[ISIN]],tblBOneExport[ISIN],0),1)</f>
        <v>BK NED GEMEENTEN 5.375 07/06/21 EMTN</v>
      </c>
      <c r="F29" s="155" t="str">
        <f>tblGetStaticData[[#This Row],[iPasL2]]&amp; " " &amp; tblGetStaticData[[#This Row],[Tiering]]</f>
        <v>Foreign Agency SEN</v>
      </c>
      <c r="G29" s="155" t="s">
        <v>1282</v>
      </c>
      <c r="H29" t="s">
        <v>1331</v>
      </c>
      <c r="I29" t="s">
        <v>1331</v>
      </c>
      <c r="J29" t="s">
        <v>1331</v>
      </c>
      <c r="K29" t="s">
        <v>563</v>
      </c>
      <c r="L29" t="s">
        <v>1780</v>
      </c>
      <c r="M29" t="s">
        <v>493</v>
      </c>
      <c r="N29" t="s">
        <v>1882</v>
      </c>
      <c r="O29" t="s">
        <v>1295</v>
      </c>
      <c r="P29" t="s">
        <v>1294</v>
      </c>
      <c r="Q29" t="s">
        <v>1895</v>
      </c>
      <c r="R29" t="s">
        <v>1295</v>
      </c>
      <c r="S29" t="s">
        <v>1294</v>
      </c>
      <c r="T29" t="s">
        <v>1895</v>
      </c>
      <c r="U29" t="s">
        <v>1887</v>
      </c>
      <c r="V29" t="s">
        <v>562</v>
      </c>
      <c r="W29" t="s">
        <v>563</v>
      </c>
      <c r="X29" t="s">
        <v>1967</v>
      </c>
      <c r="Y29" t="s">
        <v>1968</v>
      </c>
      <c r="Z29" t="s">
        <v>1969</v>
      </c>
      <c r="AA29" t="s">
        <v>493</v>
      </c>
      <c r="AB29" t="s">
        <v>1899</v>
      </c>
      <c r="AC29" t="s">
        <v>1282</v>
      </c>
      <c r="AD29" t="s">
        <v>1965</v>
      </c>
      <c r="AE29" t="s">
        <v>1966</v>
      </c>
      <c r="AF29" t="s">
        <v>1965</v>
      </c>
      <c r="AG29" t="s">
        <v>1966</v>
      </c>
      <c r="AH29" t="s">
        <v>1295</v>
      </c>
      <c r="AI29" t="s">
        <v>1295</v>
      </c>
      <c r="AJ29" t="s">
        <v>1294</v>
      </c>
      <c r="AK29" t="s">
        <v>1895</v>
      </c>
      <c r="AL29" t="s">
        <v>1295</v>
      </c>
      <c r="AM29" t="s">
        <v>1294</v>
      </c>
      <c r="AN29" t="s">
        <v>1895</v>
      </c>
      <c r="AO29" t="s">
        <v>1947</v>
      </c>
      <c r="AP29" t="s">
        <v>1353</v>
      </c>
      <c r="AQ29" t="s">
        <v>1780</v>
      </c>
      <c r="AR29" t="s">
        <v>1780</v>
      </c>
      <c r="AS29" t="s">
        <v>1282</v>
      </c>
      <c r="AT29" t="s">
        <v>1894</v>
      </c>
    </row>
    <row r="30" spans="4:46" x14ac:dyDescent="0.25">
      <c r="D30" t="s">
        <v>909</v>
      </c>
      <c r="E30" s="177" t="str">
        <f>INDEX(tblBOneExport[[INSTRUMENT]:[ISIN]],MATCH(tblGetStaticData[[#This Row],[ISIN]],tblBOneExport[ISIN],0),1)</f>
        <v>LCR FINANCE PLC 4.5 07/12/28 REGS</v>
      </c>
      <c r="F30" s="155" t="str">
        <f>tblGetStaticData[[#This Row],[iPasL2]]&amp; " " &amp; tblGetStaticData[[#This Row],[Tiering]]</f>
        <v>Foreign Agency SEN</v>
      </c>
      <c r="G30" s="155" t="s">
        <v>1282</v>
      </c>
      <c r="H30" t="s">
        <v>1331</v>
      </c>
      <c r="I30" t="s">
        <v>1331</v>
      </c>
      <c r="J30" t="s">
        <v>1331</v>
      </c>
      <c r="K30" t="s">
        <v>907</v>
      </c>
      <c r="L30" t="s">
        <v>1303</v>
      </c>
      <c r="M30" t="s">
        <v>493</v>
      </c>
      <c r="N30" t="s">
        <v>1882</v>
      </c>
      <c r="O30" t="s">
        <v>1360</v>
      </c>
      <c r="P30" t="s">
        <v>1885</v>
      </c>
      <c r="Q30" t="s">
        <v>1886</v>
      </c>
      <c r="R30" t="s">
        <v>1360</v>
      </c>
      <c r="S30" t="s">
        <v>1885</v>
      </c>
      <c r="T30" t="s">
        <v>1886</v>
      </c>
      <c r="U30" t="s">
        <v>1887</v>
      </c>
      <c r="V30" t="s">
        <v>909</v>
      </c>
      <c r="W30" t="s">
        <v>907</v>
      </c>
      <c r="X30" t="s">
        <v>1942</v>
      </c>
      <c r="Y30" t="s">
        <v>182</v>
      </c>
      <c r="Z30" t="s">
        <v>1970</v>
      </c>
      <c r="AA30" t="s">
        <v>493</v>
      </c>
      <c r="AB30" t="s">
        <v>1899</v>
      </c>
      <c r="AC30" t="s">
        <v>1282</v>
      </c>
      <c r="AD30" t="s">
        <v>1956</v>
      </c>
      <c r="AE30" t="s">
        <v>1923</v>
      </c>
      <c r="AF30" t="s">
        <v>1956</v>
      </c>
      <c r="AG30" t="s">
        <v>1923</v>
      </c>
      <c r="AH30" t="s">
        <v>1360</v>
      </c>
      <c r="AI30" t="s">
        <v>1360</v>
      </c>
      <c r="AJ30" t="s">
        <v>1885</v>
      </c>
      <c r="AK30" t="s">
        <v>1886</v>
      </c>
      <c r="AL30" t="s">
        <v>1360</v>
      </c>
      <c r="AM30" t="s">
        <v>1885</v>
      </c>
      <c r="AN30" t="s">
        <v>1886</v>
      </c>
      <c r="AO30" t="s">
        <v>1971</v>
      </c>
      <c r="AP30" t="s">
        <v>1303</v>
      </c>
      <c r="AQ30" t="s">
        <v>1303</v>
      </c>
      <c r="AR30" t="s">
        <v>1303</v>
      </c>
      <c r="AS30" t="s">
        <v>1282</v>
      </c>
      <c r="AT30" t="s">
        <v>1894</v>
      </c>
    </row>
    <row r="31" spans="4:46" x14ac:dyDescent="0.25">
      <c r="D31" t="s">
        <v>906</v>
      </c>
      <c r="E31" s="177" t="str">
        <f>INDEX(tblBOneExport[[INSTRUMENT]:[ISIN]],MATCH(tblGetStaticData[[#This Row],[ISIN]],tblBOneExport[ISIN],0),1)</f>
        <v>LCR FINANCE PLC 4.5 07/12/38 REGS</v>
      </c>
      <c r="F31" s="155" t="str">
        <f>tblGetStaticData[[#This Row],[iPasL2]]&amp; " " &amp; tblGetStaticData[[#This Row],[Tiering]]</f>
        <v>Foreign Agency SEN</v>
      </c>
      <c r="G31" s="155" t="s">
        <v>1282</v>
      </c>
      <c r="H31" t="s">
        <v>1331</v>
      </c>
      <c r="I31" t="s">
        <v>1331</v>
      </c>
      <c r="J31" t="s">
        <v>1331</v>
      </c>
      <c r="K31" t="s">
        <v>907</v>
      </c>
      <c r="L31" t="s">
        <v>1303</v>
      </c>
      <c r="M31" t="s">
        <v>493</v>
      </c>
      <c r="N31" t="s">
        <v>1882</v>
      </c>
      <c r="O31" t="s">
        <v>1360</v>
      </c>
      <c r="P31" t="s">
        <v>1885</v>
      </c>
      <c r="Q31" t="s">
        <v>1886</v>
      </c>
      <c r="R31" t="s">
        <v>1360</v>
      </c>
      <c r="S31" t="s">
        <v>1885</v>
      </c>
      <c r="T31" t="s">
        <v>1886</v>
      </c>
      <c r="U31" t="s">
        <v>1887</v>
      </c>
      <c r="V31" t="s">
        <v>906</v>
      </c>
      <c r="W31" t="s">
        <v>907</v>
      </c>
      <c r="X31" t="s">
        <v>1942</v>
      </c>
      <c r="Y31" t="s">
        <v>182</v>
      </c>
      <c r="Z31" t="s">
        <v>1970</v>
      </c>
      <c r="AA31" t="s">
        <v>493</v>
      </c>
      <c r="AB31" t="s">
        <v>1899</v>
      </c>
      <c r="AC31" t="s">
        <v>1282</v>
      </c>
      <c r="AD31" t="s">
        <v>1972</v>
      </c>
      <c r="AE31" t="s">
        <v>1973</v>
      </c>
      <c r="AF31" t="s">
        <v>1972</v>
      </c>
      <c r="AG31" t="s">
        <v>1973</v>
      </c>
      <c r="AH31" t="s">
        <v>1360</v>
      </c>
      <c r="AI31" t="s">
        <v>1360</v>
      </c>
      <c r="AJ31" t="s">
        <v>1885</v>
      </c>
      <c r="AK31" t="s">
        <v>1886</v>
      </c>
      <c r="AL31" t="s">
        <v>1360</v>
      </c>
      <c r="AM31" t="s">
        <v>1885</v>
      </c>
      <c r="AN31" t="s">
        <v>1886</v>
      </c>
      <c r="AO31" t="s">
        <v>1971</v>
      </c>
      <c r="AP31" t="s">
        <v>1303</v>
      </c>
      <c r="AQ31" t="s">
        <v>1303</v>
      </c>
      <c r="AR31" t="s">
        <v>1303</v>
      </c>
      <c r="AS31" t="s">
        <v>1282</v>
      </c>
      <c r="AT31" t="s">
        <v>1894</v>
      </c>
    </row>
    <row r="32" spans="4:46" x14ac:dyDescent="0.25">
      <c r="D32" t="s">
        <v>861</v>
      </c>
      <c r="E32" s="177" t="str">
        <f>INDEX(tblBOneExport[[INSTRUMENT]:[ISIN]],MATCH(tblGetStaticData[[#This Row],[ISIN]],tblBOneExport[ISIN],0),1)</f>
        <v>INT BK RECON&amp;DEV 4.875 07/12/28 EMTN</v>
      </c>
      <c r="F32" s="155" t="str">
        <f>tblGetStaticData[[#This Row],[iPasL2]]&amp; " " &amp; tblGetStaticData[[#This Row],[Tiering]]</f>
        <v>Supranationals SEN</v>
      </c>
      <c r="G32" s="155" t="s">
        <v>1282</v>
      </c>
      <c r="H32" t="s">
        <v>1352</v>
      </c>
      <c r="I32" t="s">
        <v>1352</v>
      </c>
      <c r="J32" t="s">
        <v>1352</v>
      </c>
      <c r="K32" t="s">
        <v>859</v>
      </c>
      <c r="L32" t="s">
        <v>1353</v>
      </c>
      <c r="M32" t="s">
        <v>493</v>
      </c>
      <c r="N32" t="s">
        <v>1882</v>
      </c>
      <c r="O32" t="s">
        <v>1309</v>
      </c>
      <c r="P32" t="s">
        <v>1960</v>
      </c>
      <c r="Q32" t="s">
        <v>1961</v>
      </c>
      <c r="R32" t="s">
        <v>1309</v>
      </c>
      <c r="S32" t="s">
        <v>1960</v>
      </c>
      <c r="T32" t="s">
        <v>1961</v>
      </c>
      <c r="U32" t="s">
        <v>1962</v>
      </c>
      <c r="V32" t="s">
        <v>861</v>
      </c>
      <c r="W32" t="s">
        <v>859</v>
      </c>
      <c r="X32" t="s">
        <v>1942</v>
      </c>
      <c r="Y32" t="s">
        <v>1943</v>
      </c>
      <c r="Z32" t="s">
        <v>1944</v>
      </c>
      <c r="AA32" t="s">
        <v>493</v>
      </c>
      <c r="AB32" t="s">
        <v>1899</v>
      </c>
      <c r="AC32" t="s">
        <v>1282</v>
      </c>
      <c r="AD32" t="s">
        <v>1956</v>
      </c>
      <c r="AE32" t="s">
        <v>1923</v>
      </c>
      <c r="AF32" t="s">
        <v>1956</v>
      </c>
      <c r="AG32" t="s">
        <v>1923</v>
      </c>
      <c r="AH32" t="s">
        <v>1946</v>
      </c>
      <c r="AI32" t="s">
        <v>1309</v>
      </c>
      <c r="AJ32" t="s">
        <v>1960</v>
      </c>
      <c r="AK32" t="s">
        <v>1961</v>
      </c>
      <c r="AL32" t="s">
        <v>1946</v>
      </c>
      <c r="AO32" t="s">
        <v>1947</v>
      </c>
      <c r="AP32" t="s">
        <v>1353</v>
      </c>
      <c r="AQ32" t="s">
        <v>1353</v>
      </c>
      <c r="AR32" t="s">
        <v>1353</v>
      </c>
      <c r="AS32" t="s">
        <v>1282</v>
      </c>
      <c r="AT32" t="s">
        <v>1894</v>
      </c>
    </row>
    <row r="33" spans="4:46" x14ac:dyDescent="0.25">
      <c r="D33" t="s">
        <v>735</v>
      </c>
      <c r="E33" s="177" t="str">
        <f>INDEX(tblBOneExport[[INSTRUMENT]:[ISIN]],MATCH(tblGetStaticData[[#This Row],[ISIN]],tblBOneExport[ISIN],0),1)</f>
        <v>EUROPEAN INVT BK 5 15/04/39</v>
      </c>
      <c r="F33" s="155" t="str">
        <f>tblGetStaticData[[#This Row],[iPasL2]]&amp; " " &amp; tblGetStaticData[[#This Row],[Tiering]]</f>
        <v>Supranationals SEN</v>
      </c>
      <c r="G33" s="155" t="s">
        <v>1282</v>
      </c>
      <c r="H33" t="s">
        <v>1352</v>
      </c>
      <c r="I33" t="s">
        <v>1352</v>
      </c>
      <c r="J33" t="s">
        <v>1352</v>
      </c>
      <c r="K33" t="s">
        <v>733</v>
      </c>
      <c r="L33" t="s">
        <v>1353</v>
      </c>
      <c r="M33" t="s">
        <v>493</v>
      </c>
      <c r="N33" t="s">
        <v>1882</v>
      </c>
      <c r="O33" t="s">
        <v>1522</v>
      </c>
      <c r="P33" t="s">
        <v>1521</v>
      </c>
      <c r="Q33" t="s">
        <v>1895</v>
      </c>
      <c r="R33" t="s">
        <v>1522</v>
      </c>
      <c r="S33" t="s">
        <v>1521</v>
      </c>
      <c r="T33" t="s">
        <v>1895</v>
      </c>
      <c r="U33" t="s">
        <v>1941</v>
      </c>
      <c r="V33" t="s">
        <v>735</v>
      </c>
      <c r="W33" t="s">
        <v>733</v>
      </c>
      <c r="X33" t="s">
        <v>1942</v>
      </c>
      <c r="Y33" t="s">
        <v>1943</v>
      </c>
      <c r="Z33" t="s">
        <v>1944</v>
      </c>
      <c r="AA33" t="s">
        <v>493</v>
      </c>
      <c r="AB33" t="s">
        <v>1899</v>
      </c>
      <c r="AC33" t="s">
        <v>1282</v>
      </c>
      <c r="AD33" t="s">
        <v>1974</v>
      </c>
      <c r="AE33" t="s">
        <v>1975</v>
      </c>
      <c r="AF33" t="s">
        <v>1974</v>
      </c>
      <c r="AG33" t="s">
        <v>1975</v>
      </c>
      <c r="AH33" t="s">
        <v>1946</v>
      </c>
      <c r="AI33" t="s">
        <v>1522</v>
      </c>
      <c r="AJ33" t="s">
        <v>1521</v>
      </c>
      <c r="AK33" t="s">
        <v>1895</v>
      </c>
      <c r="AL33" t="s">
        <v>1946</v>
      </c>
      <c r="AO33" t="s">
        <v>1947</v>
      </c>
      <c r="AP33" t="s">
        <v>1353</v>
      </c>
      <c r="AQ33" t="s">
        <v>1353</v>
      </c>
      <c r="AR33" t="s">
        <v>1353</v>
      </c>
      <c r="AS33" t="s">
        <v>1282</v>
      </c>
      <c r="AT33" t="s">
        <v>1894</v>
      </c>
    </row>
    <row r="34" spans="4:46" x14ac:dyDescent="0.25">
      <c r="D34" t="s">
        <v>565</v>
      </c>
      <c r="E34" s="177" t="str">
        <f>INDEX(tblBOneExport[[INSTRUMENT]:[ISIN]],MATCH(tblGetStaticData[[#This Row],[ISIN]],tblBOneExport[ISIN],0),1)</f>
        <v>BK NED GEMEENTEN 5.2 07/12/28 EMTN</v>
      </c>
      <c r="F34" s="155" t="str">
        <f>tblGetStaticData[[#This Row],[iPasL2]]&amp; " " &amp; tblGetStaticData[[#This Row],[Tiering]]</f>
        <v>Foreign Agency SEN</v>
      </c>
      <c r="G34" s="155" t="s">
        <v>1282</v>
      </c>
      <c r="H34" t="s">
        <v>1331</v>
      </c>
      <c r="I34" t="s">
        <v>1331</v>
      </c>
      <c r="J34" t="s">
        <v>1331</v>
      </c>
      <c r="K34" t="s">
        <v>563</v>
      </c>
      <c r="L34" t="s">
        <v>1780</v>
      </c>
      <c r="M34" t="s">
        <v>493</v>
      </c>
      <c r="N34" t="s">
        <v>1882</v>
      </c>
      <c r="O34" t="s">
        <v>1295</v>
      </c>
      <c r="P34" t="s">
        <v>1294</v>
      </c>
      <c r="Q34" t="s">
        <v>1895</v>
      </c>
      <c r="R34" t="s">
        <v>1295</v>
      </c>
      <c r="S34" t="s">
        <v>1294</v>
      </c>
      <c r="T34" t="s">
        <v>1895</v>
      </c>
      <c r="U34" t="s">
        <v>1887</v>
      </c>
      <c r="V34" t="s">
        <v>565</v>
      </c>
      <c r="W34" t="s">
        <v>563</v>
      </c>
      <c r="X34" t="s">
        <v>1967</v>
      </c>
      <c r="Y34" t="s">
        <v>1968</v>
      </c>
      <c r="Z34" t="s">
        <v>1969</v>
      </c>
      <c r="AA34" t="s">
        <v>493</v>
      </c>
      <c r="AB34" t="s">
        <v>1899</v>
      </c>
      <c r="AC34" t="s">
        <v>1282</v>
      </c>
      <c r="AD34" t="s">
        <v>1956</v>
      </c>
      <c r="AE34" t="s">
        <v>1923</v>
      </c>
      <c r="AF34" t="s">
        <v>1956</v>
      </c>
      <c r="AG34" t="s">
        <v>1923</v>
      </c>
      <c r="AH34" t="s">
        <v>1295</v>
      </c>
      <c r="AI34" t="s">
        <v>1295</v>
      </c>
      <c r="AJ34" t="s">
        <v>1294</v>
      </c>
      <c r="AK34" t="s">
        <v>1895</v>
      </c>
      <c r="AL34" t="s">
        <v>1295</v>
      </c>
      <c r="AM34" t="s">
        <v>1294</v>
      </c>
      <c r="AN34" t="s">
        <v>1895</v>
      </c>
      <c r="AO34" t="s">
        <v>1947</v>
      </c>
      <c r="AP34" t="s">
        <v>1353</v>
      </c>
      <c r="AQ34" t="s">
        <v>1780</v>
      </c>
      <c r="AR34" t="s">
        <v>1780</v>
      </c>
      <c r="AS34" t="s">
        <v>1282</v>
      </c>
      <c r="AT34" t="s">
        <v>1894</v>
      </c>
    </row>
    <row r="35" spans="4:46" x14ac:dyDescent="0.25">
      <c r="D35" t="s">
        <v>1071</v>
      </c>
      <c r="E35" s="177" t="str">
        <f>INDEX(tblBOneExport[[INSTRUMENT]:[ISIN]],MATCH(tblGetStaticData[[#This Row],[ISIN]],tblBOneExport[ISIN],0),1)</f>
        <v>PRUDENTIAL PLC 5.875 11/05/29</v>
      </c>
      <c r="F35" s="155" t="str">
        <f>tblGetStaticData[[#This Row],[iPasL2]]&amp; " " &amp; tblGetStaticData[[#This Row],[Tiering]]</f>
        <v>Insurance SEN</v>
      </c>
      <c r="G35" s="155" t="s">
        <v>1282</v>
      </c>
      <c r="H35" t="s">
        <v>1301</v>
      </c>
      <c r="I35" t="s">
        <v>1301</v>
      </c>
      <c r="J35" t="s">
        <v>1302</v>
      </c>
      <c r="K35" t="s">
        <v>1069</v>
      </c>
      <c r="L35" t="s">
        <v>1332</v>
      </c>
      <c r="M35" t="s">
        <v>493</v>
      </c>
      <c r="N35" t="s">
        <v>1882</v>
      </c>
      <c r="O35" t="s">
        <v>1360</v>
      </c>
      <c r="P35" t="s">
        <v>1885</v>
      </c>
      <c r="Q35" t="s">
        <v>1886</v>
      </c>
      <c r="R35" t="s">
        <v>1360</v>
      </c>
      <c r="S35" t="s">
        <v>1885</v>
      </c>
      <c r="T35" t="s">
        <v>1886</v>
      </c>
      <c r="U35" t="s">
        <v>1887</v>
      </c>
      <c r="V35" t="s">
        <v>1071</v>
      </c>
      <c r="W35" t="s">
        <v>1069</v>
      </c>
      <c r="X35" t="s">
        <v>1967</v>
      </c>
      <c r="Y35" t="s">
        <v>1301</v>
      </c>
      <c r="Z35" t="s">
        <v>1976</v>
      </c>
      <c r="AA35" t="s">
        <v>493</v>
      </c>
      <c r="AB35" t="s">
        <v>1899</v>
      </c>
      <c r="AC35" t="s">
        <v>1282</v>
      </c>
      <c r="AD35" t="s">
        <v>1977</v>
      </c>
      <c r="AE35" t="s">
        <v>1978</v>
      </c>
      <c r="AF35" t="s">
        <v>1977</v>
      </c>
      <c r="AG35" t="s">
        <v>1978</v>
      </c>
      <c r="AH35" t="s">
        <v>1360</v>
      </c>
      <c r="AI35" t="s">
        <v>1360</v>
      </c>
      <c r="AJ35" t="s">
        <v>1885</v>
      </c>
      <c r="AK35" t="s">
        <v>1886</v>
      </c>
      <c r="AL35" t="s">
        <v>1360</v>
      </c>
      <c r="AM35" t="s">
        <v>1885</v>
      </c>
      <c r="AN35" t="s">
        <v>1886</v>
      </c>
      <c r="AO35" t="s">
        <v>1893</v>
      </c>
      <c r="AP35" t="s">
        <v>1893</v>
      </c>
      <c r="AQ35" t="s">
        <v>1332</v>
      </c>
      <c r="AR35" t="s">
        <v>1873</v>
      </c>
      <c r="AS35" t="s">
        <v>1282</v>
      </c>
      <c r="AT35" t="s">
        <v>1894</v>
      </c>
    </row>
    <row r="36" spans="4:46" x14ac:dyDescent="0.25">
      <c r="D36" t="s">
        <v>616</v>
      </c>
      <c r="E36" s="177" t="str">
        <f>INDEX(tblBOneExport[[INSTRUMENT]:[ISIN]],MATCH(tblGetStaticData[[#This Row],[ISIN]],tblBOneExport[ISIN],0),1)</f>
        <v>BRITISH TEL PLC 5.75 07/12/28</v>
      </c>
      <c r="F36" s="155" t="str">
        <f>tblGetStaticData[[#This Row],[iPasL2]]&amp; " " &amp; tblGetStaticData[[#This Row],[Tiering]]</f>
        <v>Communications SEN</v>
      </c>
      <c r="G36" s="155" t="s">
        <v>1282</v>
      </c>
      <c r="H36" t="s">
        <v>1312</v>
      </c>
      <c r="I36" t="s">
        <v>1312</v>
      </c>
      <c r="J36" t="s">
        <v>1312</v>
      </c>
      <c r="K36" t="s">
        <v>617</v>
      </c>
      <c r="L36" t="s">
        <v>1315</v>
      </c>
      <c r="M36" t="s">
        <v>493</v>
      </c>
      <c r="N36" t="s">
        <v>1882</v>
      </c>
      <c r="O36" t="s">
        <v>1360</v>
      </c>
      <c r="P36" t="s">
        <v>1885</v>
      </c>
      <c r="Q36" t="s">
        <v>1886</v>
      </c>
      <c r="R36" t="s">
        <v>1360</v>
      </c>
      <c r="S36" t="s">
        <v>1885</v>
      </c>
      <c r="T36" t="s">
        <v>1886</v>
      </c>
      <c r="U36" t="s">
        <v>1887</v>
      </c>
      <c r="V36" t="s">
        <v>616</v>
      </c>
      <c r="W36" t="s">
        <v>617</v>
      </c>
      <c r="X36" t="s">
        <v>1312</v>
      </c>
      <c r="Y36" t="s">
        <v>1313</v>
      </c>
      <c r="Z36" t="s">
        <v>1913</v>
      </c>
      <c r="AA36" t="s">
        <v>493</v>
      </c>
      <c r="AB36" t="s">
        <v>1899</v>
      </c>
      <c r="AC36" t="s">
        <v>1282</v>
      </c>
      <c r="AD36" t="s">
        <v>1956</v>
      </c>
      <c r="AE36" t="s">
        <v>1923</v>
      </c>
      <c r="AF36" t="s">
        <v>1956</v>
      </c>
      <c r="AG36" t="s">
        <v>1923</v>
      </c>
      <c r="AH36" t="s">
        <v>1360</v>
      </c>
      <c r="AI36" t="s">
        <v>1360</v>
      </c>
      <c r="AJ36" t="s">
        <v>1885</v>
      </c>
      <c r="AK36" t="s">
        <v>1886</v>
      </c>
      <c r="AL36" t="s">
        <v>1360</v>
      </c>
      <c r="AM36" t="s">
        <v>1885</v>
      </c>
      <c r="AN36" t="s">
        <v>1886</v>
      </c>
      <c r="AO36" t="s">
        <v>1916</v>
      </c>
      <c r="AP36" t="s">
        <v>1315</v>
      </c>
      <c r="AQ36" t="s">
        <v>1315</v>
      </c>
      <c r="AR36" t="s">
        <v>1315</v>
      </c>
      <c r="AS36" t="s">
        <v>1282</v>
      </c>
      <c r="AT36" t="s">
        <v>1894</v>
      </c>
    </row>
    <row r="37" spans="4:46" x14ac:dyDescent="0.25">
      <c r="D37" t="s">
        <v>1110</v>
      </c>
      <c r="E37" s="177" t="str">
        <f>INDEX(tblBOneExport[[INSTRUMENT]:[ISIN]],MATCH(tblGetStaticData[[#This Row],[ISIN]],tblBOneExport[ISIN],0),1)</f>
        <v>SEVERN TRENT FIN 6.25 07/06/29</v>
      </c>
      <c r="F37" s="155" t="str">
        <f>tblGetStaticData[[#This Row],[iPasL2]]&amp; " " &amp; tblGetStaticData[[#This Row],[Tiering]]</f>
        <v>Other Utility SEN</v>
      </c>
      <c r="G37" s="155" t="s">
        <v>1282</v>
      </c>
      <c r="H37" t="s">
        <v>1323</v>
      </c>
      <c r="I37" t="s">
        <v>1323</v>
      </c>
      <c r="J37" t="s">
        <v>1323</v>
      </c>
      <c r="K37" t="s">
        <v>1111</v>
      </c>
      <c r="L37" t="s">
        <v>1315</v>
      </c>
      <c r="M37" t="s">
        <v>493</v>
      </c>
      <c r="N37" t="s">
        <v>1882</v>
      </c>
      <c r="O37" t="s">
        <v>1360</v>
      </c>
      <c r="P37" t="s">
        <v>1885</v>
      </c>
      <c r="Q37" t="s">
        <v>1886</v>
      </c>
      <c r="R37" t="s">
        <v>1360</v>
      </c>
      <c r="S37" t="s">
        <v>1885</v>
      </c>
      <c r="T37" t="s">
        <v>1886</v>
      </c>
      <c r="U37" t="s">
        <v>1887</v>
      </c>
      <c r="V37" t="s">
        <v>1110</v>
      </c>
      <c r="W37" t="s">
        <v>1111</v>
      </c>
      <c r="X37" t="s">
        <v>1322</v>
      </c>
      <c r="Y37" t="s">
        <v>1888</v>
      </c>
      <c r="Z37" t="s">
        <v>1888</v>
      </c>
      <c r="AA37" t="s">
        <v>493</v>
      </c>
      <c r="AB37" t="s">
        <v>1899</v>
      </c>
      <c r="AC37" t="s">
        <v>1282</v>
      </c>
      <c r="AD37" t="s">
        <v>1979</v>
      </c>
      <c r="AE37" t="s">
        <v>1978</v>
      </c>
      <c r="AF37" t="s">
        <v>1979</v>
      </c>
      <c r="AG37" t="s">
        <v>1978</v>
      </c>
      <c r="AH37" t="s">
        <v>1360</v>
      </c>
      <c r="AI37" t="s">
        <v>1360</v>
      </c>
      <c r="AJ37" t="s">
        <v>1885</v>
      </c>
      <c r="AK37" t="s">
        <v>1886</v>
      </c>
      <c r="AL37" t="s">
        <v>1360</v>
      </c>
      <c r="AM37" t="s">
        <v>1885</v>
      </c>
      <c r="AN37" t="s">
        <v>1886</v>
      </c>
      <c r="AO37" t="s">
        <v>1892</v>
      </c>
      <c r="AP37" t="s">
        <v>1315</v>
      </c>
      <c r="AQ37" t="s">
        <v>1893</v>
      </c>
      <c r="AR37" t="s">
        <v>1315</v>
      </c>
      <c r="AS37" t="s">
        <v>1282</v>
      </c>
      <c r="AT37" t="s">
        <v>1894</v>
      </c>
    </row>
    <row r="38" spans="4:46" x14ac:dyDescent="0.25">
      <c r="D38" t="s">
        <v>998</v>
      </c>
      <c r="E38" s="177" t="str">
        <f>INDEX(tblBOneExport[[INSTRUMENT]:[ISIN]],MATCH(tblGetStaticData[[#This Row],[ISIN]],tblBOneExport[ISIN],0),1)</f>
        <v>NORDIC INVST BNK 5.25 26/11/19 EMTN</v>
      </c>
      <c r="F38" s="155" t="str">
        <f>tblGetStaticData[[#This Row],[iPasL2]]&amp; " " &amp; tblGetStaticData[[#This Row],[Tiering]]</f>
        <v>Supranationals SEN</v>
      </c>
      <c r="G38" s="155" t="s">
        <v>1282</v>
      </c>
      <c r="H38" t="s">
        <v>1352</v>
      </c>
      <c r="I38" t="s">
        <v>1352</v>
      </c>
      <c r="J38" t="s">
        <v>1352</v>
      </c>
      <c r="K38" t="s">
        <v>999</v>
      </c>
      <c r="L38" t="s">
        <v>1353</v>
      </c>
      <c r="M38" t="s">
        <v>493</v>
      </c>
      <c r="N38" t="s">
        <v>1882</v>
      </c>
      <c r="O38" t="s">
        <v>1980</v>
      </c>
      <c r="P38" t="s">
        <v>1981</v>
      </c>
      <c r="Q38" t="s">
        <v>1982</v>
      </c>
      <c r="R38" t="s">
        <v>1980</v>
      </c>
      <c r="S38" t="s">
        <v>1981</v>
      </c>
      <c r="T38" t="s">
        <v>1982</v>
      </c>
      <c r="U38" t="s">
        <v>1887</v>
      </c>
      <c r="V38" t="s">
        <v>998</v>
      </c>
      <c r="W38" t="s">
        <v>999</v>
      </c>
      <c r="X38" t="s">
        <v>1942</v>
      </c>
      <c r="Y38" t="s">
        <v>1943</v>
      </c>
      <c r="Z38" t="s">
        <v>1944</v>
      </c>
      <c r="AA38" t="s">
        <v>493</v>
      </c>
      <c r="AB38" t="s">
        <v>1899</v>
      </c>
      <c r="AC38" t="s">
        <v>1282</v>
      </c>
      <c r="AD38" t="s">
        <v>1983</v>
      </c>
      <c r="AE38" t="s">
        <v>1984</v>
      </c>
      <c r="AF38" t="s">
        <v>1983</v>
      </c>
      <c r="AG38" t="s">
        <v>1984</v>
      </c>
      <c r="AH38" t="s">
        <v>1946</v>
      </c>
      <c r="AI38" t="s">
        <v>1980</v>
      </c>
      <c r="AJ38" t="s">
        <v>1981</v>
      </c>
      <c r="AK38" t="s">
        <v>1982</v>
      </c>
      <c r="AL38" t="s">
        <v>1946</v>
      </c>
      <c r="AO38" t="s">
        <v>1947</v>
      </c>
      <c r="AP38" t="s">
        <v>1353</v>
      </c>
      <c r="AQ38" t="s">
        <v>1893</v>
      </c>
      <c r="AR38" t="s">
        <v>1353</v>
      </c>
      <c r="AS38" t="s">
        <v>1282</v>
      </c>
      <c r="AT38" t="s">
        <v>1894</v>
      </c>
    </row>
    <row r="39" spans="4:46" x14ac:dyDescent="0.25">
      <c r="D39" t="s">
        <v>567</v>
      </c>
      <c r="E39" s="177" t="str">
        <f>INDEX(tblBOneExport[[INSTRUMENT]:[ISIN]],MATCH(tblGetStaticData[[#This Row],[ISIN]],tblBOneExport[ISIN],0),1)</f>
        <v>BK NED GEMEENTEN 5.75 18/01/19 EMTN</v>
      </c>
      <c r="F39" s="155" t="str">
        <f>tblGetStaticData[[#This Row],[iPasL2]]&amp; " " &amp; tblGetStaticData[[#This Row],[Tiering]]</f>
        <v>Foreign Agency SEN</v>
      </c>
      <c r="G39" s="155" t="s">
        <v>1282</v>
      </c>
      <c r="H39" t="s">
        <v>1331</v>
      </c>
      <c r="I39" t="s">
        <v>1331</v>
      </c>
      <c r="J39" t="s">
        <v>1331</v>
      </c>
      <c r="K39" t="s">
        <v>563</v>
      </c>
      <c r="L39" t="s">
        <v>1780</v>
      </c>
      <c r="M39" t="s">
        <v>493</v>
      </c>
      <c r="N39" t="s">
        <v>1882</v>
      </c>
      <c r="O39" t="s">
        <v>1295</v>
      </c>
      <c r="P39" t="s">
        <v>1294</v>
      </c>
      <c r="Q39" t="s">
        <v>1895</v>
      </c>
      <c r="R39" t="s">
        <v>1295</v>
      </c>
      <c r="S39" t="s">
        <v>1294</v>
      </c>
      <c r="T39" t="s">
        <v>1895</v>
      </c>
      <c r="U39" t="s">
        <v>1887</v>
      </c>
      <c r="V39" t="s">
        <v>567</v>
      </c>
      <c r="W39" t="s">
        <v>563</v>
      </c>
      <c r="X39" t="s">
        <v>1967</v>
      </c>
      <c r="Y39" t="s">
        <v>1968</v>
      </c>
      <c r="Z39" t="s">
        <v>1969</v>
      </c>
      <c r="AA39" t="s">
        <v>493</v>
      </c>
      <c r="AB39" t="s">
        <v>1899</v>
      </c>
      <c r="AC39" t="s">
        <v>1282</v>
      </c>
      <c r="AD39" t="s">
        <v>1985</v>
      </c>
      <c r="AE39" t="s">
        <v>1984</v>
      </c>
      <c r="AF39" t="s">
        <v>1985</v>
      </c>
      <c r="AG39" t="s">
        <v>1984</v>
      </c>
      <c r="AH39" t="s">
        <v>1295</v>
      </c>
      <c r="AI39" t="s">
        <v>1295</v>
      </c>
      <c r="AJ39" t="s">
        <v>1294</v>
      </c>
      <c r="AK39" t="s">
        <v>1895</v>
      </c>
      <c r="AL39" t="s">
        <v>1295</v>
      </c>
      <c r="AM39" t="s">
        <v>1294</v>
      </c>
      <c r="AN39" t="s">
        <v>1895</v>
      </c>
      <c r="AO39" t="s">
        <v>1947</v>
      </c>
      <c r="AP39" t="s">
        <v>1353</v>
      </c>
      <c r="AQ39" t="s">
        <v>1780</v>
      </c>
      <c r="AR39" t="s">
        <v>1780</v>
      </c>
      <c r="AS39" t="s">
        <v>1282</v>
      </c>
      <c r="AT39" t="s">
        <v>1894</v>
      </c>
    </row>
    <row r="40" spans="4:46" x14ac:dyDescent="0.25">
      <c r="D40" t="s">
        <v>1060</v>
      </c>
      <c r="E40" s="177" t="str">
        <f>INDEX(tblBOneExport[[INSTRUMENT]:[ISIN]],MATCH(tblGetStaticData[[#This Row],[ISIN]],tblBOneExport[ISIN],0),1)</f>
        <v>PROCTER &amp; GAMBLE 6.25 31/01/30</v>
      </c>
      <c r="F40" s="155" t="str">
        <f>tblGetStaticData[[#This Row],[iPasL2]]&amp; " " &amp; tblGetStaticData[[#This Row],[Tiering]]</f>
        <v>Consumer Noncyclical SEN</v>
      </c>
      <c r="G40" s="155" t="s">
        <v>1282</v>
      </c>
      <c r="H40" t="s">
        <v>1279</v>
      </c>
      <c r="I40" t="s">
        <v>1279</v>
      </c>
      <c r="J40" t="s">
        <v>1343</v>
      </c>
      <c r="K40" t="s">
        <v>1061</v>
      </c>
      <c r="L40" t="s">
        <v>1408</v>
      </c>
      <c r="M40" t="s">
        <v>493</v>
      </c>
      <c r="N40" t="s">
        <v>1882</v>
      </c>
      <c r="O40" t="s">
        <v>1309</v>
      </c>
      <c r="P40" t="s">
        <v>1960</v>
      </c>
      <c r="Q40" t="s">
        <v>1961</v>
      </c>
      <c r="R40" t="s">
        <v>1309</v>
      </c>
      <c r="S40" t="s">
        <v>1960</v>
      </c>
      <c r="T40" t="s">
        <v>1961</v>
      </c>
      <c r="U40" t="s">
        <v>1962</v>
      </c>
      <c r="V40" t="s">
        <v>1060</v>
      </c>
      <c r="W40" t="s">
        <v>1061</v>
      </c>
      <c r="X40" t="s">
        <v>1896</v>
      </c>
      <c r="Y40" t="s">
        <v>1910</v>
      </c>
      <c r="Z40" t="s">
        <v>1911</v>
      </c>
      <c r="AA40" t="s">
        <v>493</v>
      </c>
      <c r="AB40" t="s">
        <v>1899</v>
      </c>
      <c r="AC40" t="s">
        <v>1282</v>
      </c>
      <c r="AD40" t="s">
        <v>1986</v>
      </c>
      <c r="AE40" t="s">
        <v>1931</v>
      </c>
      <c r="AF40" t="s">
        <v>1986</v>
      </c>
      <c r="AG40" t="s">
        <v>1931</v>
      </c>
      <c r="AH40" t="s">
        <v>1309</v>
      </c>
      <c r="AI40" t="s">
        <v>1309</v>
      </c>
      <c r="AJ40" t="s">
        <v>1960</v>
      </c>
      <c r="AK40" t="s">
        <v>1961</v>
      </c>
      <c r="AL40" t="s">
        <v>1309</v>
      </c>
      <c r="AM40" t="s">
        <v>1960</v>
      </c>
      <c r="AN40" t="s">
        <v>1961</v>
      </c>
      <c r="AO40" t="s">
        <v>1987</v>
      </c>
      <c r="AP40" t="s">
        <v>1408</v>
      </c>
      <c r="AQ40" t="s">
        <v>1873</v>
      </c>
      <c r="AR40" t="s">
        <v>1408</v>
      </c>
      <c r="AS40" t="s">
        <v>1282</v>
      </c>
      <c r="AT40" t="s">
        <v>1894</v>
      </c>
    </row>
    <row r="41" spans="4:46" x14ac:dyDescent="0.25">
      <c r="D41" t="s">
        <v>1164</v>
      </c>
      <c r="E41" s="177" t="str">
        <f>INDEX(tblBOneExport[[INSTRUMENT]:[ISIN]],MATCH(tblGetStaticData[[#This Row],[ISIN]],tblBOneExport[ISIN],0),1)</f>
        <v>THAMES WATER UTL 6.5 09/02/32 EMTN</v>
      </c>
      <c r="F41" s="155" t="str">
        <f>tblGetStaticData[[#This Row],[iPasL2]]&amp; " " &amp; tblGetStaticData[[#This Row],[Tiering]]</f>
        <v>Other Utility SEN</v>
      </c>
      <c r="G41" s="155" t="s">
        <v>1282</v>
      </c>
      <c r="H41" t="s">
        <v>1323</v>
      </c>
      <c r="I41" t="s">
        <v>1323</v>
      </c>
      <c r="J41" t="s">
        <v>1323</v>
      </c>
      <c r="K41" t="s">
        <v>1165</v>
      </c>
      <c r="L41" t="s">
        <v>1281</v>
      </c>
      <c r="M41" t="s">
        <v>493</v>
      </c>
      <c r="N41" t="s">
        <v>1882</v>
      </c>
      <c r="O41" t="s">
        <v>1360</v>
      </c>
      <c r="P41" t="s">
        <v>1885</v>
      </c>
      <c r="Q41" t="s">
        <v>1886</v>
      </c>
      <c r="R41" t="s">
        <v>1360</v>
      </c>
      <c r="S41" t="s">
        <v>1885</v>
      </c>
      <c r="T41" t="s">
        <v>1886</v>
      </c>
      <c r="U41" t="s">
        <v>1887</v>
      </c>
      <c r="V41" t="s">
        <v>1164</v>
      </c>
      <c r="W41" t="s">
        <v>1165</v>
      </c>
      <c r="X41" t="s">
        <v>1322</v>
      </c>
      <c r="Y41" t="s">
        <v>1888</v>
      </c>
      <c r="Z41" t="s">
        <v>1888</v>
      </c>
      <c r="AA41" t="s">
        <v>493</v>
      </c>
      <c r="AB41" t="s">
        <v>1889</v>
      </c>
      <c r="AC41" t="s">
        <v>1282</v>
      </c>
      <c r="AD41" t="s">
        <v>1988</v>
      </c>
      <c r="AE41" t="s">
        <v>1989</v>
      </c>
      <c r="AF41" t="s">
        <v>1988</v>
      </c>
      <c r="AG41" t="s">
        <v>1989</v>
      </c>
      <c r="AH41" t="s">
        <v>1360</v>
      </c>
      <c r="AI41" t="s">
        <v>1360</v>
      </c>
      <c r="AJ41" t="s">
        <v>1885</v>
      </c>
      <c r="AK41" t="s">
        <v>1886</v>
      </c>
      <c r="AL41" t="s">
        <v>1360</v>
      </c>
      <c r="AM41" t="s">
        <v>1885</v>
      </c>
      <c r="AN41" t="s">
        <v>1886</v>
      </c>
      <c r="AO41" t="s">
        <v>1892</v>
      </c>
      <c r="AP41" t="s">
        <v>1315</v>
      </c>
      <c r="AQ41" t="s">
        <v>1893</v>
      </c>
      <c r="AR41" t="s">
        <v>1315</v>
      </c>
      <c r="AS41" t="s">
        <v>1282</v>
      </c>
      <c r="AT41" t="s">
        <v>1894</v>
      </c>
    </row>
    <row r="42" spans="4:46" x14ac:dyDescent="0.25">
      <c r="D42" t="s">
        <v>1160</v>
      </c>
      <c r="E42" s="177" t="str">
        <f>INDEX(tblBOneExport[[INSTRUMENT]:[ISIN]],MATCH(tblGetStaticData[[#This Row],[ISIN]],tblBOneExport[ISIN],0),1)</f>
        <v>TEXTRON INC 6.625 07/04/20 EMTN</v>
      </c>
      <c r="F42" s="155" t="str">
        <f>tblGetStaticData[[#This Row],[iPasL2]]&amp; " " &amp; tblGetStaticData[[#This Row],[Tiering]]</f>
        <v>Capital Goods SEN</v>
      </c>
      <c r="G42" s="155" t="s">
        <v>1282</v>
      </c>
      <c r="H42" t="s">
        <v>1291</v>
      </c>
      <c r="I42" t="s">
        <v>1291</v>
      </c>
      <c r="J42" t="s">
        <v>1413</v>
      </c>
      <c r="K42" t="s">
        <v>1161</v>
      </c>
      <c r="L42" t="s">
        <v>1990</v>
      </c>
      <c r="M42" t="s">
        <v>493</v>
      </c>
      <c r="N42" t="s">
        <v>1882</v>
      </c>
      <c r="O42" t="s">
        <v>1309</v>
      </c>
      <c r="P42" t="s">
        <v>1960</v>
      </c>
      <c r="Q42" t="s">
        <v>1961</v>
      </c>
      <c r="R42" t="s">
        <v>1309</v>
      </c>
      <c r="S42" t="s">
        <v>1960</v>
      </c>
      <c r="T42" t="s">
        <v>1961</v>
      </c>
      <c r="U42" t="s">
        <v>1962</v>
      </c>
      <c r="V42" t="s">
        <v>1160</v>
      </c>
      <c r="W42" t="s">
        <v>1161</v>
      </c>
      <c r="X42" t="s">
        <v>1937</v>
      </c>
      <c r="Y42" t="s">
        <v>1963</v>
      </c>
      <c r="Z42" t="s">
        <v>1964</v>
      </c>
      <c r="AA42" t="s">
        <v>493</v>
      </c>
      <c r="AB42" t="s">
        <v>1899</v>
      </c>
      <c r="AC42" t="s">
        <v>1282</v>
      </c>
      <c r="AD42" t="s">
        <v>1991</v>
      </c>
      <c r="AE42" t="s">
        <v>1915</v>
      </c>
      <c r="AF42" t="s">
        <v>1991</v>
      </c>
      <c r="AG42" t="s">
        <v>1915</v>
      </c>
      <c r="AH42" t="s">
        <v>1309</v>
      </c>
      <c r="AI42" t="s">
        <v>1309</v>
      </c>
      <c r="AJ42" t="s">
        <v>1960</v>
      </c>
      <c r="AK42" t="s">
        <v>1961</v>
      </c>
      <c r="AL42" t="s">
        <v>1309</v>
      </c>
      <c r="AM42" t="s">
        <v>1960</v>
      </c>
      <c r="AN42" t="s">
        <v>1961</v>
      </c>
      <c r="AO42" t="s">
        <v>1940</v>
      </c>
      <c r="AP42" t="s">
        <v>1288</v>
      </c>
      <c r="AQ42" t="s">
        <v>1953</v>
      </c>
      <c r="AR42" t="s">
        <v>1288</v>
      </c>
      <c r="AS42" t="s">
        <v>1282</v>
      </c>
      <c r="AT42" t="s">
        <v>1894</v>
      </c>
    </row>
    <row r="43" spans="4:46" x14ac:dyDescent="0.25">
      <c r="D43" t="s">
        <v>737</v>
      </c>
      <c r="E43" s="177" t="str">
        <f>INDEX(tblBOneExport[[INSTRUMENT]:[ISIN]],MATCH(tblGetStaticData[[#This Row],[ISIN]],tblBOneExport[ISIN],0),1)</f>
        <v>EUROPEAN INVT BK 5.625 07/06/32</v>
      </c>
      <c r="F43" s="155" t="str">
        <f>tblGetStaticData[[#This Row],[iPasL2]]&amp; " " &amp; tblGetStaticData[[#This Row],[Tiering]]</f>
        <v>Supranationals SEN</v>
      </c>
      <c r="G43" s="155" t="s">
        <v>1282</v>
      </c>
      <c r="H43" t="s">
        <v>1352</v>
      </c>
      <c r="I43" t="s">
        <v>1352</v>
      </c>
      <c r="J43" t="s">
        <v>1352</v>
      </c>
      <c r="K43" t="s">
        <v>733</v>
      </c>
      <c r="L43" t="s">
        <v>1353</v>
      </c>
      <c r="M43" t="s">
        <v>493</v>
      </c>
      <c r="N43" t="s">
        <v>1882</v>
      </c>
      <c r="O43" t="s">
        <v>1522</v>
      </c>
      <c r="P43" t="s">
        <v>1521</v>
      </c>
      <c r="Q43" t="s">
        <v>1895</v>
      </c>
      <c r="R43" t="s">
        <v>1522</v>
      </c>
      <c r="S43" t="s">
        <v>1521</v>
      </c>
      <c r="T43" t="s">
        <v>1895</v>
      </c>
      <c r="U43" t="s">
        <v>1941</v>
      </c>
      <c r="V43" t="s">
        <v>737</v>
      </c>
      <c r="W43" t="s">
        <v>733</v>
      </c>
      <c r="X43" t="s">
        <v>1942</v>
      </c>
      <c r="Y43" t="s">
        <v>1943</v>
      </c>
      <c r="Z43" t="s">
        <v>1944</v>
      </c>
      <c r="AA43" t="s">
        <v>493</v>
      </c>
      <c r="AB43" t="s">
        <v>1899</v>
      </c>
      <c r="AC43" t="s">
        <v>1282</v>
      </c>
      <c r="AD43" t="s">
        <v>1992</v>
      </c>
      <c r="AE43" t="s">
        <v>1989</v>
      </c>
      <c r="AF43" t="s">
        <v>1992</v>
      </c>
      <c r="AG43" t="s">
        <v>1989</v>
      </c>
      <c r="AH43" t="s">
        <v>1946</v>
      </c>
      <c r="AI43" t="s">
        <v>1522</v>
      </c>
      <c r="AJ43" t="s">
        <v>1521</v>
      </c>
      <c r="AK43" t="s">
        <v>1895</v>
      </c>
      <c r="AL43" t="s">
        <v>1946</v>
      </c>
      <c r="AO43" t="s">
        <v>1947</v>
      </c>
      <c r="AP43" t="s">
        <v>1353</v>
      </c>
      <c r="AQ43" t="s">
        <v>1353</v>
      </c>
      <c r="AR43" t="s">
        <v>1353</v>
      </c>
      <c r="AS43" t="s">
        <v>1282</v>
      </c>
      <c r="AT43" t="s">
        <v>1894</v>
      </c>
    </row>
    <row r="44" spans="4:46" x14ac:dyDescent="0.25">
      <c r="D44" t="s">
        <v>528</v>
      </c>
      <c r="E44" s="177" t="str">
        <f>INDEX(tblBOneExport[[INSTRUMENT]:[ISIN]],MATCH(tblGetStaticData[[#This Row],[ISIN]],tblBOneExport[ISIN],0),1)</f>
        <v>AIG SUNAMERICA 6.375 05/10/20 EMTN</v>
      </c>
      <c r="F44" s="155" t="str">
        <f>tblGetStaticData[[#This Row],[iPasL2]]&amp; " " &amp; tblGetStaticData[[#This Row],[Tiering]]</f>
        <v>Insurance SEN</v>
      </c>
      <c r="G44" s="155" t="s">
        <v>1282</v>
      </c>
      <c r="H44" t="s">
        <v>1301</v>
      </c>
      <c r="I44" t="s">
        <v>1301</v>
      </c>
      <c r="J44" t="s">
        <v>1302</v>
      </c>
      <c r="K44" t="s">
        <v>526</v>
      </c>
      <c r="L44" t="s">
        <v>1332</v>
      </c>
      <c r="M44" t="s">
        <v>493</v>
      </c>
      <c r="N44" t="s">
        <v>1882</v>
      </c>
      <c r="O44" t="s">
        <v>1419</v>
      </c>
      <c r="P44" t="s">
        <v>1883</v>
      </c>
      <c r="Q44" t="s">
        <v>1884</v>
      </c>
      <c r="R44" t="s">
        <v>1419</v>
      </c>
      <c r="S44" t="s">
        <v>1883</v>
      </c>
      <c r="T44" t="s">
        <v>1884</v>
      </c>
      <c r="U44" t="s">
        <v>1993</v>
      </c>
      <c r="V44" t="s">
        <v>528</v>
      </c>
      <c r="W44" t="s">
        <v>526</v>
      </c>
      <c r="X44" t="s">
        <v>1967</v>
      </c>
      <c r="Y44" t="s">
        <v>1301</v>
      </c>
      <c r="Z44" t="s">
        <v>1976</v>
      </c>
      <c r="AA44" t="s">
        <v>493</v>
      </c>
      <c r="AB44" t="s">
        <v>1994</v>
      </c>
      <c r="AC44" t="s">
        <v>1282</v>
      </c>
      <c r="AD44" t="s">
        <v>1995</v>
      </c>
      <c r="AE44" t="s">
        <v>1915</v>
      </c>
      <c r="AF44" t="s">
        <v>1995</v>
      </c>
      <c r="AG44" t="s">
        <v>1915</v>
      </c>
      <c r="AH44" t="s">
        <v>1419</v>
      </c>
      <c r="AI44" t="s">
        <v>1419</v>
      </c>
      <c r="AJ44" t="s">
        <v>1883</v>
      </c>
      <c r="AK44" t="s">
        <v>1884</v>
      </c>
      <c r="AL44" t="s">
        <v>1419</v>
      </c>
      <c r="AM44" t="s">
        <v>1883</v>
      </c>
      <c r="AN44" t="s">
        <v>1884</v>
      </c>
      <c r="AO44" t="s">
        <v>1902</v>
      </c>
      <c r="AP44" t="s">
        <v>1293</v>
      </c>
      <c r="AQ44" t="s">
        <v>1293</v>
      </c>
      <c r="AR44" t="s">
        <v>1332</v>
      </c>
      <c r="AS44" t="s">
        <v>1282</v>
      </c>
      <c r="AT44" t="s">
        <v>1894</v>
      </c>
    </row>
    <row r="45" spans="4:46" x14ac:dyDescent="0.25">
      <c r="D45" t="s">
        <v>1257</v>
      </c>
      <c r="E45" s="177" t="str">
        <f>INDEX(tblBOneExport[[INSTRUMENT]:[ISIN]],MATCH(tblGetStaticData[[#This Row],[ISIN]],tblBOneExport[ISIN],0),1)</f>
        <v>WAL MART STORES 5.75 19/12/30</v>
      </c>
      <c r="F45" s="155" t="str">
        <f>tblGetStaticData[[#This Row],[iPasL2]]&amp; " " &amp; tblGetStaticData[[#This Row],[Tiering]]</f>
        <v>Consumer Cyclical SEN</v>
      </c>
      <c r="G45" s="155" t="s">
        <v>1282</v>
      </c>
      <c r="H45" t="s">
        <v>1306</v>
      </c>
      <c r="I45" t="s">
        <v>1306</v>
      </c>
      <c r="J45" t="s">
        <v>1422</v>
      </c>
      <c r="K45" t="s">
        <v>1255</v>
      </c>
      <c r="L45" t="s">
        <v>1303</v>
      </c>
      <c r="M45" t="s">
        <v>493</v>
      </c>
      <c r="N45" t="s">
        <v>1882</v>
      </c>
      <c r="O45" t="s">
        <v>1309</v>
      </c>
      <c r="P45" t="s">
        <v>1960</v>
      </c>
      <c r="Q45" t="s">
        <v>1961</v>
      </c>
      <c r="R45" t="s">
        <v>1309</v>
      </c>
      <c r="S45" t="s">
        <v>1960</v>
      </c>
      <c r="T45" t="s">
        <v>1961</v>
      </c>
      <c r="U45" t="s">
        <v>1962</v>
      </c>
      <c r="V45" t="s">
        <v>1257</v>
      </c>
      <c r="W45" t="s">
        <v>1255</v>
      </c>
      <c r="X45" t="s">
        <v>1932</v>
      </c>
      <c r="Y45" t="s">
        <v>1996</v>
      </c>
      <c r="Z45" t="s">
        <v>1997</v>
      </c>
      <c r="AA45" t="s">
        <v>493</v>
      </c>
      <c r="AB45" t="s">
        <v>1899</v>
      </c>
      <c r="AC45" t="s">
        <v>1282</v>
      </c>
      <c r="AD45" t="s">
        <v>1998</v>
      </c>
      <c r="AE45" t="s">
        <v>1931</v>
      </c>
      <c r="AF45" t="s">
        <v>1998</v>
      </c>
      <c r="AG45" t="s">
        <v>1931</v>
      </c>
      <c r="AH45" t="s">
        <v>1309</v>
      </c>
      <c r="AI45" t="s">
        <v>1309</v>
      </c>
      <c r="AJ45" t="s">
        <v>1960</v>
      </c>
      <c r="AK45" t="s">
        <v>1961</v>
      </c>
      <c r="AL45" t="s">
        <v>1309</v>
      </c>
      <c r="AM45" t="s">
        <v>1960</v>
      </c>
      <c r="AN45" t="s">
        <v>1961</v>
      </c>
      <c r="AO45" t="s">
        <v>1999</v>
      </c>
      <c r="AP45" t="s">
        <v>1303</v>
      </c>
      <c r="AQ45" t="s">
        <v>1303</v>
      </c>
      <c r="AR45" t="s">
        <v>1303</v>
      </c>
      <c r="AS45" t="s">
        <v>1282</v>
      </c>
      <c r="AT45" t="s">
        <v>1894</v>
      </c>
    </row>
    <row r="46" spans="4:46" x14ac:dyDescent="0.25">
      <c r="D46" t="s">
        <v>1095</v>
      </c>
      <c r="E46" s="177" t="str">
        <f>INDEX(tblBOneExport[[INSTRUMENT]:[ISIN]],MATCH(tblGetStaticData[[#This Row],[ISIN]],tblBOneExport[ISIN],0),1)</f>
        <v>INNOGY FINANCE 6.5 20/04/21 EMTN</v>
      </c>
      <c r="F46" s="155" t="str">
        <f>tblGetStaticData[[#This Row],[iPasL2]]&amp; " " &amp; tblGetStaticData[[#This Row],[Tiering]]</f>
        <v>Electric SEN</v>
      </c>
      <c r="G46" s="155" t="s">
        <v>1282</v>
      </c>
      <c r="H46" t="s">
        <v>1358</v>
      </c>
      <c r="I46" t="s">
        <v>1358</v>
      </c>
      <c r="J46" t="s">
        <v>1358</v>
      </c>
      <c r="K46" t="s">
        <v>1093</v>
      </c>
      <c r="L46" t="s">
        <v>1288</v>
      </c>
      <c r="M46" t="s">
        <v>493</v>
      </c>
      <c r="N46" t="s">
        <v>1882</v>
      </c>
      <c r="O46" t="s">
        <v>1295</v>
      </c>
      <c r="P46" t="s">
        <v>1294</v>
      </c>
      <c r="Q46" t="s">
        <v>1895</v>
      </c>
      <c r="R46" t="s">
        <v>1433</v>
      </c>
      <c r="S46" t="s">
        <v>1432</v>
      </c>
      <c r="T46" t="s">
        <v>1895</v>
      </c>
      <c r="U46" t="s">
        <v>1887</v>
      </c>
      <c r="V46" t="s">
        <v>1095</v>
      </c>
      <c r="W46" t="s">
        <v>1093</v>
      </c>
      <c r="X46" t="s">
        <v>1322</v>
      </c>
      <c r="Y46" t="s">
        <v>1358</v>
      </c>
      <c r="Z46" t="s">
        <v>1921</v>
      </c>
      <c r="AA46" t="s">
        <v>493</v>
      </c>
      <c r="AB46" t="s">
        <v>1899</v>
      </c>
      <c r="AC46" t="s">
        <v>1282</v>
      </c>
      <c r="AD46" t="s">
        <v>2000</v>
      </c>
      <c r="AE46" t="s">
        <v>1966</v>
      </c>
      <c r="AF46" t="s">
        <v>2000</v>
      </c>
      <c r="AG46" t="s">
        <v>1966</v>
      </c>
      <c r="AH46" t="s">
        <v>1295</v>
      </c>
      <c r="AI46" t="s">
        <v>1295</v>
      </c>
      <c r="AJ46" t="s">
        <v>1294</v>
      </c>
      <c r="AK46" t="s">
        <v>1895</v>
      </c>
      <c r="AL46" t="s">
        <v>1433</v>
      </c>
      <c r="AM46" t="s">
        <v>1432</v>
      </c>
      <c r="AN46" t="s">
        <v>1895</v>
      </c>
      <c r="AO46" t="s">
        <v>1940</v>
      </c>
      <c r="AP46" t="s">
        <v>1990</v>
      </c>
      <c r="AQ46" t="s">
        <v>1281</v>
      </c>
      <c r="AR46" t="s">
        <v>1288</v>
      </c>
      <c r="AS46" t="s">
        <v>1282</v>
      </c>
      <c r="AT46" t="s">
        <v>1894</v>
      </c>
    </row>
    <row r="47" spans="4:46" x14ac:dyDescent="0.25">
      <c r="D47" t="s">
        <v>677</v>
      </c>
      <c r="E47" s="177" t="str">
        <f>INDEX(tblBOneExport[[INSTRUMENT]:[ISIN]],MATCH(tblGetStaticData[[#This Row],[ISIN]],tblBOneExport[ISIN],0),1)</f>
        <v>DWR CYMRU FIN 6.015 31/03/28 A1</v>
      </c>
      <c r="F47" s="155" t="str">
        <f>tblGetStaticData[[#This Row],[iPasL2]]&amp; " " &amp; tblGetStaticData[[#This Row],[Tiering]]</f>
        <v>Other Utility SEN</v>
      </c>
      <c r="G47" s="155" t="s">
        <v>1282</v>
      </c>
      <c r="H47" t="s">
        <v>1323</v>
      </c>
      <c r="I47" t="s">
        <v>1323</v>
      </c>
      <c r="J47" t="s">
        <v>1323</v>
      </c>
      <c r="K47" t="s">
        <v>675</v>
      </c>
      <c r="L47" t="s">
        <v>1332</v>
      </c>
      <c r="M47" t="s">
        <v>493</v>
      </c>
      <c r="N47" t="s">
        <v>1882</v>
      </c>
      <c r="O47" t="s">
        <v>1419</v>
      </c>
      <c r="P47" t="s">
        <v>1883</v>
      </c>
      <c r="Q47" t="s">
        <v>1884</v>
      </c>
      <c r="R47" t="s">
        <v>1360</v>
      </c>
      <c r="S47" t="s">
        <v>1885</v>
      </c>
      <c r="T47" t="s">
        <v>1886</v>
      </c>
      <c r="U47" t="s">
        <v>1887</v>
      </c>
      <c r="V47" t="s">
        <v>677</v>
      </c>
      <c r="W47" t="s">
        <v>675</v>
      </c>
      <c r="X47" t="s">
        <v>1322</v>
      </c>
      <c r="Y47" t="s">
        <v>1888</v>
      </c>
      <c r="Z47" t="s">
        <v>1888</v>
      </c>
      <c r="AA47" t="s">
        <v>493</v>
      </c>
      <c r="AB47" t="s">
        <v>1994</v>
      </c>
      <c r="AC47" t="s">
        <v>1282</v>
      </c>
      <c r="AD47" t="s">
        <v>2001</v>
      </c>
      <c r="AE47" t="s">
        <v>1923</v>
      </c>
      <c r="AF47" t="s">
        <v>2001</v>
      </c>
      <c r="AG47" t="s">
        <v>1923</v>
      </c>
      <c r="AH47" t="s">
        <v>1419</v>
      </c>
      <c r="AI47" t="s">
        <v>1419</v>
      </c>
      <c r="AJ47" t="s">
        <v>1883</v>
      </c>
      <c r="AK47" t="s">
        <v>1884</v>
      </c>
      <c r="AL47" t="s">
        <v>1360</v>
      </c>
      <c r="AM47" t="s">
        <v>1885</v>
      </c>
      <c r="AN47" t="s">
        <v>1886</v>
      </c>
      <c r="AO47" t="s">
        <v>1902</v>
      </c>
      <c r="AP47" t="s">
        <v>1332</v>
      </c>
      <c r="AQ47" t="s">
        <v>1332</v>
      </c>
      <c r="AR47" t="s">
        <v>1332</v>
      </c>
      <c r="AS47" t="s">
        <v>1282</v>
      </c>
      <c r="AT47" t="s">
        <v>1894</v>
      </c>
    </row>
    <row r="48" spans="4:46" x14ac:dyDescent="0.25">
      <c r="D48" t="s">
        <v>679</v>
      </c>
      <c r="E48" s="177" t="str">
        <f>INDEX(tblBOneExport[[INSTRUMENT]:[ISIN]],MATCH(tblGetStaticData[[#This Row],[ISIN]],tblBOneExport[ISIN],0),1)</f>
        <v>DWR CYMRU FIN 6.907 31/03/21 B1</v>
      </c>
      <c r="F48" s="155" t="str">
        <f>tblGetStaticData[[#This Row],[iPasL2]]&amp; " " &amp; tblGetStaticData[[#This Row],[Tiering]]</f>
        <v>Other Utility SEN</v>
      </c>
      <c r="G48" s="155" t="s">
        <v>1282</v>
      </c>
      <c r="H48" t="s">
        <v>1323</v>
      </c>
      <c r="I48" t="s">
        <v>1323</v>
      </c>
      <c r="J48" t="s">
        <v>1323</v>
      </c>
      <c r="K48" t="s">
        <v>675</v>
      </c>
      <c r="L48" t="s">
        <v>1281</v>
      </c>
      <c r="M48" t="s">
        <v>493</v>
      </c>
      <c r="N48" t="s">
        <v>1882</v>
      </c>
      <c r="O48" t="s">
        <v>1419</v>
      </c>
      <c r="P48" t="s">
        <v>1883</v>
      </c>
      <c r="Q48" t="s">
        <v>1884</v>
      </c>
      <c r="R48" t="s">
        <v>1360</v>
      </c>
      <c r="S48" t="s">
        <v>1885</v>
      </c>
      <c r="T48" t="s">
        <v>1886</v>
      </c>
      <c r="U48" t="s">
        <v>1887</v>
      </c>
      <c r="V48" t="s">
        <v>679</v>
      </c>
      <c r="W48" t="s">
        <v>675</v>
      </c>
      <c r="X48" t="s">
        <v>1322</v>
      </c>
      <c r="Y48" t="s">
        <v>1888</v>
      </c>
      <c r="Z48" t="s">
        <v>1888</v>
      </c>
      <c r="AA48" t="s">
        <v>493</v>
      </c>
      <c r="AB48" t="s">
        <v>1994</v>
      </c>
      <c r="AC48" t="s">
        <v>1282</v>
      </c>
      <c r="AD48" t="s">
        <v>2002</v>
      </c>
      <c r="AE48" t="s">
        <v>1966</v>
      </c>
      <c r="AF48" t="s">
        <v>2002</v>
      </c>
      <c r="AG48" t="s">
        <v>1966</v>
      </c>
      <c r="AH48" t="s">
        <v>1419</v>
      </c>
      <c r="AI48" t="s">
        <v>1419</v>
      </c>
      <c r="AJ48" t="s">
        <v>1883</v>
      </c>
      <c r="AK48" t="s">
        <v>1884</v>
      </c>
      <c r="AL48" t="s">
        <v>1360</v>
      </c>
      <c r="AM48" t="s">
        <v>1885</v>
      </c>
      <c r="AN48" t="s">
        <v>1886</v>
      </c>
      <c r="AO48" t="s">
        <v>1902</v>
      </c>
      <c r="AP48" t="s">
        <v>1332</v>
      </c>
      <c r="AQ48" t="s">
        <v>1332</v>
      </c>
      <c r="AR48" t="s">
        <v>1332</v>
      </c>
      <c r="AS48" t="s">
        <v>1282</v>
      </c>
      <c r="AT48" t="s">
        <v>1894</v>
      </c>
    </row>
    <row r="49" spans="4:46" x14ac:dyDescent="0.25">
      <c r="D49" t="s">
        <v>893</v>
      </c>
      <c r="E49" s="177" t="str">
        <f>INDEX(tblBOneExport[[INSTRUMENT]:[ISIN]],MATCH(tblGetStaticData[[#This Row],[ISIN]],tblBOneExport[ISIN],0),1)</f>
        <v>KFW 5.625 25/08/17 EXCH</v>
      </c>
      <c r="F49" s="155" t="str">
        <f>tblGetStaticData[[#This Row],[iPasL2]]&amp; " " &amp; tblGetStaticData[[#This Row],[Tiering]]</f>
        <v>Foreign Agency SEN</v>
      </c>
      <c r="G49" s="155" t="s">
        <v>1282</v>
      </c>
      <c r="H49" t="s">
        <v>1331</v>
      </c>
      <c r="I49" t="s">
        <v>1331</v>
      </c>
      <c r="J49" t="s">
        <v>1331</v>
      </c>
      <c r="K49" t="s">
        <v>889</v>
      </c>
      <c r="L49" t="s">
        <v>1353</v>
      </c>
      <c r="M49" t="s">
        <v>493</v>
      </c>
      <c r="N49" t="s">
        <v>1882</v>
      </c>
      <c r="O49" t="s">
        <v>1433</v>
      </c>
      <c r="P49" t="s">
        <v>1432</v>
      </c>
      <c r="Q49" t="s">
        <v>1895</v>
      </c>
      <c r="R49" t="s">
        <v>1433</v>
      </c>
      <c r="S49" t="s">
        <v>1432</v>
      </c>
      <c r="T49" t="s">
        <v>1895</v>
      </c>
      <c r="U49" t="s">
        <v>1887</v>
      </c>
      <c r="V49" t="s">
        <v>893</v>
      </c>
      <c r="W49" t="s">
        <v>889</v>
      </c>
      <c r="X49" t="s">
        <v>1967</v>
      </c>
      <c r="Y49" t="s">
        <v>1968</v>
      </c>
      <c r="Z49" t="s">
        <v>1969</v>
      </c>
      <c r="AA49" t="s">
        <v>493</v>
      </c>
      <c r="AB49" t="s">
        <v>1899</v>
      </c>
      <c r="AC49" t="s">
        <v>1282</v>
      </c>
      <c r="AD49" t="s">
        <v>1945</v>
      </c>
      <c r="AE49" t="s">
        <v>1936</v>
      </c>
      <c r="AF49" t="s">
        <v>1945</v>
      </c>
      <c r="AG49" t="s">
        <v>1936</v>
      </c>
      <c r="AH49" t="s">
        <v>1433</v>
      </c>
      <c r="AI49" t="s">
        <v>1433</v>
      </c>
      <c r="AJ49" t="s">
        <v>1432</v>
      </c>
      <c r="AK49" t="s">
        <v>1895</v>
      </c>
      <c r="AL49" t="s">
        <v>1433</v>
      </c>
      <c r="AM49" t="s">
        <v>1432</v>
      </c>
      <c r="AN49" t="s">
        <v>1895</v>
      </c>
      <c r="AO49" t="s">
        <v>1947</v>
      </c>
      <c r="AP49" t="s">
        <v>1353</v>
      </c>
      <c r="AQ49" t="s">
        <v>1353</v>
      </c>
      <c r="AR49" t="s">
        <v>1353</v>
      </c>
      <c r="AS49" t="s">
        <v>1282</v>
      </c>
      <c r="AT49" t="s">
        <v>1894</v>
      </c>
    </row>
    <row r="50" spans="4:46" x14ac:dyDescent="0.25">
      <c r="D50" t="s">
        <v>891</v>
      </c>
      <c r="E50" s="177" t="str">
        <f>INDEX(tblBOneExport[[INSTRUMENT]:[ISIN]],MATCH(tblGetStaticData[[#This Row],[ISIN]],tblBOneExport[ISIN],0),1)</f>
        <v>KFW 6 07/12/28 EXCH</v>
      </c>
      <c r="F50" s="155" t="str">
        <f>tblGetStaticData[[#This Row],[iPasL2]]&amp; " " &amp; tblGetStaticData[[#This Row],[Tiering]]</f>
        <v>Foreign Agency SEN</v>
      </c>
      <c r="G50" s="155" t="s">
        <v>1282</v>
      </c>
      <c r="H50" t="s">
        <v>1331</v>
      </c>
      <c r="I50" t="s">
        <v>1331</v>
      </c>
      <c r="J50" t="s">
        <v>1331</v>
      </c>
      <c r="K50" t="s">
        <v>889</v>
      </c>
      <c r="L50" t="s">
        <v>1353</v>
      </c>
      <c r="M50" t="s">
        <v>493</v>
      </c>
      <c r="N50" t="s">
        <v>1882</v>
      </c>
      <c r="O50" t="s">
        <v>1433</v>
      </c>
      <c r="P50" t="s">
        <v>1432</v>
      </c>
      <c r="Q50" t="s">
        <v>1895</v>
      </c>
      <c r="R50" t="s">
        <v>1433</v>
      </c>
      <c r="S50" t="s">
        <v>1432</v>
      </c>
      <c r="T50" t="s">
        <v>1895</v>
      </c>
      <c r="U50" t="s">
        <v>1887</v>
      </c>
      <c r="V50" t="s">
        <v>891</v>
      </c>
      <c r="W50" t="s">
        <v>889</v>
      </c>
      <c r="X50" t="s">
        <v>1967</v>
      </c>
      <c r="Y50" t="s">
        <v>1968</v>
      </c>
      <c r="Z50" t="s">
        <v>1969</v>
      </c>
      <c r="AA50" t="s">
        <v>493</v>
      </c>
      <c r="AB50" t="s">
        <v>1899</v>
      </c>
      <c r="AC50" t="s">
        <v>1282</v>
      </c>
      <c r="AD50" t="s">
        <v>1956</v>
      </c>
      <c r="AE50" t="s">
        <v>1923</v>
      </c>
      <c r="AF50" t="s">
        <v>1956</v>
      </c>
      <c r="AG50" t="s">
        <v>1923</v>
      </c>
      <c r="AH50" t="s">
        <v>1433</v>
      </c>
      <c r="AI50" t="s">
        <v>1433</v>
      </c>
      <c r="AJ50" t="s">
        <v>1432</v>
      </c>
      <c r="AK50" t="s">
        <v>1895</v>
      </c>
      <c r="AL50" t="s">
        <v>1433</v>
      </c>
      <c r="AM50" t="s">
        <v>1432</v>
      </c>
      <c r="AN50" t="s">
        <v>1895</v>
      </c>
      <c r="AO50" t="s">
        <v>1947</v>
      </c>
      <c r="AP50" t="s">
        <v>1353</v>
      </c>
      <c r="AQ50" t="s">
        <v>1353</v>
      </c>
      <c r="AR50" t="s">
        <v>1353</v>
      </c>
      <c r="AS50" t="s">
        <v>1282</v>
      </c>
      <c r="AT50" t="s">
        <v>1894</v>
      </c>
    </row>
    <row r="51" spans="4:46" x14ac:dyDescent="0.25">
      <c r="D51" t="s">
        <v>895</v>
      </c>
      <c r="E51" s="177" t="str">
        <f>INDEX(tblBOneExport[[INSTRUMENT]:[ISIN]],MATCH(tblGetStaticData[[#This Row],[ISIN]],tblBOneExport[ISIN],0),1)</f>
        <v>KFW 5 09/06/36 EXCH</v>
      </c>
      <c r="F51" s="155" t="str">
        <f>tblGetStaticData[[#This Row],[iPasL2]]&amp; " " &amp; tblGetStaticData[[#This Row],[Tiering]]</f>
        <v>Foreign Agency SEN</v>
      </c>
      <c r="G51" s="155" t="s">
        <v>1282</v>
      </c>
      <c r="H51" t="s">
        <v>1331</v>
      </c>
      <c r="I51" t="s">
        <v>1331</v>
      </c>
      <c r="J51" t="s">
        <v>1331</v>
      </c>
      <c r="K51" t="s">
        <v>889</v>
      </c>
      <c r="L51" t="s">
        <v>1353</v>
      </c>
      <c r="M51" t="s">
        <v>493</v>
      </c>
      <c r="N51" t="s">
        <v>1882</v>
      </c>
      <c r="O51" t="s">
        <v>1433</v>
      </c>
      <c r="P51" t="s">
        <v>1432</v>
      </c>
      <c r="Q51" t="s">
        <v>1895</v>
      </c>
      <c r="R51" t="s">
        <v>1433</v>
      </c>
      <c r="S51" t="s">
        <v>1432</v>
      </c>
      <c r="T51" t="s">
        <v>1895</v>
      </c>
      <c r="U51" t="s">
        <v>1887</v>
      </c>
      <c r="V51" t="s">
        <v>895</v>
      </c>
      <c r="W51" t="s">
        <v>889</v>
      </c>
      <c r="X51" t="s">
        <v>1967</v>
      </c>
      <c r="Y51" t="s">
        <v>1968</v>
      </c>
      <c r="Z51" t="s">
        <v>1969</v>
      </c>
      <c r="AA51" t="s">
        <v>493</v>
      </c>
      <c r="AB51" t="s">
        <v>1899</v>
      </c>
      <c r="AC51" t="s">
        <v>1282</v>
      </c>
      <c r="AD51" t="s">
        <v>2003</v>
      </c>
      <c r="AE51" t="s">
        <v>2004</v>
      </c>
      <c r="AF51" t="s">
        <v>2003</v>
      </c>
      <c r="AG51" t="s">
        <v>2004</v>
      </c>
      <c r="AH51" t="s">
        <v>1433</v>
      </c>
      <c r="AI51" t="s">
        <v>1433</v>
      </c>
      <c r="AJ51" t="s">
        <v>1432</v>
      </c>
      <c r="AK51" t="s">
        <v>1895</v>
      </c>
      <c r="AL51" t="s">
        <v>1433</v>
      </c>
      <c r="AM51" t="s">
        <v>1432</v>
      </c>
      <c r="AN51" t="s">
        <v>1895</v>
      </c>
      <c r="AO51" t="s">
        <v>1947</v>
      </c>
      <c r="AP51" t="s">
        <v>1353</v>
      </c>
      <c r="AQ51" t="s">
        <v>1353</v>
      </c>
      <c r="AR51" t="s">
        <v>1353</v>
      </c>
      <c r="AS51" t="s">
        <v>1282</v>
      </c>
      <c r="AT51" t="s">
        <v>1894</v>
      </c>
    </row>
    <row r="52" spans="4:46" x14ac:dyDescent="0.25">
      <c r="D52" t="s">
        <v>1102</v>
      </c>
      <c r="E52" s="177" t="str">
        <f>INDEX(tblBOneExport[[INSTRUMENT]:[ISIN]],MATCH(tblGetStaticData[[#This Row],[ISIN]],tblBOneExport[ISIN],0),1)</f>
        <v>SOUTHERN ELECTR 5.5 07/06/32</v>
      </c>
      <c r="F52" s="155" t="str">
        <f>tblGetStaticData[[#This Row],[iPasL2]]&amp; " " &amp; tblGetStaticData[[#This Row],[Tiering]]</f>
        <v>Electric SEN</v>
      </c>
      <c r="G52" s="155" t="s">
        <v>1282</v>
      </c>
      <c r="H52" t="s">
        <v>1358</v>
      </c>
      <c r="I52" t="s">
        <v>1358</v>
      </c>
      <c r="J52" t="s">
        <v>1358</v>
      </c>
      <c r="K52" t="s">
        <v>1103</v>
      </c>
      <c r="L52" t="s">
        <v>1281</v>
      </c>
      <c r="M52" t="s">
        <v>493</v>
      </c>
      <c r="N52" t="s">
        <v>1882</v>
      </c>
      <c r="O52" t="s">
        <v>1360</v>
      </c>
      <c r="P52" t="s">
        <v>1885</v>
      </c>
      <c r="Q52" t="s">
        <v>1886</v>
      </c>
      <c r="R52" t="s">
        <v>1360</v>
      </c>
      <c r="S52" t="s">
        <v>1885</v>
      </c>
      <c r="T52" t="s">
        <v>1886</v>
      </c>
      <c r="U52" t="s">
        <v>1887</v>
      </c>
      <c r="V52" t="s">
        <v>1102</v>
      </c>
      <c r="W52" t="s">
        <v>1103</v>
      </c>
      <c r="X52" t="s">
        <v>1322</v>
      </c>
      <c r="Y52" t="s">
        <v>1358</v>
      </c>
      <c r="Z52" t="s">
        <v>1948</v>
      </c>
      <c r="AA52" t="s">
        <v>493</v>
      </c>
      <c r="AB52" t="s">
        <v>1899</v>
      </c>
      <c r="AC52" t="s">
        <v>1282</v>
      </c>
      <c r="AD52" t="s">
        <v>1992</v>
      </c>
      <c r="AE52" t="s">
        <v>1989</v>
      </c>
      <c r="AF52" t="s">
        <v>1992</v>
      </c>
      <c r="AG52" t="s">
        <v>1989</v>
      </c>
      <c r="AH52" t="s">
        <v>1360</v>
      </c>
      <c r="AI52" t="s">
        <v>1360</v>
      </c>
      <c r="AJ52" t="s">
        <v>1885</v>
      </c>
      <c r="AK52" t="s">
        <v>1886</v>
      </c>
      <c r="AL52" t="s">
        <v>1360</v>
      </c>
      <c r="AM52" t="s">
        <v>1885</v>
      </c>
      <c r="AN52" t="s">
        <v>1886</v>
      </c>
      <c r="AO52" t="s">
        <v>1892</v>
      </c>
      <c r="AP52" t="s">
        <v>1281</v>
      </c>
      <c r="AQ52" t="s">
        <v>1893</v>
      </c>
      <c r="AR52" t="s">
        <v>1281</v>
      </c>
      <c r="AS52" t="s">
        <v>1282</v>
      </c>
      <c r="AT52" t="s">
        <v>1894</v>
      </c>
    </row>
    <row r="53" spans="4:46" x14ac:dyDescent="0.25">
      <c r="D53" t="s">
        <v>786</v>
      </c>
      <c r="E53" s="177" t="str">
        <f>INDEX(tblBOneExport[[INSTRUMENT]:[ISIN]],MATCH(tblGetStaticData[[#This Row],[ISIN]],tblBOneExport[ISIN],0),1)</f>
        <v>GLAXOSMITHKLINE 5.25 19/12/33 EMTN</v>
      </c>
      <c r="F53" s="155" t="str">
        <f>tblGetStaticData[[#This Row],[iPasL2]]&amp; " " &amp; tblGetStaticData[[#This Row],[Tiering]]</f>
        <v>Consumer Noncyclical SEN</v>
      </c>
      <c r="G53" s="155" t="s">
        <v>1282</v>
      </c>
      <c r="H53" t="s">
        <v>1279</v>
      </c>
      <c r="I53" t="s">
        <v>1279</v>
      </c>
      <c r="J53" t="s">
        <v>1279</v>
      </c>
      <c r="K53" t="s">
        <v>787</v>
      </c>
      <c r="L53" t="s">
        <v>1332</v>
      </c>
      <c r="M53" t="s">
        <v>493</v>
      </c>
      <c r="N53" t="s">
        <v>1882</v>
      </c>
      <c r="O53" t="s">
        <v>1360</v>
      </c>
      <c r="P53" t="s">
        <v>1885</v>
      </c>
      <c r="Q53" t="s">
        <v>1886</v>
      </c>
      <c r="R53" t="s">
        <v>1360</v>
      </c>
      <c r="S53" t="s">
        <v>1885</v>
      </c>
      <c r="T53" t="s">
        <v>1886</v>
      </c>
      <c r="U53" t="s">
        <v>1887</v>
      </c>
      <c r="V53" t="s">
        <v>786</v>
      </c>
      <c r="W53" t="s">
        <v>787</v>
      </c>
      <c r="X53" t="s">
        <v>1896</v>
      </c>
      <c r="Y53" t="s">
        <v>1442</v>
      </c>
      <c r="Z53" t="s">
        <v>2005</v>
      </c>
      <c r="AA53" t="s">
        <v>493</v>
      </c>
      <c r="AB53" t="s">
        <v>1899</v>
      </c>
      <c r="AC53" t="s">
        <v>1282</v>
      </c>
      <c r="AD53" t="s">
        <v>2006</v>
      </c>
      <c r="AE53" t="s">
        <v>2007</v>
      </c>
      <c r="AF53" t="s">
        <v>2006</v>
      </c>
      <c r="AG53" t="s">
        <v>2007</v>
      </c>
      <c r="AH53" t="s">
        <v>1360</v>
      </c>
      <c r="AI53" t="s">
        <v>1360</v>
      </c>
      <c r="AJ53" t="s">
        <v>1885</v>
      </c>
      <c r="AK53" t="s">
        <v>1886</v>
      </c>
      <c r="AL53" t="s">
        <v>1360</v>
      </c>
      <c r="AM53" t="s">
        <v>1885</v>
      </c>
      <c r="AN53" t="s">
        <v>1886</v>
      </c>
      <c r="AO53" t="s">
        <v>1902</v>
      </c>
      <c r="AP53" t="s">
        <v>1293</v>
      </c>
      <c r="AQ53" t="s">
        <v>1332</v>
      </c>
      <c r="AR53" t="s">
        <v>1332</v>
      </c>
      <c r="AS53" t="s">
        <v>1282</v>
      </c>
      <c r="AT53" t="s">
        <v>1894</v>
      </c>
    </row>
    <row r="54" spans="4:46" x14ac:dyDescent="0.25">
      <c r="D54" t="s">
        <v>1092</v>
      </c>
      <c r="E54" s="177" t="str">
        <f>INDEX(tblBOneExport[[INSTRUMENT]:[ISIN]],MATCH(tblGetStaticData[[#This Row],[ISIN]],tblBOneExport[ISIN],0),1)</f>
        <v>INNOGY FINANCE 6.25 03/06/30 EMTN</v>
      </c>
      <c r="F54" s="155" t="str">
        <f>tblGetStaticData[[#This Row],[iPasL2]]&amp; " " &amp; tblGetStaticData[[#This Row],[Tiering]]</f>
        <v>Electric SEN</v>
      </c>
      <c r="G54" s="155" t="s">
        <v>1282</v>
      </c>
      <c r="H54" t="s">
        <v>1358</v>
      </c>
      <c r="I54" t="s">
        <v>1358</v>
      </c>
      <c r="J54" t="s">
        <v>1358</v>
      </c>
      <c r="K54" t="s">
        <v>1093</v>
      </c>
      <c r="L54" t="s">
        <v>1288</v>
      </c>
      <c r="M54" t="s">
        <v>493</v>
      </c>
      <c r="N54" t="s">
        <v>1882</v>
      </c>
      <c r="O54" t="s">
        <v>1295</v>
      </c>
      <c r="P54" t="s">
        <v>1294</v>
      </c>
      <c r="Q54" t="s">
        <v>1895</v>
      </c>
      <c r="R54" t="s">
        <v>1433</v>
      </c>
      <c r="S54" t="s">
        <v>1432</v>
      </c>
      <c r="T54" t="s">
        <v>1895</v>
      </c>
      <c r="U54" t="s">
        <v>1887</v>
      </c>
      <c r="V54" t="s">
        <v>1092</v>
      </c>
      <c r="W54" t="s">
        <v>1093</v>
      </c>
      <c r="X54" t="s">
        <v>1322</v>
      </c>
      <c r="Y54" t="s">
        <v>1358</v>
      </c>
      <c r="Z54" t="s">
        <v>1921</v>
      </c>
      <c r="AA54" t="s">
        <v>493</v>
      </c>
      <c r="AB54" t="s">
        <v>1899</v>
      </c>
      <c r="AC54" t="s">
        <v>1282</v>
      </c>
      <c r="AD54" t="s">
        <v>2008</v>
      </c>
      <c r="AE54" t="s">
        <v>1931</v>
      </c>
      <c r="AF54" t="s">
        <v>2008</v>
      </c>
      <c r="AG54" t="s">
        <v>1931</v>
      </c>
      <c r="AH54" t="s">
        <v>1295</v>
      </c>
      <c r="AI54" t="s">
        <v>1295</v>
      </c>
      <c r="AJ54" t="s">
        <v>1294</v>
      </c>
      <c r="AK54" t="s">
        <v>1895</v>
      </c>
      <c r="AL54" t="s">
        <v>1433</v>
      </c>
      <c r="AM54" t="s">
        <v>1432</v>
      </c>
      <c r="AN54" t="s">
        <v>1895</v>
      </c>
      <c r="AO54" t="s">
        <v>1940</v>
      </c>
      <c r="AP54" t="s">
        <v>1990</v>
      </c>
      <c r="AQ54" t="s">
        <v>1281</v>
      </c>
      <c r="AR54" t="s">
        <v>1288</v>
      </c>
      <c r="AS54" t="s">
        <v>1282</v>
      </c>
      <c r="AT54" t="s">
        <v>1894</v>
      </c>
    </row>
    <row r="55" spans="4:46" x14ac:dyDescent="0.25">
      <c r="D55" t="s">
        <v>682</v>
      </c>
      <c r="E55" s="177" t="str">
        <f>INDEX(tblBOneExport[[INSTRUMENT]:[ISIN]],MATCH(tblGetStaticData[[#This Row],[ISIN]],tblBOneExport[ISIN],0),1)</f>
        <v>E.ON INTL FIN BV 6.375 07/06/32 EMTN</v>
      </c>
      <c r="F55" s="155" t="str">
        <f>tblGetStaticData[[#This Row],[iPasL2]]&amp; " " &amp; tblGetStaticData[[#This Row],[Tiering]]</f>
        <v>Electric SEN</v>
      </c>
      <c r="G55" s="155" t="s">
        <v>1282</v>
      </c>
      <c r="H55" t="s">
        <v>1358</v>
      </c>
      <c r="I55" t="s">
        <v>1358</v>
      </c>
      <c r="J55" t="s">
        <v>1358</v>
      </c>
      <c r="K55" t="s">
        <v>683</v>
      </c>
      <c r="L55" t="s">
        <v>1315</v>
      </c>
      <c r="M55" t="s">
        <v>493</v>
      </c>
      <c r="N55" t="s">
        <v>1882</v>
      </c>
      <c r="O55" t="s">
        <v>1295</v>
      </c>
      <c r="P55" t="s">
        <v>1294</v>
      </c>
      <c r="Q55" t="s">
        <v>1895</v>
      </c>
      <c r="R55" t="s">
        <v>1433</v>
      </c>
      <c r="S55" t="s">
        <v>1432</v>
      </c>
      <c r="T55" t="s">
        <v>1895</v>
      </c>
      <c r="U55" t="s">
        <v>1887</v>
      </c>
      <c r="V55" t="s">
        <v>682</v>
      </c>
      <c r="W55" t="s">
        <v>683</v>
      </c>
      <c r="X55" t="s">
        <v>1322</v>
      </c>
      <c r="Y55" t="s">
        <v>1358</v>
      </c>
      <c r="Z55" t="s">
        <v>1921</v>
      </c>
      <c r="AA55" t="s">
        <v>493</v>
      </c>
      <c r="AB55" t="s">
        <v>1899</v>
      </c>
      <c r="AC55" t="s">
        <v>1282</v>
      </c>
      <c r="AD55" t="s">
        <v>1992</v>
      </c>
      <c r="AE55" t="s">
        <v>1989</v>
      </c>
      <c r="AF55" t="s">
        <v>1992</v>
      </c>
      <c r="AG55" t="s">
        <v>1989</v>
      </c>
      <c r="AH55" t="s">
        <v>1295</v>
      </c>
      <c r="AI55" t="s">
        <v>1295</v>
      </c>
      <c r="AJ55" t="s">
        <v>1294</v>
      </c>
      <c r="AK55" t="s">
        <v>1895</v>
      </c>
      <c r="AL55" t="s">
        <v>1433</v>
      </c>
      <c r="AM55" t="s">
        <v>1432</v>
      </c>
      <c r="AN55" t="s">
        <v>1895</v>
      </c>
      <c r="AO55" t="s">
        <v>1940</v>
      </c>
      <c r="AP55" t="s">
        <v>1288</v>
      </c>
      <c r="AQ55" t="s">
        <v>1281</v>
      </c>
      <c r="AR55" t="s">
        <v>1288</v>
      </c>
      <c r="AS55" t="s">
        <v>1282</v>
      </c>
      <c r="AT55" t="s">
        <v>1894</v>
      </c>
    </row>
    <row r="56" spans="4:46" x14ac:dyDescent="0.25">
      <c r="D56" t="s">
        <v>911</v>
      </c>
      <c r="E56" s="177" t="str">
        <f>INDEX(tblBOneExport[[INSTRUMENT]:[ISIN]],MATCH(tblGetStaticData[[#This Row],[ISIN]],tblBOneExport[ISIN],0),1)</f>
        <v>LCR FINANCE PLC 5.1 07/03/51</v>
      </c>
      <c r="F56" s="155" t="str">
        <f>tblGetStaticData[[#This Row],[iPasL2]]&amp; " " &amp; tblGetStaticData[[#This Row],[Tiering]]</f>
        <v>Foreign Agency SEN</v>
      </c>
      <c r="G56" s="155" t="s">
        <v>1282</v>
      </c>
      <c r="H56" t="s">
        <v>1331</v>
      </c>
      <c r="I56" t="s">
        <v>1331</v>
      </c>
      <c r="J56" t="s">
        <v>1331</v>
      </c>
      <c r="K56" t="s">
        <v>907</v>
      </c>
      <c r="L56" t="s">
        <v>1303</v>
      </c>
      <c r="M56" t="s">
        <v>493</v>
      </c>
      <c r="N56" t="s">
        <v>1882</v>
      </c>
      <c r="O56" t="s">
        <v>1360</v>
      </c>
      <c r="P56" t="s">
        <v>1885</v>
      </c>
      <c r="Q56" t="s">
        <v>1886</v>
      </c>
      <c r="R56" t="s">
        <v>1360</v>
      </c>
      <c r="S56" t="s">
        <v>1885</v>
      </c>
      <c r="T56" t="s">
        <v>1886</v>
      </c>
      <c r="U56" t="s">
        <v>1887</v>
      </c>
      <c r="V56" t="s">
        <v>911</v>
      </c>
      <c r="W56" t="s">
        <v>907</v>
      </c>
      <c r="X56" t="s">
        <v>1942</v>
      </c>
      <c r="Y56" t="s">
        <v>182</v>
      </c>
      <c r="Z56" t="s">
        <v>1970</v>
      </c>
      <c r="AA56" t="s">
        <v>493</v>
      </c>
      <c r="AB56" t="s">
        <v>1899</v>
      </c>
      <c r="AC56" t="s">
        <v>1282</v>
      </c>
      <c r="AD56" t="s">
        <v>2009</v>
      </c>
      <c r="AE56" t="s">
        <v>1904</v>
      </c>
      <c r="AF56" t="s">
        <v>2009</v>
      </c>
      <c r="AG56" t="s">
        <v>1904</v>
      </c>
      <c r="AH56" t="s">
        <v>1360</v>
      </c>
      <c r="AI56" t="s">
        <v>1360</v>
      </c>
      <c r="AJ56" t="s">
        <v>1885</v>
      </c>
      <c r="AK56" t="s">
        <v>1886</v>
      </c>
      <c r="AL56" t="s">
        <v>1360</v>
      </c>
      <c r="AM56" t="s">
        <v>1885</v>
      </c>
      <c r="AN56" t="s">
        <v>1886</v>
      </c>
      <c r="AO56" t="s">
        <v>1971</v>
      </c>
      <c r="AP56" t="s">
        <v>1303</v>
      </c>
      <c r="AQ56" t="s">
        <v>1303</v>
      </c>
      <c r="AR56" t="s">
        <v>1303</v>
      </c>
      <c r="AS56" t="s">
        <v>1282</v>
      </c>
      <c r="AT56" t="s">
        <v>1894</v>
      </c>
    </row>
    <row r="57" spans="4:46" x14ac:dyDescent="0.25">
      <c r="D57" t="s">
        <v>534</v>
      </c>
      <c r="E57" s="177" t="str">
        <f>INDEX(tblBOneExport[[INSTRUMENT]:[ISIN]],MATCH(tblGetStaticData[[#This Row],[ISIN]],tblBOneExport[ISIN],0),1)</f>
        <v>ANGLIAN WAT FIN 6.293 30/07/30 A5</v>
      </c>
      <c r="F57" s="155" t="str">
        <f>tblGetStaticData[[#This Row],[iPasL2]]&amp; " " &amp; tblGetStaticData[[#This Row],[Tiering]]</f>
        <v>Other Utility SEN</v>
      </c>
      <c r="G57" s="155" t="s">
        <v>1282</v>
      </c>
      <c r="H57" t="s">
        <v>1323</v>
      </c>
      <c r="I57" t="s">
        <v>1323</v>
      </c>
      <c r="J57" t="s">
        <v>1323</v>
      </c>
      <c r="K57" t="s">
        <v>532</v>
      </c>
      <c r="L57" t="s">
        <v>1281</v>
      </c>
      <c r="M57" t="s">
        <v>493</v>
      </c>
      <c r="N57" t="s">
        <v>1882</v>
      </c>
      <c r="O57" t="s">
        <v>1360</v>
      </c>
      <c r="P57" t="s">
        <v>1885</v>
      </c>
      <c r="Q57" t="s">
        <v>1886</v>
      </c>
      <c r="R57" t="s">
        <v>1360</v>
      </c>
      <c r="S57" t="s">
        <v>1885</v>
      </c>
      <c r="T57" t="s">
        <v>1886</v>
      </c>
      <c r="U57" t="s">
        <v>1887</v>
      </c>
      <c r="V57" t="s">
        <v>534</v>
      </c>
      <c r="W57" t="s">
        <v>532</v>
      </c>
      <c r="X57" t="s">
        <v>1322</v>
      </c>
      <c r="Y57" t="s">
        <v>1888</v>
      </c>
      <c r="Z57" t="s">
        <v>1888</v>
      </c>
      <c r="AA57" t="s">
        <v>493</v>
      </c>
      <c r="AB57" t="s">
        <v>1889</v>
      </c>
      <c r="AC57" t="s">
        <v>1282</v>
      </c>
      <c r="AD57" t="s">
        <v>2010</v>
      </c>
      <c r="AE57" t="s">
        <v>1931</v>
      </c>
      <c r="AF57" t="s">
        <v>2010</v>
      </c>
      <c r="AG57" t="s">
        <v>1931</v>
      </c>
      <c r="AH57" t="s">
        <v>1360</v>
      </c>
      <c r="AI57" t="s">
        <v>1360</v>
      </c>
      <c r="AJ57" t="s">
        <v>1885</v>
      </c>
      <c r="AK57" t="s">
        <v>1886</v>
      </c>
      <c r="AL57" t="s">
        <v>1360</v>
      </c>
      <c r="AM57" t="s">
        <v>1885</v>
      </c>
      <c r="AN57" t="s">
        <v>1886</v>
      </c>
      <c r="AO57" t="s">
        <v>1892</v>
      </c>
      <c r="AP57" t="s">
        <v>1281</v>
      </c>
      <c r="AQ57" t="s">
        <v>1332</v>
      </c>
      <c r="AR57" t="s">
        <v>1281</v>
      </c>
      <c r="AS57" t="s">
        <v>1282</v>
      </c>
      <c r="AT57" t="s">
        <v>1894</v>
      </c>
    </row>
    <row r="58" spans="4:46" x14ac:dyDescent="0.25">
      <c r="D58" t="s">
        <v>780</v>
      </c>
      <c r="E58" s="177" t="str">
        <f>INDEX(tblBOneExport[[INSTRUMENT]:[ISIN]],MATCH(tblGetStaticData[[#This Row],[ISIN]],tblBOneExport[ISIN],0),1)</f>
        <v>GEN ELEC CAP CRP 5.625 16/09/31 EMTN</v>
      </c>
      <c r="F58" s="155" t="str">
        <f>tblGetStaticData[[#This Row],[iPasL2]]&amp; " " &amp; tblGetStaticData[[#This Row],[Tiering]]</f>
        <v>Capital Goods SEN</v>
      </c>
      <c r="G58" s="155" t="s">
        <v>1282</v>
      </c>
      <c r="H58" t="s">
        <v>1291</v>
      </c>
      <c r="I58" t="s">
        <v>1291</v>
      </c>
      <c r="J58" t="s">
        <v>1292</v>
      </c>
      <c r="K58" t="s">
        <v>781</v>
      </c>
      <c r="L58" t="s">
        <v>1293</v>
      </c>
      <c r="M58" t="s">
        <v>493</v>
      </c>
      <c r="N58" t="s">
        <v>1882</v>
      </c>
      <c r="O58" t="s">
        <v>1309</v>
      </c>
      <c r="P58" t="s">
        <v>1960</v>
      </c>
      <c r="Q58" t="s">
        <v>1961</v>
      </c>
      <c r="R58" t="s">
        <v>1309</v>
      </c>
      <c r="S58" t="s">
        <v>1960</v>
      </c>
      <c r="T58" t="s">
        <v>1961</v>
      </c>
      <c r="U58" t="s">
        <v>1962</v>
      </c>
      <c r="V58" t="s">
        <v>780</v>
      </c>
      <c r="W58" t="s">
        <v>781</v>
      </c>
      <c r="X58" t="s">
        <v>1937</v>
      </c>
      <c r="Y58" t="s">
        <v>1963</v>
      </c>
      <c r="Z58" t="s">
        <v>1964</v>
      </c>
      <c r="AA58" t="s">
        <v>493</v>
      </c>
      <c r="AB58" t="s">
        <v>1899</v>
      </c>
      <c r="AC58" t="s">
        <v>1282</v>
      </c>
      <c r="AD58" t="s">
        <v>2011</v>
      </c>
      <c r="AE58" t="s">
        <v>2012</v>
      </c>
      <c r="AF58" t="s">
        <v>2011</v>
      </c>
      <c r="AG58" t="s">
        <v>2012</v>
      </c>
      <c r="AH58" t="s">
        <v>1309</v>
      </c>
      <c r="AI58" t="s">
        <v>1309</v>
      </c>
      <c r="AJ58" t="s">
        <v>1960</v>
      </c>
      <c r="AK58" t="s">
        <v>1961</v>
      </c>
      <c r="AL58" t="s">
        <v>1309</v>
      </c>
      <c r="AM58" t="s">
        <v>1960</v>
      </c>
      <c r="AN58" t="s">
        <v>1961</v>
      </c>
      <c r="AO58" t="s">
        <v>1909</v>
      </c>
      <c r="AP58" t="s">
        <v>1408</v>
      </c>
      <c r="AQ58" t="s">
        <v>1408</v>
      </c>
      <c r="AR58" t="s">
        <v>1293</v>
      </c>
      <c r="AS58" t="s">
        <v>1282</v>
      </c>
      <c r="AT58" t="s">
        <v>1894</v>
      </c>
    </row>
    <row r="59" spans="4:46" x14ac:dyDescent="0.25">
      <c r="D59" t="s">
        <v>1063</v>
      </c>
      <c r="E59" s="177" t="str">
        <f>INDEX(tblBOneExport[[INSTRUMENT]:[ISIN]],MATCH(tblGetStaticData[[#This Row],[ISIN]],tblBOneExport[ISIN],0),1)</f>
        <v>PROCTER &amp; GAMBLE 5.25 19/01/33</v>
      </c>
      <c r="F59" s="155" t="str">
        <f>tblGetStaticData[[#This Row],[iPasL2]]&amp; " " &amp; tblGetStaticData[[#This Row],[Tiering]]</f>
        <v>Consumer Noncyclical SEN</v>
      </c>
      <c r="G59" s="155" t="s">
        <v>1282</v>
      </c>
      <c r="H59" t="s">
        <v>1279</v>
      </c>
      <c r="I59" t="s">
        <v>1279</v>
      </c>
      <c r="J59" t="s">
        <v>1343</v>
      </c>
      <c r="K59" t="s">
        <v>1061</v>
      </c>
      <c r="L59" t="s">
        <v>1408</v>
      </c>
      <c r="M59" t="s">
        <v>493</v>
      </c>
      <c r="N59" t="s">
        <v>1882</v>
      </c>
      <c r="O59" t="s">
        <v>1309</v>
      </c>
      <c r="P59" t="s">
        <v>1960</v>
      </c>
      <c r="Q59" t="s">
        <v>1961</v>
      </c>
      <c r="R59" t="s">
        <v>1309</v>
      </c>
      <c r="S59" t="s">
        <v>1960</v>
      </c>
      <c r="T59" t="s">
        <v>1961</v>
      </c>
      <c r="U59" t="s">
        <v>1962</v>
      </c>
      <c r="V59" t="s">
        <v>1063</v>
      </c>
      <c r="W59" t="s">
        <v>1061</v>
      </c>
      <c r="X59" t="s">
        <v>1896</v>
      </c>
      <c r="Y59" t="s">
        <v>1910</v>
      </c>
      <c r="Z59" t="s">
        <v>1911</v>
      </c>
      <c r="AA59" t="s">
        <v>493</v>
      </c>
      <c r="AB59" t="s">
        <v>1899</v>
      </c>
      <c r="AC59" t="s">
        <v>1282</v>
      </c>
      <c r="AD59" t="s">
        <v>2013</v>
      </c>
      <c r="AE59" t="s">
        <v>2007</v>
      </c>
      <c r="AF59" t="s">
        <v>2013</v>
      </c>
      <c r="AG59" t="s">
        <v>2007</v>
      </c>
      <c r="AH59" t="s">
        <v>1309</v>
      </c>
      <c r="AI59" t="s">
        <v>1309</v>
      </c>
      <c r="AJ59" t="s">
        <v>1960</v>
      </c>
      <c r="AK59" t="s">
        <v>1961</v>
      </c>
      <c r="AL59" t="s">
        <v>1309</v>
      </c>
      <c r="AM59" t="s">
        <v>1960</v>
      </c>
      <c r="AN59" t="s">
        <v>1961</v>
      </c>
      <c r="AO59" t="s">
        <v>1987</v>
      </c>
      <c r="AP59" t="s">
        <v>1408</v>
      </c>
      <c r="AQ59" t="s">
        <v>1873</v>
      </c>
      <c r="AR59" t="s">
        <v>1408</v>
      </c>
      <c r="AS59" t="s">
        <v>1282</v>
      </c>
      <c r="AT59" t="s">
        <v>1894</v>
      </c>
    </row>
    <row r="60" spans="4:46" x14ac:dyDescent="0.25">
      <c r="D60" t="s">
        <v>1204</v>
      </c>
      <c r="E60" s="177" t="str">
        <f>INDEX(tblBOneExport[[INSTRUMENT]:[ISIN]],MATCH(tblGetStaticData[[#This Row],[ISIN]],tblBOneExport[ISIN],0),1)</f>
        <v>UNITED UTIL WAT 5.625 20/12/27 EMTN</v>
      </c>
      <c r="F60" s="155" t="str">
        <f>tblGetStaticData[[#This Row],[iPasL2]]&amp; " " &amp; tblGetStaticData[[#This Row],[Tiering]]</f>
        <v>Other Utility SEN</v>
      </c>
      <c r="G60" s="155" t="s">
        <v>1282</v>
      </c>
      <c r="H60" t="s">
        <v>1323</v>
      </c>
      <c r="I60" t="s">
        <v>1323</v>
      </c>
      <c r="J60" t="s">
        <v>1323</v>
      </c>
      <c r="K60" t="s">
        <v>1205</v>
      </c>
      <c r="L60" t="s">
        <v>1315</v>
      </c>
      <c r="M60" t="s">
        <v>493</v>
      </c>
      <c r="N60" t="s">
        <v>1882</v>
      </c>
      <c r="O60" t="s">
        <v>1360</v>
      </c>
      <c r="P60" t="s">
        <v>1885</v>
      </c>
      <c r="Q60" t="s">
        <v>1886</v>
      </c>
      <c r="R60" t="s">
        <v>1360</v>
      </c>
      <c r="S60" t="s">
        <v>1885</v>
      </c>
      <c r="T60" t="s">
        <v>1886</v>
      </c>
      <c r="U60" t="s">
        <v>1887</v>
      </c>
      <c r="V60" t="s">
        <v>1204</v>
      </c>
      <c r="W60" t="s">
        <v>1205</v>
      </c>
      <c r="X60" t="s">
        <v>1322</v>
      </c>
      <c r="Y60" t="s">
        <v>1888</v>
      </c>
      <c r="Z60" t="s">
        <v>1888</v>
      </c>
      <c r="AA60" t="s">
        <v>493</v>
      </c>
      <c r="AB60" t="s">
        <v>1899</v>
      </c>
      <c r="AC60" t="s">
        <v>1282</v>
      </c>
      <c r="AD60" t="s">
        <v>2014</v>
      </c>
      <c r="AE60" t="s">
        <v>2015</v>
      </c>
      <c r="AF60" t="s">
        <v>2014</v>
      </c>
      <c r="AG60" t="s">
        <v>2015</v>
      </c>
      <c r="AH60" t="s">
        <v>1360</v>
      </c>
      <c r="AI60" t="s">
        <v>1360</v>
      </c>
      <c r="AJ60" t="s">
        <v>1885</v>
      </c>
      <c r="AK60" t="s">
        <v>1886</v>
      </c>
      <c r="AL60" t="s">
        <v>1360</v>
      </c>
      <c r="AM60" t="s">
        <v>1885</v>
      </c>
      <c r="AN60" t="s">
        <v>1886</v>
      </c>
      <c r="AO60" t="s">
        <v>1892</v>
      </c>
      <c r="AP60" t="s">
        <v>1281</v>
      </c>
      <c r="AQ60" t="s">
        <v>1281</v>
      </c>
      <c r="AR60" t="s">
        <v>1281</v>
      </c>
      <c r="AS60" t="s">
        <v>1282</v>
      </c>
      <c r="AT60" t="s">
        <v>1894</v>
      </c>
    </row>
    <row r="61" spans="4:46" x14ac:dyDescent="0.25">
      <c r="D61" t="s">
        <v>1010</v>
      </c>
      <c r="E61" s="177" t="str">
        <f>INDEX(tblBOneExport[[INSTRUMENT]:[ISIN]],MATCH(tblGetStaticData[[#This Row],[ISIN]],tblBOneExport[ISIN],0),1)</f>
        <v>NORTHUMBRIAN WTR 5.625 29/04/33</v>
      </c>
      <c r="F61" s="155" t="str">
        <f>tblGetStaticData[[#This Row],[iPasL2]]&amp; " " &amp; tblGetStaticData[[#This Row],[Tiering]]</f>
        <v>Other Utility SEN</v>
      </c>
      <c r="G61" s="155" t="s">
        <v>1282</v>
      </c>
      <c r="H61" t="s">
        <v>1323</v>
      </c>
      <c r="I61" t="s">
        <v>1323</v>
      </c>
      <c r="J61" t="s">
        <v>1323</v>
      </c>
      <c r="K61" t="s">
        <v>1011</v>
      </c>
      <c r="L61" t="s">
        <v>1288</v>
      </c>
      <c r="M61" t="s">
        <v>493</v>
      </c>
      <c r="N61" t="s">
        <v>1882</v>
      </c>
      <c r="O61" t="s">
        <v>1360</v>
      </c>
      <c r="P61" t="s">
        <v>1885</v>
      </c>
      <c r="Q61" t="s">
        <v>1886</v>
      </c>
      <c r="R61" t="s">
        <v>1360</v>
      </c>
      <c r="S61" t="s">
        <v>1885</v>
      </c>
      <c r="T61" t="s">
        <v>1886</v>
      </c>
      <c r="U61" t="s">
        <v>1887</v>
      </c>
      <c r="V61" t="s">
        <v>1010</v>
      </c>
      <c r="W61" t="s">
        <v>1011</v>
      </c>
      <c r="X61" t="s">
        <v>1322</v>
      </c>
      <c r="Y61" t="s">
        <v>1888</v>
      </c>
      <c r="Z61" t="s">
        <v>1888</v>
      </c>
      <c r="AA61" t="s">
        <v>493</v>
      </c>
      <c r="AB61" t="s">
        <v>1899</v>
      </c>
      <c r="AC61" t="s">
        <v>1282</v>
      </c>
      <c r="AD61" t="s">
        <v>2016</v>
      </c>
      <c r="AE61" t="s">
        <v>2007</v>
      </c>
      <c r="AF61" t="s">
        <v>2016</v>
      </c>
      <c r="AG61" t="s">
        <v>2007</v>
      </c>
      <c r="AH61" t="s">
        <v>1360</v>
      </c>
      <c r="AI61" t="s">
        <v>1360</v>
      </c>
      <c r="AJ61" t="s">
        <v>1885</v>
      </c>
      <c r="AK61" t="s">
        <v>1886</v>
      </c>
      <c r="AL61" t="s">
        <v>1360</v>
      </c>
      <c r="AM61" t="s">
        <v>1885</v>
      </c>
      <c r="AN61" t="s">
        <v>1886</v>
      </c>
      <c r="AO61" t="s">
        <v>1873</v>
      </c>
      <c r="AP61" t="s">
        <v>1315</v>
      </c>
      <c r="AQ61" t="s">
        <v>1953</v>
      </c>
      <c r="AR61" t="s">
        <v>1873</v>
      </c>
      <c r="AS61" t="s">
        <v>1282</v>
      </c>
      <c r="AT61" t="s">
        <v>1894</v>
      </c>
    </row>
    <row r="62" spans="4:46" x14ac:dyDescent="0.25">
      <c r="D62" t="s">
        <v>1207</v>
      </c>
      <c r="E62" s="177" t="str">
        <f>INDEX(tblBOneExport[[INSTRUMENT]:[ISIN]],MATCH(tblGetStaticData[[#This Row],[ISIN]],tblBOneExport[ISIN],0),1)</f>
        <v>UNITED UTIL WAT 5.375 14/05/18 EMTN</v>
      </c>
      <c r="F62" s="155" t="str">
        <f>tblGetStaticData[[#This Row],[iPasL2]]&amp; " " &amp; tblGetStaticData[[#This Row],[Tiering]]</f>
        <v>Other Utility SEN</v>
      </c>
      <c r="G62" s="155" t="s">
        <v>1282</v>
      </c>
      <c r="H62" t="s">
        <v>1323</v>
      </c>
      <c r="I62" t="s">
        <v>1323</v>
      </c>
      <c r="J62" t="s">
        <v>1323</v>
      </c>
      <c r="K62" t="s">
        <v>1205</v>
      </c>
      <c r="L62" t="s">
        <v>1315</v>
      </c>
      <c r="M62" t="s">
        <v>493</v>
      </c>
      <c r="N62" t="s">
        <v>1882</v>
      </c>
      <c r="O62" t="s">
        <v>1360</v>
      </c>
      <c r="P62" t="s">
        <v>1885</v>
      </c>
      <c r="Q62" t="s">
        <v>1886</v>
      </c>
      <c r="R62" t="s">
        <v>1360</v>
      </c>
      <c r="S62" t="s">
        <v>1885</v>
      </c>
      <c r="T62" t="s">
        <v>1886</v>
      </c>
      <c r="U62" t="s">
        <v>1887</v>
      </c>
      <c r="V62" t="s">
        <v>1207</v>
      </c>
      <c r="W62" t="s">
        <v>1205</v>
      </c>
      <c r="X62" t="s">
        <v>1322</v>
      </c>
      <c r="Y62" t="s">
        <v>1888</v>
      </c>
      <c r="Z62" t="s">
        <v>1888</v>
      </c>
      <c r="AA62" t="s">
        <v>493</v>
      </c>
      <c r="AB62" t="s">
        <v>1899</v>
      </c>
      <c r="AC62" t="s">
        <v>1282</v>
      </c>
      <c r="AD62" t="s">
        <v>2017</v>
      </c>
      <c r="AE62" t="s">
        <v>1936</v>
      </c>
      <c r="AF62" t="s">
        <v>2017</v>
      </c>
      <c r="AG62" t="s">
        <v>1936</v>
      </c>
      <c r="AH62" t="s">
        <v>1360</v>
      </c>
      <c r="AI62" t="s">
        <v>1360</v>
      </c>
      <c r="AJ62" t="s">
        <v>1885</v>
      </c>
      <c r="AK62" t="s">
        <v>1886</v>
      </c>
      <c r="AL62" t="s">
        <v>1360</v>
      </c>
      <c r="AM62" t="s">
        <v>1885</v>
      </c>
      <c r="AN62" t="s">
        <v>1886</v>
      </c>
      <c r="AO62" t="s">
        <v>1892</v>
      </c>
      <c r="AP62" t="s">
        <v>1281</v>
      </c>
      <c r="AQ62" t="s">
        <v>1281</v>
      </c>
      <c r="AR62" t="s">
        <v>1281</v>
      </c>
      <c r="AS62" t="s">
        <v>1282</v>
      </c>
      <c r="AT62" t="s">
        <v>1894</v>
      </c>
    </row>
    <row r="63" spans="4:46" x14ac:dyDescent="0.25">
      <c r="D63" t="s">
        <v>1128</v>
      </c>
      <c r="E63" s="177" t="str">
        <f>INDEX(tblBOneExport[[INSTRUMENT]:[ISIN]],MATCH(tblGetStaticData[[#This Row],[ISIN]],tblBOneExport[ISIN],0),1)</f>
        <v>EDF ENERGY 5.5 05/06/26 EMTN</v>
      </c>
      <c r="F63" s="155" t="str">
        <f>tblGetStaticData[[#This Row],[iPasL2]]&amp; " " &amp; tblGetStaticData[[#This Row],[Tiering]]</f>
        <v>Electric SEN</v>
      </c>
      <c r="G63" s="155" t="s">
        <v>1282</v>
      </c>
      <c r="H63" t="s">
        <v>1358</v>
      </c>
      <c r="I63" t="s">
        <v>1358</v>
      </c>
      <c r="J63" t="s">
        <v>1358</v>
      </c>
      <c r="K63" t="s">
        <v>691</v>
      </c>
      <c r="L63" t="s">
        <v>1315</v>
      </c>
      <c r="M63" t="s">
        <v>493</v>
      </c>
      <c r="N63" t="s">
        <v>1882</v>
      </c>
      <c r="O63" t="s">
        <v>1360</v>
      </c>
      <c r="P63" t="s">
        <v>1885</v>
      </c>
      <c r="Q63" t="s">
        <v>1886</v>
      </c>
      <c r="R63" t="s">
        <v>1360</v>
      </c>
      <c r="S63" t="s">
        <v>1885</v>
      </c>
      <c r="T63" t="s">
        <v>1886</v>
      </c>
      <c r="U63" t="s">
        <v>1887</v>
      </c>
      <c r="V63" t="s">
        <v>1128</v>
      </c>
      <c r="W63" t="s">
        <v>691</v>
      </c>
      <c r="X63" t="s">
        <v>1322</v>
      </c>
      <c r="Y63" t="s">
        <v>1358</v>
      </c>
      <c r="Z63" t="s">
        <v>1948</v>
      </c>
      <c r="AA63" t="s">
        <v>493</v>
      </c>
      <c r="AB63" t="s">
        <v>1899</v>
      </c>
      <c r="AC63" t="s">
        <v>1282</v>
      </c>
      <c r="AD63" t="s">
        <v>2018</v>
      </c>
      <c r="AE63" t="s">
        <v>1951</v>
      </c>
      <c r="AF63" t="s">
        <v>2018</v>
      </c>
      <c r="AG63" t="s">
        <v>1951</v>
      </c>
      <c r="AH63" t="s">
        <v>1360</v>
      </c>
      <c r="AI63" t="s">
        <v>1360</v>
      </c>
      <c r="AJ63" t="s">
        <v>1885</v>
      </c>
      <c r="AK63" t="s">
        <v>1886</v>
      </c>
      <c r="AL63" t="s">
        <v>1360</v>
      </c>
      <c r="AM63" t="s">
        <v>1885</v>
      </c>
      <c r="AN63" t="s">
        <v>1886</v>
      </c>
      <c r="AO63" t="s">
        <v>1916</v>
      </c>
      <c r="AP63" t="s">
        <v>1315</v>
      </c>
      <c r="AQ63" t="s">
        <v>1315</v>
      </c>
      <c r="AR63" t="s">
        <v>1315</v>
      </c>
      <c r="AS63" t="s">
        <v>1282</v>
      </c>
      <c r="AT63" t="s">
        <v>1894</v>
      </c>
    </row>
    <row r="64" spans="4:46" x14ac:dyDescent="0.25">
      <c r="D64" t="s">
        <v>1097</v>
      </c>
      <c r="E64" s="177" t="str">
        <f>INDEX(tblBOneExport[[INSTRUMENT]:[ISIN]],MATCH(tblGetStaticData[[#This Row],[ISIN]],tblBOneExport[ISIN],0),1)</f>
        <v>INNOGY FINANCE 5.625 06/12/23 EMTN</v>
      </c>
      <c r="F64" s="155" t="str">
        <f>tblGetStaticData[[#This Row],[iPasL2]]&amp; " " &amp; tblGetStaticData[[#This Row],[Tiering]]</f>
        <v>Electric SEN</v>
      </c>
      <c r="G64" s="155" t="s">
        <v>1282</v>
      </c>
      <c r="H64" t="s">
        <v>1358</v>
      </c>
      <c r="I64" t="s">
        <v>1358</v>
      </c>
      <c r="J64" t="s">
        <v>1358</v>
      </c>
      <c r="K64" t="s">
        <v>1093</v>
      </c>
      <c r="L64" t="s">
        <v>1288</v>
      </c>
      <c r="M64" t="s">
        <v>493</v>
      </c>
      <c r="N64" t="s">
        <v>1882</v>
      </c>
      <c r="O64" t="s">
        <v>1295</v>
      </c>
      <c r="P64" t="s">
        <v>1294</v>
      </c>
      <c r="Q64" t="s">
        <v>1895</v>
      </c>
      <c r="R64" t="s">
        <v>1433</v>
      </c>
      <c r="S64" t="s">
        <v>1432</v>
      </c>
      <c r="T64" t="s">
        <v>1895</v>
      </c>
      <c r="U64" t="s">
        <v>1887</v>
      </c>
      <c r="V64" t="s">
        <v>1097</v>
      </c>
      <c r="W64" t="s">
        <v>1093</v>
      </c>
      <c r="X64" t="s">
        <v>1322</v>
      </c>
      <c r="Y64" t="s">
        <v>1358</v>
      </c>
      <c r="Z64" t="s">
        <v>1921</v>
      </c>
      <c r="AA64" t="s">
        <v>493</v>
      </c>
      <c r="AB64" t="s">
        <v>1899</v>
      </c>
      <c r="AC64" t="s">
        <v>1282</v>
      </c>
      <c r="AD64" t="s">
        <v>2019</v>
      </c>
      <c r="AE64" t="s">
        <v>1955</v>
      </c>
      <c r="AF64" t="s">
        <v>2019</v>
      </c>
      <c r="AG64" t="s">
        <v>1955</v>
      </c>
      <c r="AH64" t="s">
        <v>1295</v>
      </c>
      <c r="AI64" t="s">
        <v>1295</v>
      </c>
      <c r="AJ64" t="s">
        <v>1294</v>
      </c>
      <c r="AK64" t="s">
        <v>1895</v>
      </c>
      <c r="AL64" t="s">
        <v>1433</v>
      </c>
      <c r="AM64" t="s">
        <v>1432</v>
      </c>
      <c r="AN64" t="s">
        <v>1895</v>
      </c>
      <c r="AO64" t="s">
        <v>1940</v>
      </c>
      <c r="AP64" t="s">
        <v>1990</v>
      </c>
      <c r="AQ64" t="s">
        <v>1281</v>
      </c>
      <c r="AR64" t="s">
        <v>1288</v>
      </c>
      <c r="AS64" t="s">
        <v>1282</v>
      </c>
      <c r="AT64" t="s">
        <v>1894</v>
      </c>
    </row>
    <row r="65" spans="4:46" x14ac:dyDescent="0.25">
      <c r="D65" t="s">
        <v>822</v>
      </c>
      <c r="E65" s="177" t="str">
        <f>INDEX(tblBOneExport[[INSTRUMENT]:[ISIN]],MATCH(tblGetStaticData[[#This Row],[ISIN]],tblBOneExport[ISIN],0),1)</f>
        <v>SOUTHERN WATER 6.192 31/03/29 A1</v>
      </c>
      <c r="F65" s="155" t="str">
        <f>tblGetStaticData[[#This Row],[iPasL2]]&amp; " " &amp; tblGetStaticData[[#This Row],[Tiering]]</f>
        <v>Other Utility SEN</v>
      </c>
      <c r="G65" s="155" t="s">
        <v>1282</v>
      </c>
      <c r="H65" t="s">
        <v>1323</v>
      </c>
      <c r="I65" t="s">
        <v>1323</v>
      </c>
      <c r="J65" t="s">
        <v>1323</v>
      </c>
      <c r="K65" t="s">
        <v>818</v>
      </c>
      <c r="L65" t="s">
        <v>1315</v>
      </c>
      <c r="M65" t="s">
        <v>493</v>
      </c>
      <c r="N65" t="s">
        <v>1882</v>
      </c>
      <c r="O65" t="s">
        <v>1419</v>
      </c>
      <c r="P65" t="s">
        <v>1883</v>
      </c>
      <c r="Q65" t="s">
        <v>1884</v>
      </c>
      <c r="R65" t="s">
        <v>1360</v>
      </c>
      <c r="S65" t="s">
        <v>1885</v>
      </c>
      <c r="T65" t="s">
        <v>1886</v>
      </c>
      <c r="U65" t="s">
        <v>1887</v>
      </c>
      <c r="V65" t="s">
        <v>822</v>
      </c>
      <c r="W65" t="s">
        <v>818</v>
      </c>
      <c r="X65" t="s">
        <v>1322</v>
      </c>
      <c r="Y65" t="s">
        <v>1888</v>
      </c>
      <c r="Z65" t="s">
        <v>1888</v>
      </c>
      <c r="AA65" t="s">
        <v>493</v>
      </c>
      <c r="AB65" t="s">
        <v>1889</v>
      </c>
      <c r="AC65" t="s">
        <v>1282</v>
      </c>
      <c r="AD65" t="s">
        <v>2020</v>
      </c>
      <c r="AE65" t="s">
        <v>1978</v>
      </c>
      <c r="AF65" t="s">
        <v>2020</v>
      </c>
      <c r="AG65" t="s">
        <v>1978</v>
      </c>
      <c r="AH65" t="s">
        <v>1419</v>
      </c>
      <c r="AI65" t="s">
        <v>1419</v>
      </c>
      <c r="AJ65" t="s">
        <v>1883</v>
      </c>
      <c r="AK65" t="s">
        <v>1884</v>
      </c>
      <c r="AL65" t="s">
        <v>1360</v>
      </c>
      <c r="AM65" t="s">
        <v>1885</v>
      </c>
      <c r="AN65" t="s">
        <v>1886</v>
      </c>
      <c r="AO65" t="s">
        <v>1916</v>
      </c>
      <c r="AP65" t="s">
        <v>1281</v>
      </c>
      <c r="AQ65" t="s">
        <v>1281</v>
      </c>
      <c r="AR65" t="s">
        <v>1315</v>
      </c>
      <c r="AS65" t="s">
        <v>1282</v>
      </c>
      <c r="AT65" t="s">
        <v>1894</v>
      </c>
    </row>
    <row r="66" spans="4:46" x14ac:dyDescent="0.25">
      <c r="D66" t="s">
        <v>824</v>
      </c>
      <c r="E66" s="177" t="str">
        <f>INDEX(tblBOneExport[[INSTRUMENT]:[ISIN]],MATCH(tblGetStaticData[[#This Row],[ISIN]],tblBOneExport[ISIN],0),1)</f>
        <v>SOUTHERN WATER 6.64 31/03/26 A4</v>
      </c>
      <c r="F66" s="155" t="str">
        <f>tblGetStaticData[[#This Row],[iPasL2]]&amp; " " &amp; tblGetStaticData[[#This Row],[Tiering]]</f>
        <v>Other Utility SEN</v>
      </c>
      <c r="G66" s="155" t="s">
        <v>1282</v>
      </c>
      <c r="H66" t="s">
        <v>1323</v>
      </c>
      <c r="I66" t="s">
        <v>1323</v>
      </c>
      <c r="J66" t="s">
        <v>1323</v>
      </c>
      <c r="K66" t="s">
        <v>818</v>
      </c>
      <c r="L66" t="s">
        <v>1315</v>
      </c>
      <c r="M66" t="s">
        <v>493</v>
      </c>
      <c r="N66" t="s">
        <v>1882</v>
      </c>
      <c r="O66" t="s">
        <v>1419</v>
      </c>
      <c r="P66" t="s">
        <v>1883</v>
      </c>
      <c r="Q66" t="s">
        <v>1884</v>
      </c>
      <c r="R66" t="s">
        <v>1360</v>
      </c>
      <c r="S66" t="s">
        <v>1885</v>
      </c>
      <c r="T66" t="s">
        <v>1886</v>
      </c>
      <c r="U66" t="s">
        <v>1887</v>
      </c>
      <c r="V66" t="s">
        <v>824</v>
      </c>
      <c r="W66" t="s">
        <v>818</v>
      </c>
      <c r="X66" t="s">
        <v>1322</v>
      </c>
      <c r="Y66" t="s">
        <v>1888</v>
      </c>
      <c r="Z66" t="s">
        <v>1888</v>
      </c>
      <c r="AA66" t="s">
        <v>493</v>
      </c>
      <c r="AB66" t="s">
        <v>1889</v>
      </c>
      <c r="AC66" t="s">
        <v>1282</v>
      </c>
      <c r="AD66" t="s">
        <v>2021</v>
      </c>
      <c r="AE66" t="s">
        <v>1951</v>
      </c>
      <c r="AF66" t="s">
        <v>2021</v>
      </c>
      <c r="AG66" t="s">
        <v>1951</v>
      </c>
      <c r="AH66" t="s">
        <v>1419</v>
      </c>
      <c r="AI66" t="s">
        <v>1419</v>
      </c>
      <c r="AJ66" t="s">
        <v>1883</v>
      </c>
      <c r="AK66" t="s">
        <v>1884</v>
      </c>
      <c r="AL66" t="s">
        <v>1360</v>
      </c>
      <c r="AM66" t="s">
        <v>1885</v>
      </c>
      <c r="AN66" t="s">
        <v>1886</v>
      </c>
      <c r="AO66" t="s">
        <v>1916</v>
      </c>
      <c r="AP66" t="s">
        <v>1281</v>
      </c>
      <c r="AQ66" t="s">
        <v>1281</v>
      </c>
      <c r="AR66" t="s">
        <v>1315</v>
      </c>
      <c r="AS66" t="s">
        <v>1282</v>
      </c>
      <c r="AT66" t="s">
        <v>1894</v>
      </c>
    </row>
    <row r="67" spans="4:46" x14ac:dyDescent="0.25">
      <c r="D67" t="s">
        <v>1263</v>
      </c>
      <c r="E67" s="177" t="str">
        <f>INDEX(tblBOneExport[[INSTRUMENT]:[ISIN]],MATCH(tblGetStaticData[[#This Row],[ISIN]],tblBOneExport[ISIN],0),1)</f>
        <v>WESSEX WATER FIN 5.75 14/10/33</v>
      </c>
      <c r="F67" s="155" t="str">
        <f>tblGetStaticData[[#This Row],[iPasL2]]&amp; " " &amp; tblGetStaticData[[#This Row],[Tiering]]</f>
        <v>Other Utility SEN</v>
      </c>
      <c r="G67" s="155" t="s">
        <v>1282</v>
      </c>
      <c r="H67" t="s">
        <v>1323</v>
      </c>
      <c r="I67" t="s">
        <v>1323</v>
      </c>
      <c r="J67" t="s">
        <v>1323</v>
      </c>
      <c r="K67" t="s">
        <v>1261</v>
      </c>
      <c r="L67" t="s">
        <v>1315</v>
      </c>
      <c r="M67" t="s">
        <v>493</v>
      </c>
      <c r="N67" t="s">
        <v>1882</v>
      </c>
      <c r="O67" t="s">
        <v>1360</v>
      </c>
      <c r="P67" t="s">
        <v>1885</v>
      </c>
      <c r="Q67" t="s">
        <v>1886</v>
      </c>
      <c r="R67" t="s">
        <v>1360</v>
      </c>
      <c r="S67" t="s">
        <v>1885</v>
      </c>
      <c r="T67" t="s">
        <v>1886</v>
      </c>
      <c r="U67" t="s">
        <v>1887</v>
      </c>
      <c r="V67" t="s">
        <v>1263</v>
      </c>
      <c r="W67" t="s">
        <v>1261</v>
      </c>
      <c r="X67" t="s">
        <v>1322</v>
      </c>
      <c r="Y67" t="s">
        <v>1888</v>
      </c>
      <c r="Z67" t="s">
        <v>1888</v>
      </c>
      <c r="AA67" t="s">
        <v>493</v>
      </c>
      <c r="AB67" t="s">
        <v>1899</v>
      </c>
      <c r="AC67" t="s">
        <v>1282</v>
      </c>
      <c r="AD67" t="s">
        <v>2022</v>
      </c>
      <c r="AE67" t="s">
        <v>2007</v>
      </c>
      <c r="AF67" t="s">
        <v>2022</v>
      </c>
      <c r="AG67" t="s">
        <v>2007</v>
      </c>
      <c r="AH67" t="s">
        <v>1360</v>
      </c>
      <c r="AI67" t="s">
        <v>1360</v>
      </c>
      <c r="AJ67" t="s">
        <v>1885</v>
      </c>
      <c r="AK67" t="s">
        <v>1886</v>
      </c>
      <c r="AL67" t="s">
        <v>1360</v>
      </c>
      <c r="AM67" t="s">
        <v>1885</v>
      </c>
      <c r="AN67" t="s">
        <v>1886</v>
      </c>
      <c r="AO67" t="s">
        <v>1892</v>
      </c>
      <c r="AP67" t="s">
        <v>1315</v>
      </c>
      <c r="AQ67" t="s">
        <v>1281</v>
      </c>
      <c r="AR67" t="s">
        <v>1315</v>
      </c>
      <c r="AS67" t="s">
        <v>1282</v>
      </c>
      <c r="AT67" t="s">
        <v>1894</v>
      </c>
    </row>
    <row r="68" spans="4:46" x14ac:dyDescent="0.25">
      <c r="D68" t="s">
        <v>759</v>
      </c>
      <c r="E68" s="177" t="str">
        <f>INDEX(tblBOneExport[[INSTRUMENT]:[ISIN]],MATCH(tblGetStaticData[[#This Row],[ISIN]],tblBOneExport[ISIN],0),1)</f>
        <v>FIRSTGROUP PLC 6.125 18/01/19</v>
      </c>
      <c r="F68" s="155" t="str">
        <f>tblGetStaticData[[#This Row],[iPasL2]]&amp; " " &amp; tblGetStaticData[[#This Row],[Tiering]]</f>
        <v>Transportation SEN</v>
      </c>
      <c r="G68" s="155" t="s">
        <v>1282</v>
      </c>
      <c r="H68" t="s">
        <v>1348</v>
      </c>
      <c r="I68" t="s">
        <v>1348</v>
      </c>
      <c r="J68" t="s">
        <v>1348</v>
      </c>
      <c r="K68" t="s">
        <v>757</v>
      </c>
      <c r="L68" t="s">
        <v>1990</v>
      </c>
      <c r="M68" t="s">
        <v>493</v>
      </c>
      <c r="N68" t="s">
        <v>1882</v>
      </c>
      <c r="O68" t="s">
        <v>1360</v>
      </c>
      <c r="P68" t="s">
        <v>1885</v>
      </c>
      <c r="Q68" t="s">
        <v>1886</v>
      </c>
      <c r="R68" t="s">
        <v>1360</v>
      </c>
      <c r="S68" t="s">
        <v>1885</v>
      </c>
      <c r="T68" t="s">
        <v>1886</v>
      </c>
      <c r="U68" t="s">
        <v>1887</v>
      </c>
      <c r="V68" t="s">
        <v>759</v>
      </c>
      <c r="W68" t="s">
        <v>757</v>
      </c>
      <c r="X68" t="s">
        <v>1937</v>
      </c>
      <c r="Y68" t="s">
        <v>1348</v>
      </c>
      <c r="Z68" t="s">
        <v>1938</v>
      </c>
      <c r="AA68" t="s">
        <v>493</v>
      </c>
      <c r="AB68" t="s">
        <v>1899</v>
      </c>
      <c r="AC68" t="s">
        <v>1282</v>
      </c>
      <c r="AD68" t="s">
        <v>1985</v>
      </c>
      <c r="AE68" t="s">
        <v>1984</v>
      </c>
      <c r="AF68" t="s">
        <v>1985</v>
      </c>
      <c r="AG68" t="s">
        <v>1984</v>
      </c>
      <c r="AH68" t="s">
        <v>1360</v>
      </c>
      <c r="AI68" t="s">
        <v>1360</v>
      </c>
      <c r="AJ68" t="s">
        <v>1885</v>
      </c>
      <c r="AK68" t="s">
        <v>1886</v>
      </c>
      <c r="AL68" t="s">
        <v>1360</v>
      </c>
      <c r="AM68" t="s">
        <v>1885</v>
      </c>
      <c r="AN68" t="s">
        <v>1886</v>
      </c>
      <c r="AO68" t="s">
        <v>1893</v>
      </c>
      <c r="AP68" t="s">
        <v>1990</v>
      </c>
      <c r="AQ68" t="s">
        <v>1990</v>
      </c>
      <c r="AR68" t="s">
        <v>1990</v>
      </c>
      <c r="AS68" t="s">
        <v>1282</v>
      </c>
      <c r="AT68" t="s">
        <v>1894</v>
      </c>
    </row>
    <row r="69" spans="4:46" x14ac:dyDescent="0.25">
      <c r="D69" t="s">
        <v>610</v>
      </c>
      <c r="E69" s="177" t="str">
        <f>INDEX(tblBOneExport[[INSTRUMENT]:[ISIN]],MATCH(tblGetStaticData[[#This Row],[ISIN]],tblBOneExport[ISIN],0),1)</f>
        <v>BAT INTL FINANCE 6.375 12/12/19 EMTN</v>
      </c>
      <c r="F69" s="155" t="str">
        <f>tblGetStaticData[[#This Row],[iPasL2]]&amp; " " &amp; tblGetStaticData[[#This Row],[Tiering]]</f>
        <v>Consumer Noncyclical SEN</v>
      </c>
      <c r="G69" s="155" t="s">
        <v>1282</v>
      </c>
      <c r="H69" t="s">
        <v>1279</v>
      </c>
      <c r="I69" t="s">
        <v>1279</v>
      </c>
      <c r="J69" t="s">
        <v>1475</v>
      </c>
      <c r="K69" t="s">
        <v>611</v>
      </c>
      <c r="L69" t="s">
        <v>1281</v>
      </c>
      <c r="M69" t="s">
        <v>493</v>
      </c>
      <c r="N69" t="s">
        <v>1882</v>
      </c>
      <c r="O69" t="s">
        <v>1360</v>
      </c>
      <c r="P69" t="s">
        <v>1885</v>
      </c>
      <c r="Q69" t="s">
        <v>1886</v>
      </c>
      <c r="R69" t="s">
        <v>1360</v>
      </c>
      <c r="S69" t="s">
        <v>1885</v>
      </c>
      <c r="T69" t="s">
        <v>1886</v>
      </c>
      <c r="U69" t="s">
        <v>1887</v>
      </c>
      <c r="V69" t="s">
        <v>610</v>
      </c>
      <c r="W69" t="s">
        <v>611</v>
      </c>
      <c r="X69" t="s">
        <v>1896</v>
      </c>
      <c r="Y69" t="s">
        <v>2023</v>
      </c>
      <c r="Z69" t="s">
        <v>1475</v>
      </c>
      <c r="AA69" t="s">
        <v>493</v>
      </c>
      <c r="AB69" t="s">
        <v>1899</v>
      </c>
      <c r="AC69" t="s">
        <v>1282</v>
      </c>
      <c r="AD69" t="s">
        <v>2024</v>
      </c>
      <c r="AE69" t="s">
        <v>1984</v>
      </c>
      <c r="AF69" t="s">
        <v>2024</v>
      </c>
      <c r="AG69" t="s">
        <v>1984</v>
      </c>
      <c r="AH69" t="s">
        <v>1360</v>
      </c>
      <c r="AI69" t="s">
        <v>1360</v>
      </c>
      <c r="AJ69" t="s">
        <v>1885</v>
      </c>
      <c r="AK69" t="s">
        <v>1886</v>
      </c>
      <c r="AL69" t="s">
        <v>1360</v>
      </c>
      <c r="AM69" t="s">
        <v>1885</v>
      </c>
      <c r="AN69" t="s">
        <v>1886</v>
      </c>
      <c r="AO69" t="s">
        <v>1940</v>
      </c>
      <c r="AP69" t="s">
        <v>1315</v>
      </c>
      <c r="AQ69" t="s">
        <v>1288</v>
      </c>
      <c r="AR69" t="s">
        <v>1288</v>
      </c>
      <c r="AS69" t="s">
        <v>1282</v>
      </c>
      <c r="AT69" t="s">
        <v>1894</v>
      </c>
    </row>
    <row r="70" spans="4:46" x14ac:dyDescent="0.25">
      <c r="D70" t="s">
        <v>693</v>
      </c>
      <c r="E70" s="177" t="str">
        <f>INDEX(tblBOneExport[[INSTRUMENT]:[ISIN]],MATCH(tblGetStaticData[[#This Row],[ISIN]],tblBOneExport[ISIN],0),1)</f>
        <v>EDF NRG NET EPN 5.75 08/03/24 EMTN</v>
      </c>
      <c r="F70" s="155" t="str">
        <f>tblGetStaticData[[#This Row],[iPasL2]]&amp; " " &amp; tblGetStaticData[[#This Row],[Tiering]]</f>
        <v>Electric SEN</v>
      </c>
      <c r="G70" s="155" t="s">
        <v>1282</v>
      </c>
      <c r="H70" t="s">
        <v>1358</v>
      </c>
      <c r="I70" t="s">
        <v>1358</v>
      </c>
      <c r="J70" t="s">
        <v>1358</v>
      </c>
      <c r="K70" t="s">
        <v>691</v>
      </c>
      <c r="L70" t="s">
        <v>1315</v>
      </c>
      <c r="M70" t="s">
        <v>493</v>
      </c>
      <c r="N70" t="s">
        <v>1882</v>
      </c>
      <c r="O70" t="s">
        <v>1360</v>
      </c>
      <c r="P70" t="s">
        <v>1885</v>
      </c>
      <c r="Q70" t="s">
        <v>1886</v>
      </c>
      <c r="R70" t="s">
        <v>1360</v>
      </c>
      <c r="S70" t="s">
        <v>1885</v>
      </c>
      <c r="T70" t="s">
        <v>1886</v>
      </c>
      <c r="U70" t="s">
        <v>1887</v>
      </c>
      <c r="V70" t="s">
        <v>693</v>
      </c>
      <c r="W70" t="s">
        <v>691</v>
      </c>
      <c r="X70" t="s">
        <v>1322</v>
      </c>
      <c r="Y70" t="s">
        <v>1358</v>
      </c>
      <c r="Z70" t="s">
        <v>1948</v>
      </c>
      <c r="AA70" t="s">
        <v>493</v>
      </c>
      <c r="AB70" t="s">
        <v>1899</v>
      </c>
      <c r="AC70" t="s">
        <v>1282</v>
      </c>
      <c r="AD70" t="s">
        <v>2025</v>
      </c>
      <c r="AE70" t="s">
        <v>2026</v>
      </c>
      <c r="AF70" t="s">
        <v>2025</v>
      </c>
      <c r="AG70" t="s">
        <v>2026</v>
      </c>
      <c r="AH70" t="s">
        <v>1360</v>
      </c>
      <c r="AI70" t="s">
        <v>1360</v>
      </c>
      <c r="AJ70" t="s">
        <v>1885</v>
      </c>
      <c r="AK70" t="s">
        <v>1886</v>
      </c>
      <c r="AL70" t="s">
        <v>1360</v>
      </c>
      <c r="AM70" t="s">
        <v>1885</v>
      </c>
      <c r="AN70" t="s">
        <v>1886</v>
      </c>
      <c r="AO70" t="s">
        <v>1916</v>
      </c>
      <c r="AP70" t="s">
        <v>1315</v>
      </c>
      <c r="AQ70" t="s">
        <v>1315</v>
      </c>
      <c r="AR70" t="s">
        <v>1315</v>
      </c>
      <c r="AS70" t="s">
        <v>1282</v>
      </c>
      <c r="AT70" t="s">
        <v>1894</v>
      </c>
    </row>
    <row r="71" spans="4:46" x14ac:dyDescent="0.25">
      <c r="D71" t="s">
        <v>554</v>
      </c>
      <c r="E71" s="177" t="str">
        <f>INDEX(tblBOneExport[[INSTRUMENT]:[ISIN]],MATCH(tblGetStaticData[[#This Row],[ISIN]],tblBOneExport[ISIN],0),1)</f>
        <v>AUTOSTRADE PER L 6.25 09/06/22 EMTN</v>
      </c>
      <c r="F71" s="155" t="str">
        <f>tblGetStaticData[[#This Row],[iPasL2]]&amp; " " &amp; tblGetStaticData[[#This Row],[Tiering]]</f>
        <v>Transportation SEN</v>
      </c>
      <c r="G71" s="155" t="s">
        <v>1282</v>
      </c>
      <c r="H71" t="s">
        <v>1348</v>
      </c>
      <c r="I71" t="s">
        <v>1348</v>
      </c>
      <c r="J71" t="s">
        <v>1349</v>
      </c>
      <c r="K71" t="s">
        <v>555</v>
      </c>
      <c r="L71" t="s">
        <v>1315</v>
      </c>
      <c r="M71" t="s">
        <v>493</v>
      </c>
      <c r="N71" t="s">
        <v>1882</v>
      </c>
      <c r="O71" t="s">
        <v>1481</v>
      </c>
      <c r="P71" t="s">
        <v>1480</v>
      </c>
      <c r="Q71" t="s">
        <v>1895</v>
      </c>
      <c r="R71" t="s">
        <v>1481</v>
      </c>
      <c r="S71" t="s">
        <v>1480</v>
      </c>
      <c r="T71" t="s">
        <v>1895</v>
      </c>
      <c r="U71" t="s">
        <v>1887</v>
      </c>
      <c r="V71" t="s">
        <v>554</v>
      </c>
      <c r="W71" t="s">
        <v>555</v>
      </c>
      <c r="X71" t="s">
        <v>1896</v>
      </c>
      <c r="Y71" t="s">
        <v>2027</v>
      </c>
      <c r="Z71" t="s">
        <v>2028</v>
      </c>
      <c r="AA71" t="s">
        <v>493</v>
      </c>
      <c r="AB71" t="s">
        <v>1899</v>
      </c>
      <c r="AC71" t="s">
        <v>1282</v>
      </c>
      <c r="AD71" t="s">
        <v>2029</v>
      </c>
      <c r="AE71" t="s">
        <v>1901</v>
      </c>
      <c r="AF71" t="s">
        <v>2029</v>
      </c>
      <c r="AG71" t="s">
        <v>1901</v>
      </c>
      <c r="AH71" t="s">
        <v>1481</v>
      </c>
      <c r="AI71" t="s">
        <v>1481</v>
      </c>
      <c r="AJ71" t="s">
        <v>1480</v>
      </c>
      <c r="AK71" t="s">
        <v>1895</v>
      </c>
      <c r="AL71" t="s">
        <v>1481</v>
      </c>
      <c r="AM71" t="s">
        <v>1480</v>
      </c>
      <c r="AN71" t="s">
        <v>1895</v>
      </c>
      <c r="AO71" t="s">
        <v>1916</v>
      </c>
      <c r="AP71" t="s">
        <v>1315</v>
      </c>
      <c r="AQ71" t="s">
        <v>1281</v>
      </c>
      <c r="AR71" t="s">
        <v>1315</v>
      </c>
      <c r="AS71" t="s">
        <v>1282</v>
      </c>
      <c r="AT71" t="s">
        <v>1894</v>
      </c>
    </row>
    <row r="72" spans="4:46" x14ac:dyDescent="0.25">
      <c r="D72" t="s">
        <v>508</v>
      </c>
      <c r="E72" s="177" t="str">
        <f>INDEX(tblBOneExport[[INSTRUMENT]:[ISIN]],MATCH(tblGetStaticData[[#This Row],[ISIN]],tblBOneExport[ISIN],0),1)</f>
        <v>AFFINITY WATER 5.875 13/07/26</v>
      </c>
      <c r="F72" s="155" t="str">
        <f>tblGetStaticData[[#This Row],[iPasL2]]&amp; " " &amp; tblGetStaticData[[#This Row],[Tiering]]</f>
        <v>Other Utility SEN</v>
      </c>
      <c r="G72" s="155" t="s">
        <v>1282</v>
      </c>
      <c r="H72" t="s">
        <v>1323</v>
      </c>
      <c r="I72" t="s">
        <v>1323</v>
      </c>
      <c r="J72" t="s">
        <v>1323</v>
      </c>
      <c r="K72" t="s">
        <v>506</v>
      </c>
      <c r="L72" t="s">
        <v>1332</v>
      </c>
      <c r="M72" t="s">
        <v>493</v>
      </c>
      <c r="N72" t="s">
        <v>1882</v>
      </c>
      <c r="O72" t="s">
        <v>1360</v>
      </c>
      <c r="P72" t="s">
        <v>1885</v>
      </c>
      <c r="Q72" t="s">
        <v>1886</v>
      </c>
      <c r="R72" t="s">
        <v>1360</v>
      </c>
      <c r="S72" t="s">
        <v>1885</v>
      </c>
      <c r="T72" t="s">
        <v>1886</v>
      </c>
      <c r="U72" t="s">
        <v>1887</v>
      </c>
      <c r="V72" t="s">
        <v>508</v>
      </c>
      <c r="W72" t="s">
        <v>506</v>
      </c>
      <c r="X72" t="s">
        <v>1322</v>
      </c>
      <c r="Y72" t="s">
        <v>1888</v>
      </c>
      <c r="Z72" t="s">
        <v>1888</v>
      </c>
      <c r="AA72" t="s">
        <v>493</v>
      </c>
      <c r="AB72" t="s">
        <v>1899</v>
      </c>
      <c r="AC72" t="s">
        <v>1282</v>
      </c>
      <c r="AD72" t="s">
        <v>2030</v>
      </c>
      <c r="AE72" t="s">
        <v>1951</v>
      </c>
      <c r="AF72" t="s">
        <v>2030</v>
      </c>
      <c r="AG72" t="s">
        <v>1951</v>
      </c>
      <c r="AH72" t="s">
        <v>1360</v>
      </c>
      <c r="AI72" t="s">
        <v>1360</v>
      </c>
      <c r="AJ72" t="s">
        <v>1885</v>
      </c>
      <c r="AK72" t="s">
        <v>1886</v>
      </c>
      <c r="AL72" t="s">
        <v>1360</v>
      </c>
      <c r="AM72" t="s">
        <v>1885</v>
      </c>
      <c r="AN72" t="s">
        <v>1886</v>
      </c>
      <c r="AO72" t="s">
        <v>1892</v>
      </c>
      <c r="AP72" t="s">
        <v>1873</v>
      </c>
      <c r="AQ72" t="s">
        <v>1893</v>
      </c>
      <c r="AR72" t="s">
        <v>1873</v>
      </c>
      <c r="AS72" t="s">
        <v>1282</v>
      </c>
      <c r="AT72" t="s">
        <v>1894</v>
      </c>
    </row>
    <row r="73" spans="4:46" x14ac:dyDescent="0.25">
      <c r="D73" t="s">
        <v>1124</v>
      </c>
      <c r="E73" s="177" t="str">
        <f>INDEX(tblBOneExport[[INSTRUMENT]:[ISIN]],MATCH(tblGetStaticData[[#This Row],[ISIN]],tblBOneExport[ISIN],0),1)</f>
        <v>SOUTH EAST WATER 5.5834 29/03/29 A2</v>
      </c>
      <c r="F73" s="155" t="str">
        <f>tblGetStaticData[[#This Row],[iPasL2]]&amp; " " &amp; tblGetStaticData[[#This Row],[Tiering]]</f>
        <v>Other Utility SEN</v>
      </c>
      <c r="G73" s="155" t="s">
        <v>1282</v>
      </c>
      <c r="H73" t="s">
        <v>1323</v>
      </c>
      <c r="I73" t="s">
        <v>1323</v>
      </c>
      <c r="J73" t="s">
        <v>1323</v>
      </c>
      <c r="K73" t="s">
        <v>1125</v>
      </c>
      <c r="L73" t="s">
        <v>1288</v>
      </c>
      <c r="M73" t="s">
        <v>493</v>
      </c>
      <c r="N73" t="s">
        <v>1882</v>
      </c>
      <c r="O73" t="s">
        <v>1419</v>
      </c>
      <c r="P73" t="s">
        <v>1883</v>
      </c>
      <c r="Q73" t="s">
        <v>1884</v>
      </c>
      <c r="R73" t="s">
        <v>1419</v>
      </c>
      <c r="S73" t="s">
        <v>1883</v>
      </c>
      <c r="T73" t="s">
        <v>1884</v>
      </c>
      <c r="U73" t="s">
        <v>1993</v>
      </c>
      <c r="V73" t="s">
        <v>1124</v>
      </c>
      <c r="W73" t="s">
        <v>1125</v>
      </c>
      <c r="X73" t="s">
        <v>1322</v>
      </c>
      <c r="Y73" t="s">
        <v>1888</v>
      </c>
      <c r="Z73" t="s">
        <v>1888</v>
      </c>
      <c r="AA73" t="s">
        <v>493</v>
      </c>
      <c r="AB73" t="s">
        <v>1889</v>
      </c>
      <c r="AC73" t="s">
        <v>1282</v>
      </c>
      <c r="AD73" t="s">
        <v>2031</v>
      </c>
      <c r="AE73" t="s">
        <v>1978</v>
      </c>
      <c r="AF73" t="s">
        <v>2031</v>
      </c>
      <c r="AG73" t="s">
        <v>1978</v>
      </c>
      <c r="AH73" t="s">
        <v>1419</v>
      </c>
      <c r="AI73" t="s">
        <v>1360</v>
      </c>
      <c r="AJ73" t="s">
        <v>1885</v>
      </c>
      <c r="AK73" t="s">
        <v>1886</v>
      </c>
      <c r="AL73" t="s">
        <v>1360</v>
      </c>
      <c r="AM73" t="s">
        <v>1885</v>
      </c>
      <c r="AN73" t="s">
        <v>1886</v>
      </c>
      <c r="AO73" t="s">
        <v>1940</v>
      </c>
      <c r="AP73" t="s">
        <v>1288</v>
      </c>
      <c r="AQ73" t="s">
        <v>1893</v>
      </c>
      <c r="AR73" t="s">
        <v>1288</v>
      </c>
      <c r="AS73" t="s">
        <v>1282</v>
      </c>
      <c r="AT73" t="s">
        <v>1894</v>
      </c>
    </row>
    <row r="74" spans="4:46" x14ac:dyDescent="0.25">
      <c r="D74" t="s">
        <v>1254</v>
      </c>
      <c r="E74" s="177" t="str">
        <f>INDEX(tblBOneExport[[INSTRUMENT]:[ISIN]],MATCH(tblGetStaticData[[#This Row],[ISIN]],tblBOneExport[ISIN],0),1)</f>
        <v>WAL MART STORES 5.25 28/09/35</v>
      </c>
      <c r="F74" s="155" t="str">
        <f>tblGetStaticData[[#This Row],[iPasL2]]&amp; " " &amp; tblGetStaticData[[#This Row],[Tiering]]</f>
        <v>Consumer Cyclical SEN</v>
      </c>
      <c r="G74" s="155" t="s">
        <v>1282</v>
      </c>
      <c r="H74" t="s">
        <v>1306</v>
      </c>
      <c r="I74" t="s">
        <v>1306</v>
      </c>
      <c r="J74" t="s">
        <v>1422</v>
      </c>
      <c r="K74" t="s">
        <v>1255</v>
      </c>
      <c r="L74" t="s">
        <v>1303</v>
      </c>
      <c r="M74" t="s">
        <v>493</v>
      </c>
      <c r="N74" t="s">
        <v>1882</v>
      </c>
      <c r="O74" t="s">
        <v>1309</v>
      </c>
      <c r="P74" t="s">
        <v>1960</v>
      </c>
      <c r="Q74" t="s">
        <v>1961</v>
      </c>
      <c r="R74" t="s">
        <v>1309</v>
      </c>
      <c r="S74" t="s">
        <v>1960</v>
      </c>
      <c r="T74" t="s">
        <v>1961</v>
      </c>
      <c r="U74" t="s">
        <v>1962</v>
      </c>
      <c r="V74" t="s">
        <v>1254</v>
      </c>
      <c r="W74" t="s">
        <v>1255</v>
      </c>
      <c r="X74" t="s">
        <v>1932</v>
      </c>
      <c r="Y74" t="s">
        <v>1996</v>
      </c>
      <c r="Z74" t="s">
        <v>1997</v>
      </c>
      <c r="AA74" t="s">
        <v>493</v>
      </c>
      <c r="AB74" t="s">
        <v>1899</v>
      </c>
      <c r="AC74" t="s">
        <v>1282</v>
      </c>
      <c r="AD74" t="s">
        <v>2032</v>
      </c>
      <c r="AE74" t="s">
        <v>2033</v>
      </c>
      <c r="AF74" t="s">
        <v>2032</v>
      </c>
      <c r="AG74" t="s">
        <v>2033</v>
      </c>
      <c r="AH74" t="s">
        <v>1309</v>
      </c>
      <c r="AI74" t="s">
        <v>1309</v>
      </c>
      <c r="AJ74" t="s">
        <v>1960</v>
      </c>
      <c r="AK74" t="s">
        <v>1961</v>
      </c>
      <c r="AL74" t="s">
        <v>1309</v>
      </c>
      <c r="AM74" t="s">
        <v>1960</v>
      </c>
      <c r="AN74" t="s">
        <v>1961</v>
      </c>
      <c r="AO74" t="s">
        <v>1999</v>
      </c>
      <c r="AP74" t="s">
        <v>1303</v>
      </c>
      <c r="AQ74" t="s">
        <v>1303</v>
      </c>
      <c r="AR74" t="s">
        <v>1303</v>
      </c>
      <c r="AS74" t="s">
        <v>1282</v>
      </c>
      <c r="AT74" t="s">
        <v>1894</v>
      </c>
    </row>
    <row r="75" spans="4:46" x14ac:dyDescent="0.25">
      <c r="D75" t="s">
        <v>983</v>
      </c>
      <c r="E75" s="177" t="str">
        <f>INDEX(tblBOneExport[[INSTRUMENT]:[ISIN]],MATCH(tblGetStaticData[[#This Row],[ISIN]],tblBOneExport[ISIN],0),1)</f>
        <v>NETWRK RAIL INFR 4.75 29/11/35 EMTN</v>
      </c>
      <c r="F75" s="155" t="str">
        <f>tblGetStaticData[[#This Row],[iPasL2]]&amp; " " &amp; tblGetStaticData[[#This Row],[Tiering]]</f>
        <v>Foreign Agency SEN</v>
      </c>
      <c r="G75" s="155" t="s">
        <v>1282</v>
      </c>
      <c r="H75" t="s">
        <v>1331</v>
      </c>
      <c r="I75" t="s">
        <v>1331</v>
      </c>
      <c r="J75" t="s">
        <v>1331</v>
      </c>
      <c r="K75" t="s">
        <v>979</v>
      </c>
      <c r="L75" t="s">
        <v>1303</v>
      </c>
      <c r="M75" t="s">
        <v>493</v>
      </c>
      <c r="N75" t="s">
        <v>1882</v>
      </c>
      <c r="O75" t="s">
        <v>1360</v>
      </c>
      <c r="P75" t="s">
        <v>1885</v>
      </c>
      <c r="Q75" t="s">
        <v>1886</v>
      </c>
      <c r="R75" t="s">
        <v>1360</v>
      </c>
      <c r="S75" t="s">
        <v>1885</v>
      </c>
      <c r="T75" t="s">
        <v>1886</v>
      </c>
      <c r="U75" t="s">
        <v>1887</v>
      </c>
      <c r="V75" t="s">
        <v>983</v>
      </c>
      <c r="W75" t="s">
        <v>979</v>
      </c>
      <c r="X75" t="s">
        <v>1937</v>
      </c>
      <c r="Y75" t="s">
        <v>1348</v>
      </c>
      <c r="Z75" t="s">
        <v>2034</v>
      </c>
      <c r="AA75" t="s">
        <v>493</v>
      </c>
      <c r="AB75" t="s">
        <v>1889</v>
      </c>
      <c r="AC75" t="s">
        <v>1282</v>
      </c>
      <c r="AD75" t="s">
        <v>2035</v>
      </c>
      <c r="AE75" t="s">
        <v>2033</v>
      </c>
      <c r="AF75" t="s">
        <v>2035</v>
      </c>
      <c r="AG75" t="s">
        <v>2033</v>
      </c>
      <c r="AH75" t="s">
        <v>1360</v>
      </c>
      <c r="AI75" t="s">
        <v>1360</v>
      </c>
      <c r="AJ75" t="s">
        <v>1885</v>
      </c>
      <c r="AK75" t="s">
        <v>1886</v>
      </c>
      <c r="AL75" t="s">
        <v>1360</v>
      </c>
      <c r="AM75" t="s">
        <v>1885</v>
      </c>
      <c r="AN75" t="s">
        <v>1886</v>
      </c>
      <c r="AO75" t="s">
        <v>1971</v>
      </c>
      <c r="AP75" t="s">
        <v>1303</v>
      </c>
      <c r="AQ75" t="s">
        <v>1303</v>
      </c>
      <c r="AR75" t="s">
        <v>1303</v>
      </c>
      <c r="AS75" t="s">
        <v>1282</v>
      </c>
      <c r="AT75" t="s">
        <v>1894</v>
      </c>
    </row>
    <row r="76" spans="4:46" x14ac:dyDescent="0.25">
      <c r="D76" t="s">
        <v>939</v>
      </c>
      <c r="E76" s="177" t="str">
        <f>INDEX(tblBOneExport[[INSTRUMENT]:[ISIN]],MATCH(tblGetStaticData[[#This Row],[ISIN]],tblBOneExport[ISIN],0),1)</f>
        <v>METLIFE INC 5.375 09/12/24</v>
      </c>
      <c r="F76" s="155" t="str">
        <f>tblGetStaticData[[#This Row],[iPasL2]]&amp; " " &amp; tblGetStaticData[[#This Row],[Tiering]]</f>
        <v>Insurance SEN</v>
      </c>
      <c r="G76" s="155" t="s">
        <v>1282</v>
      </c>
      <c r="H76" t="s">
        <v>1301</v>
      </c>
      <c r="I76" t="s">
        <v>1301</v>
      </c>
      <c r="J76" t="s">
        <v>1302</v>
      </c>
      <c r="K76" t="s">
        <v>935</v>
      </c>
      <c r="L76" t="s">
        <v>1281</v>
      </c>
      <c r="M76" t="s">
        <v>493</v>
      </c>
      <c r="N76" t="s">
        <v>1882</v>
      </c>
      <c r="O76" t="s">
        <v>1309</v>
      </c>
      <c r="P76" t="s">
        <v>1960</v>
      </c>
      <c r="Q76" t="s">
        <v>1961</v>
      </c>
      <c r="R76" t="s">
        <v>1309</v>
      </c>
      <c r="S76" t="s">
        <v>1960</v>
      </c>
      <c r="T76" t="s">
        <v>1961</v>
      </c>
      <c r="U76" t="s">
        <v>1962</v>
      </c>
      <c r="V76" t="s">
        <v>939</v>
      </c>
      <c r="W76" t="s">
        <v>935</v>
      </c>
      <c r="X76" t="s">
        <v>1967</v>
      </c>
      <c r="Y76" t="s">
        <v>1301</v>
      </c>
      <c r="Z76" t="s">
        <v>2036</v>
      </c>
      <c r="AA76" t="s">
        <v>493</v>
      </c>
      <c r="AB76" t="s">
        <v>1899</v>
      </c>
      <c r="AC76" t="s">
        <v>1282</v>
      </c>
      <c r="AD76" t="s">
        <v>2037</v>
      </c>
      <c r="AE76" t="s">
        <v>2026</v>
      </c>
      <c r="AF76" t="s">
        <v>2037</v>
      </c>
      <c r="AG76" t="s">
        <v>2026</v>
      </c>
      <c r="AH76" t="s">
        <v>1309</v>
      </c>
      <c r="AI76" t="s">
        <v>1309</v>
      </c>
      <c r="AJ76" t="s">
        <v>1960</v>
      </c>
      <c r="AK76" t="s">
        <v>1961</v>
      </c>
      <c r="AL76" t="s">
        <v>1309</v>
      </c>
      <c r="AM76" t="s">
        <v>1960</v>
      </c>
      <c r="AN76" t="s">
        <v>1961</v>
      </c>
      <c r="AO76" t="s">
        <v>1892</v>
      </c>
      <c r="AP76" t="s">
        <v>1281</v>
      </c>
      <c r="AQ76" t="s">
        <v>1281</v>
      </c>
      <c r="AR76" t="s">
        <v>1281</v>
      </c>
      <c r="AS76" t="s">
        <v>1282</v>
      </c>
      <c r="AT76" t="s">
        <v>1894</v>
      </c>
    </row>
    <row r="77" spans="4:46" x14ac:dyDescent="0.25">
      <c r="D77" t="s">
        <v>981</v>
      </c>
      <c r="E77" s="177" t="str">
        <f>INDEX(tblBOneExport[[INSTRUMENT]:[ISIN]],MATCH(tblGetStaticData[[#This Row],[ISIN]],tblBOneExport[ISIN],0),1)</f>
        <v>NETWRK RAIL INFR 4.75 22/01/24 EMTN</v>
      </c>
      <c r="F77" s="155" t="str">
        <f>tblGetStaticData[[#This Row],[iPasL2]]&amp; " " &amp; tblGetStaticData[[#This Row],[Tiering]]</f>
        <v>Foreign Agency SEN</v>
      </c>
      <c r="G77" s="155" t="s">
        <v>1282</v>
      </c>
      <c r="H77" t="s">
        <v>1331</v>
      </c>
      <c r="I77" t="s">
        <v>1331</v>
      </c>
      <c r="J77" t="s">
        <v>1331</v>
      </c>
      <c r="K77" t="s">
        <v>979</v>
      </c>
      <c r="L77" t="s">
        <v>1303</v>
      </c>
      <c r="M77" t="s">
        <v>493</v>
      </c>
      <c r="N77" t="s">
        <v>1882</v>
      </c>
      <c r="O77" t="s">
        <v>1360</v>
      </c>
      <c r="P77" t="s">
        <v>1885</v>
      </c>
      <c r="Q77" t="s">
        <v>1886</v>
      </c>
      <c r="R77" t="s">
        <v>1360</v>
      </c>
      <c r="S77" t="s">
        <v>1885</v>
      </c>
      <c r="T77" t="s">
        <v>1886</v>
      </c>
      <c r="U77" t="s">
        <v>1887</v>
      </c>
      <c r="V77" t="s">
        <v>981</v>
      </c>
      <c r="W77" t="s">
        <v>979</v>
      </c>
      <c r="X77" t="s">
        <v>1937</v>
      </c>
      <c r="Y77" t="s">
        <v>1348</v>
      </c>
      <c r="Z77" t="s">
        <v>2034</v>
      </c>
      <c r="AA77" t="s">
        <v>493</v>
      </c>
      <c r="AB77" t="s">
        <v>1889</v>
      </c>
      <c r="AC77" t="s">
        <v>1282</v>
      </c>
      <c r="AD77" t="s">
        <v>2038</v>
      </c>
      <c r="AE77" t="s">
        <v>2026</v>
      </c>
      <c r="AF77" t="s">
        <v>2038</v>
      </c>
      <c r="AG77" t="s">
        <v>2026</v>
      </c>
      <c r="AH77" t="s">
        <v>1360</v>
      </c>
      <c r="AI77" t="s">
        <v>1360</v>
      </c>
      <c r="AJ77" t="s">
        <v>1885</v>
      </c>
      <c r="AK77" t="s">
        <v>1886</v>
      </c>
      <c r="AL77" t="s">
        <v>1360</v>
      </c>
      <c r="AM77" t="s">
        <v>1885</v>
      </c>
      <c r="AN77" t="s">
        <v>1886</v>
      </c>
      <c r="AO77" t="s">
        <v>1971</v>
      </c>
      <c r="AP77" t="s">
        <v>1303</v>
      </c>
      <c r="AQ77" t="s">
        <v>1303</v>
      </c>
      <c r="AR77" t="s">
        <v>1303</v>
      </c>
      <c r="AS77" t="s">
        <v>1282</v>
      </c>
      <c r="AT77" t="s">
        <v>1894</v>
      </c>
    </row>
    <row r="78" spans="4:46" x14ac:dyDescent="0.25">
      <c r="D78" t="s">
        <v>1260</v>
      </c>
      <c r="E78" s="177" t="str">
        <f>INDEX(tblBOneExport[[INSTRUMENT]:[ISIN]],MATCH(tblGetStaticData[[#This Row],[ISIN]],tblBOneExport[ISIN],0),1)</f>
        <v>WESSEX WATER FIN 5.375 10/03/28</v>
      </c>
      <c r="F78" s="155" t="str">
        <f>tblGetStaticData[[#This Row],[iPasL2]]&amp; " " &amp; tblGetStaticData[[#This Row],[Tiering]]</f>
        <v>Other Utility SEN</v>
      </c>
      <c r="G78" s="155" t="s">
        <v>1282</v>
      </c>
      <c r="H78" t="s">
        <v>1323</v>
      </c>
      <c r="I78" t="s">
        <v>1323</v>
      </c>
      <c r="J78" t="s">
        <v>1323</v>
      </c>
      <c r="K78" t="s">
        <v>1261</v>
      </c>
      <c r="L78" t="s">
        <v>1315</v>
      </c>
      <c r="M78" t="s">
        <v>493</v>
      </c>
      <c r="N78" t="s">
        <v>1882</v>
      </c>
      <c r="O78" t="s">
        <v>1360</v>
      </c>
      <c r="P78" t="s">
        <v>1885</v>
      </c>
      <c r="Q78" t="s">
        <v>1886</v>
      </c>
      <c r="R78" t="s">
        <v>1360</v>
      </c>
      <c r="S78" t="s">
        <v>1885</v>
      </c>
      <c r="T78" t="s">
        <v>1886</v>
      </c>
      <c r="U78" t="s">
        <v>1887</v>
      </c>
      <c r="V78" t="s">
        <v>1260</v>
      </c>
      <c r="W78" t="s">
        <v>1261</v>
      </c>
      <c r="X78" t="s">
        <v>1322</v>
      </c>
      <c r="Y78" t="s">
        <v>1888</v>
      </c>
      <c r="Z78" t="s">
        <v>1888</v>
      </c>
      <c r="AA78" t="s">
        <v>493</v>
      </c>
      <c r="AB78" t="s">
        <v>1899</v>
      </c>
      <c r="AC78" t="s">
        <v>1282</v>
      </c>
      <c r="AD78" t="s">
        <v>2039</v>
      </c>
      <c r="AE78" t="s">
        <v>1923</v>
      </c>
      <c r="AF78" t="s">
        <v>2039</v>
      </c>
      <c r="AG78" t="s">
        <v>1923</v>
      </c>
      <c r="AH78" t="s">
        <v>1360</v>
      </c>
      <c r="AI78" t="s">
        <v>1360</v>
      </c>
      <c r="AJ78" t="s">
        <v>1885</v>
      </c>
      <c r="AK78" t="s">
        <v>1886</v>
      </c>
      <c r="AL78" t="s">
        <v>1360</v>
      </c>
      <c r="AM78" t="s">
        <v>1885</v>
      </c>
      <c r="AN78" t="s">
        <v>1886</v>
      </c>
      <c r="AO78" t="s">
        <v>1892</v>
      </c>
      <c r="AP78" t="s">
        <v>1315</v>
      </c>
      <c r="AQ78" t="s">
        <v>1281</v>
      </c>
      <c r="AR78" t="s">
        <v>1315</v>
      </c>
      <c r="AS78" t="s">
        <v>1282</v>
      </c>
      <c r="AT78" t="s">
        <v>1894</v>
      </c>
    </row>
    <row r="79" spans="4:46" x14ac:dyDescent="0.25">
      <c r="D79" t="s">
        <v>580</v>
      </c>
      <c r="E79" s="177" t="str">
        <f>INDEX(tblBOneExport[[INSTRUMENT]:[ISIN]],MATCH(tblGetStaticData[[#This Row],[ISIN]],tblBOneExport[ISIN],0),1)</f>
        <v>NORTHERN ELE FIN 5.125 04/05/35</v>
      </c>
      <c r="F79" s="155" t="str">
        <f>tblGetStaticData[[#This Row],[iPasL2]]&amp; " " &amp; tblGetStaticData[[#This Row],[Tiering]]</f>
        <v>Electric SEN</v>
      </c>
      <c r="G79" s="155" t="s">
        <v>1282</v>
      </c>
      <c r="H79" t="s">
        <v>1358</v>
      </c>
      <c r="I79" t="s">
        <v>1358</v>
      </c>
      <c r="J79" t="s">
        <v>1358</v>
      </c>
      <c r="K79" t="s">
        <v>581</v>
      </c>
      <c r="L79" t="s">
        <v>1281</v>
      </c>
      <c r="M79" t="s">
        <v>493</v>
      </c>
      <c r="N79" t="s">
        <v>1882</v>
      </c>
      <c r="O79" t="s">
        <v>1360</v>
      </c>
      <c r="P79" t="s">
        <v>1885</v>
      </c>
      <c r="Q79" t="s">
        <v>1886</v>
      </c>
      <c r="R79" t="s">
        <v>1360</v>
      </c>
      <c r="S79" t="s">
        <v>1885</v>
      </c>
      <c r="T79" t="s">
        <v>1886</v>
      </c>
      <c r="U79" t="s">
        <v>1887</v>
      </c>
      <c r="V79" t="s">
        <v>580</v>
      </c>
      <c r="W79" t="s">
        <v>581</v>
      </c>
      <c r="X79" t="s">
        <v>1322</v>
      </c>
      <c r="Y79" t="s">
        <v>1358</v>
      </c>
      <c r="Z79" t="s">
        <v>1948</v>
      </c>
      <c r="AA79" t="s">
        <v>493</v>
      </c>
      <c r="AB79" t="s">
        <v>1899</v>
      </c>
      <c r="AC79" t="s">
        <v>1282</v>
      </c>
      <c r="AD79" t="s">
        <v>2040</v>
      </c>
      <c r="AE79" t="s">
        <v>2033</v>
      </c>
      <c r="AF79" t="s">
        <v>2040</v>
      </c>
      <c r="AG79" t="s">
        <v>2033</v>
      </c>
      <c r="AH79" t="s">
        <v>1360</v>
      </c>
      <c r="AI79" t="s">
        <v>1360</v>
      </c>
      <c r="AJ79" t="s">
        <v>1885</v>
      </c>
      <c r="AK79" t="s">
        <v>1886</v>
      </c>
      <c r="AL79" t="s">
        <v>1360</v>
      </c>
      <c r="AM79" t="s">
        <v>1885</v>
      </c>
      <c r="AN79" t="s">
        <v>1886</v>
      </c>
      <c r="AO79" t="s">
        <v>1892</v>
      </c>
      <c r="AP79" t="s">
        <v>1332</v>
      </c>
      <c r="AQ79" t="s">
        <v>1332</v>
      </c>
      <c r="AR79" t="s">
        <v>1281</v>
      </c>
      <c r="AS79" t="s">
        <v>1282</v>
      </c>
      <c r="AT79" t="s">
        <v>1894</v>
      </c>
    </row>
    <row r="80" spans="4:46" x14ac:dyDescent="0.25">
      <c r="D80" t="s">
        <v>985</v>
      </c>
      <c r="E80" s="177" t="str">
        <f>INDEX(tblBOneExport[[INSTRUMENT]:[ISIN]],MATCH(tblGetStaticData[[#This Row],[ISIN]],tblBOneExport[ISIN],0),1)</f>
        <v>NETWRK RAIL INFR 4.625 21/07/20 EMTN</v>
      </c>
      <c r="F80" s="155" t="str">
        <f>tblGetStaticData[[#This Row],[iPasL2]]&amp; " " &amp; tblGetStaticData[[#This Row],[Tiering]]</f>
        <v>Foreign Agency SEN</v>
      </c>
      <c r="G80" s="155" t="s">
        <v>1282</v>
      </c>
      <c r="H80" t="s">
        <v>1331</v>
      </c>
      <c r="I80" t="s">
        <v>1331</v>
      </c>
      <c r="J80" t="s">
        <v>1331</v>
      </c>
      <c r="K80" t="s">
        <v>979</v>
      </c>
      <c r="L80" t="s">
        <v>1303</v>
      </c>
      <c r="M80" t="s">
        <v>493</v>
      </c>
      <c r="N80" t="s">
        <v>1882</v>
      </c>
      <c r="O80" t="s">
        <v>1360</v>
      </c>
      <c r="P80" t="s">
        <v>1885</v>
      </c>
      <c r="Q80" t="s">
        <v>1886</v>
      </c>
      <c r="R80" t="s">
        <v>1360</v>
      </c>
      <c r="S80" t="s">
        <v>1885</v>
      </c>
      <c r="T80" t="s">
        <v>1886</v>
      </c>
      <c r="U80" t="s">
        <v>1887</v>
      </c>
      <c r="V80" t="s">
        <v>985</v>
      </c>
      <c r="W80" t="s">
        <v>979</v>
      </c>
      <c r="X80" t="s">
        <v>1937</v>
      </c>
      <c r="Y80" t="s">
        <v>1348</v>
      </c>
      <c r="Z80" t="s">
        <v>2034</v>
      </c>
      <c r="AA80" t="s">
        <v>493</v>
      </c>
      <c r="AB80" t="s">
        <v>1889</v>
      </c>
      <c r="AC80" t="s">
        <v>1282</v>
      </c>
      <c r="AD80" t="s">
        <v>2041</v>
      </c>
      <c r="AE80" t="s">
        <v>1915</v>
      </c>
      <c r="AF80" t="s">
        <v>2041</v>
      </c>
      <c r="AG80" t="s">
        <v>1915</v>
      </c>
      <c r="AH80" t="s">
        <v>1360</v>
      </c>
      <c r="AI80" t="s">
        <v>1360</v>
      </c>
      <c r="AJ80" t="s">
        <v>1885</v>
      </c>
      <c r="AK80" t="s">
        <v>1886</v>
      </c>
      <c r="AL80" t="s">
        <v>1360</v>
      </c>
      <c r="AM80" t="s">
        <v>1885</v>
      </c>
      <c r="AN80" t="s">
        <v>1886</v>
      </c>
      <c r="AO80" t="s">
        <v>1971</v>
      </c>
      <c r="AP80" t="s">
        <v>1303</v>
      </c>
      <c r="AQ80" t="s">
        <v>1303</v>
      </c>
      <c r="AR80" t="s">
        <v>1303</v>
      </c>
      <c r="AS80" t="s">
        <v>1282</v>
      </c>
      <c r="AT80" t="s">
        <v>1894</v>
      </c>
    </row>
    <row r="81" spans="4:46" x14ac:dyDescent="0.25">
      <c r="D81" t="s">
        <v>1133</v>
      </c>
      <c r="E81" s="177" t="str">
        <f>INDEX(tblBOneExport[[INSTRUMENT]:[ISIN]],MATCH(tblGetStaticData[[#This Row],[ISIN]],tblBOneExport[ISIN],0),1)</f>
        <v>SOUTHERN GAS NET 4.875 21/03/29 A7</v>
      </c>
      <c r="F81" s="155" t="str">
        <f>tblGetStaticData[[#This Row],[iPasL2]]&amp; " " &amp; tblGetStaticData[[#This Row],[Tiering]]</f>
        <v>Natural Gas SEN</v>
      </c>
      <c r="G81" s="155" t="s">
        <v>1282</v>
      </c>
      <c r="H81" t="s">
        <v>1326</v>
      </c>
      <c r="I81" t="s">
        <v>1326</v>
      </c>
      <c r="J81" t="s">
        <v>1326</v>
      </c>
      <c r="K81" t="s">
        <v>1134</v>
      </c>
      <c r="L81" t="s">
        <v>1332</v>
      </c>
      <c r="M81" t="s">
        <v>493</v>
      </c>
      <c r="N81" t="s">
        <v>1882</v>
      </c>
      <c r="O81" t="s">
        <v>1360</v>
      </c>
      <c r="P81" t="s">
        <v>1885</v>
      </c>
      <c r="Q81" t="s">
        <v>1886</v>
      </c>
      <c r="R81" t="s">
        <v>1360</v>
      </c>
      <c r="S81" t="s">
        <v>1885</v>
      </c>
      <c r="T81" t="s">
        <v>1886</v>
      </c>
      <c r="U81" t="s">
        <v>1887</v>
      </c>
      <c r="V81" t="s">
        <v>1133</v>
      </c>
      <c r="W81" t="s">
        <v>1134</v>
      </c>
      <c r="X81" t="s">
        <v>1322</v>
      </c>
      <c r="Y81" t="s">
        <v>2042</v>
      </c>
      <c r="Z81" t="s">
        <v>2043</v>
      </c>
      <c r="AA81" t="s">
        <v>493</v>
      </c>
      <c r="AB81" t="s">
        <v>1899</v>
      </c>
      <c r="AC81" t="s">
        <v>1282</v>
      </c>
      <c r="AD81" t="s">
        <v>2044</v>
      </c>
      <c r="AE81" t="s">
        <v>1978</v>
      </c>
      <c r="AF81" t="s">
        <v>2044</v>
      </c>
      <c r="AG81" t="s">
        <v>1978</v>
      </c>
      <c r="AH81" t="s">
        <v>1360</v>
      </c>
      <c r="AI81" t="s">
        <v>1360</v>
      </c>
      <c r="AJ81" t="s">
        <v>1885</v>
      </c>
      <c r="AK81" t="s">
        <v>1886</v>
      </c>
      <c r="AL81" t="s">
        <v>1360</v>
      </c>
      <c r="AM81" t="s">
        <v>1885</v>
      </c>
      <c r="AN81" t="s">
        <v>1886</v>
      </c>
      <c r="AO81" t="s">
        <v>1902</v>
      </c>
      <c r="AP81" t="s">
        <v>1303</v>
      </c>
      <c r="AQ81" t="s">
        <v>1315</v>
      </c>
      <c r="AR81" t="s">
        <v>1332</v>
      </c>
      <c r="AS81" t="s">
        <v>1282</v>
      </c>
      <c r="AT81" t="s">
        <v>1894</v>
      </c>
    </row>
    <row r="82" spans="4:46" x14ac:dyDescent="0.25">
      <c r="D82" t="s">
        <v>1007</v>
      </c>
      <c r="E82" s="177" t="str">
        <f>INDEX(tblBOneExport[[INSTRUMENT]:[ISIN]],MATCH(tblGetStaticData[[#This Row],[ISIN]],tblBOneExport[ISIN],0),1)</f>
        <v>NORTHERN GAS 4.875 30/06/27</v>
      </c>
      <c r="F82" s="155" t="str">
        <f>tblGetStaticData[[#This Row],[iPasL2]]&amp; " " &amp; tblGetStaticData[[#This Row],[Tiering]]</f>
        <v>Natural Gas SEN</v>
      </c>
      <c r="G82" s="155" t="s">
        <v>1282</v>
      </c>
      <c r="H82" t="s">
        <v>1326</v>
      </c>
      <c r="I82" t="s">
        <v>1326</v>
      </c>
      <c r="J82" t="s">
        <v>1326</v>
      </c>
      <c r="K82" t="s">
        <v>1005</v>
      </c>
      <c r="L82" t="s">
        <v>1315</v>
      </c>
      <c r="M82" t="s">
        <v>493</v>
      </c>
      <c r="N82" t="s">
        <v>1882</v>
      </c>
      <c r="O82" t="s">
        <v>1360</v>
      </c>
      <c r="P82" t="s">
        <v>1885</v>
      </c>
      <c r="Q82" t="s">
        <v>1886</v>
      </c>
      <c r="R82" t="s">
        <v>1360</v>
      </c>
      <c r="S82" t="s">
        <v>1885</v>
      </c>
      <c r="T82" t="s">
        <v>1886</v>
      </c>
      <c r="U82" t="s">
        <v>1887</v>
      </c>
      <c r="V82" t="s">
        <v>1007</v>
      </c>
      <c r="W82" t="s">
        <v>1005</v>
      </c>
      <c r="X82" t="s">
        <v>1322</v>
      </c>
      <c r="Y82" t="s">
        <v>2042</v>
      </c>
      <c r="Z82" t="s">
        <v>2043</v>
      </c>
      <c r="AA82" t="s">
        <v>493</v>
      </c>
      <c r="AB82" t="s">
        <v>1899</v>
      </c>
      <c r="AC82" t="s">
        <v>1282</v>
      </c>
      <c r="AD82" t="s">
        <v>2045</v>
      </c>
      <c r="AE82" t="s">
        <v>2015</v>
      </c>
      <c r="AF82" t="s">
        <v>2045</v>
      </c>
      <c r="AG82" t="s">
        <v>2015</v>
      </c>
      <c r="AH82" t="s">
        <v>1360</v>
      </c>
      <c r="AI82" t="s">
        <v>1360</v>
      </c>
      <c r="AJ82" t="s">
        <v>1885</v>
      </c>
      <c r="AK82" t="s">
        <v>1886</v>
      </c>
      <c r="AL82" t="s">
        <v>1360</v>
      </c>
      <c r="AM82" t="s">
        <v>1885</v>
      </c>
      <c r="AN82" t="s">
        <v>1886</v>
      </c>
      <c r="AO82" t="s">
        <v>1916</v>
      </c>
      <c r="AP82" t="s">
        <v>1315</v>
      </c>
      <c r="AQ82" t="s">
        <v>1893</v>
      </c>
      <c r="AR82" t="s">
        <v>1315</v>
      </c>
      <c r="AS82" t="s">
        <v>1282</v>
      </c>
      <c r="AT82" t="s">
        <v>1894</v>
      </c>
    </row>
    <row r="83" spans="4:46" x14ac:dyDescent="0.25">
      <c r="D83" t="s">
        <v>1004</v>
      </c>
      <c r="E83" s="177" t="str">
        <f>INDEX(tblBOneExport[[INSTRUMENT]:[ISIN]],MATCH(tblGetStaticData[[#This Row],[ISIN]],tblBOneExport[ISIN],0),1)</f>
        <v>NORTHERN GAS 4.875 15/11/35</v>
      </c>
      <c r="F83" s="155" t="str">
        <f>tblGetStaticData[[#This Row],[iPasL2]]&amp; " " &amp; tblGetStaticData[[#This Row],[Tiering]]</f>
        <v>Natural Gas SEN</v>
      </c>
      <c r="G83" s="155" t="s">
        <v>1282</v>
      </c>
      <c r="H83" t="s">
        <v>1326</v>
      </c>
      <c r="I83" t="s">
        <v>1326</v>
      </c>
      <c r="J83" t="s">
        <v>1326</v>
      </c>
      <c r="K83" t="s">
        <v>1005</v>
      </c>
      <c r="L83" t="s">
        <v>1315</v>
      </c>
      <c r="M83" t="s">
        <v>493</v>
      </c>
      <c r="N83" t="s">
        <v>1882</v>
      </c>
      <c r="O83" t="s">
        <v>1360</v>
      </c>
      <c r="P83" t="s">
        <v>1885</v>
      </c>
      <c r="Q83" t="s">
        <v>1886</v>
      </c>
      <c r="R83" t="s">
        <v>1360</v>
      </c>
      <c r="S83" t="s">
        <v>1885</v>
      </c>
      <c r="T83" t="s">
        <v>1886</v>
      </c>
      <c r="U83" t="s">
        <v>1887</v>
      </c>
      <c r="V83" t="s">
        <v>1004</v>
      </c>
      <c r="W83" t="s">
        <v>1005</v>
      </c>
      <c r="X83" t="s">
        <v>1322</v>
      </c>
      <c r="Y83" t="s">
        <v>2042</v>
      </c>
      <c r="Z83" t="s">
        <v>2043</v>
      </c>
      <c r="AA83" t="s">
        <v>493</v>
      </c>
      <c r="AB83" t="s">
        <v>1899</v>
      </c>
      <c r="AC83" t="s">
        <v>1282</v>
      </c>
      <c r="AD83" t="s">
        <v>2046</v>
      </c>
      <c r="AE83" t="s">
        <v>2033</v>
      </c>
      <c r="AF83" t="s">
        <v>2046</v>
      </c>
      <c r="AG83" t="s">
        <v>2033</v>
      </c>
      <c r="AH83" t="s">
        <v>1360</v>
      </c>
      <c r="AI83" t="s">
        <v>1360</v>
      </c>
      <c r="AJ83" t="s">
        <v>1885</v>
      </c>
      <c r="AK83" t="s">
        <v>1886</v>
      </c>
      <c r="AL83" t="s">
        <v>1360</v>
      </c>
      <c r="AM83" t="s">
        <v>1885</v>
      </c>
      <c r="AN83" t="s">
        <v>1886</v>
      </c>
      <c r="AO83" t="s">
        <v>1916</v>
      </c>
      <c r="AP83" t="s">
        <v>1315</v>
      </c>
      <c r="AQ83" t="s">
        <v>1893</v>
      </c>
      <c r="AR83" t="s">
        <v>1315</v>
      </c>
      <c r="AS83" t="s">
        <v>1282</v>
      </c>
      <c r="AT83" t="s">
        <v>1894</v>
      </c>
    </row>
    <row r="84" spans="4:46" x14ac:dyDescent="0.25">
      <c r="D84" t="s">
        <v>1027</v>
      </c>
      <c r="E84" s="177" t="str">
        <f>INDEX(tblBOneExport[[INSTRUMENT]:[ISIN]],MATCH(tblGetStaticData[[#This Row],[ISIN]],tblBOneExport[ISIN],0),1)</f>
        <v>FRANCE TELECOM 5.25 05/12/25 EMTN</v>
      </c>
      <c r="F84" s="155" t="str">
        <f>tblGetStaticData[[#This Row],[iPasL2]]&amp; " " &amp; tblGetStaticData[[#This Row],[Tiering]]</f>
        <v>Communications SEN</v>
      </c>
      <c r="G84" s="155" t="s">
        <v>1282</v>
      </c>
      <c r="H84" t="s">
        <v>1312</v>
      </c>
      <c r="I84" t="s">
        <v>1312</v>
      </c>
      <c r="J84" t="s">
        <v>1312</v>
      </c>
      <c r="K84" t="s">
        <v>1023</v>
      </c>
      <c r="L84" t="s">
        <v>1315</v>
      </c>
      <c r="M84" t="s">
        <v>493</v>
      </c>
      <c r="N84" t="s">
        <v>1882</v>
      </c>
      <c r="O84" t="s">
        <v>1317</v>
      </c>
      <c r="P84" t="s">
        <v>1316</v>
      </c>
      <c r="Q84" t="s">
        <v>1895</v>
      </c>
      <c r="R84" t="s">
        <v>1317</v>
      </c>
      <c r="S84" t="s">
        <v>1316</v>
      </c>
      <c r="T84" t="s">
        <v>1895</v>
      </c>
      <c r="U84" t="s">
        <v>1887</v>
      </c>
      <c r="V84" t="s">
        <v>1027</v>
      </c>
      <c r="W84" t="s">
        <v>1023</v>
      </c>
      <c r="X84" t="s">
        <v>1312</v>
      </c>
      <c r="Y84" t="s">
        <v>1313</v>
      </c>
      <c r="Z84" t="s">
        <v>1913</v>
      </c>
      <c r="AA84" t="s">
        <v>493</v>
      </c>
      <c r="AB84" t="s">
        <v>1899</v>
      </c>
      <c r="AC84" t="s">
        <v>1282</v>
      </c>
      <c r="AD84" t="s">
        <v>2047</v>
      </c>
      <c r="AE84" t="s">
        <v>1908</v>
      </c>
      <c r="AF84" t="s">
        <v>2047</v>
      </c>
      <c r="AG84" t="s">
        <v>1908</v>
      </c>
      <c r="AH84" t="s">
        <v>1317</v>
      </c>
      <c r="AI84" t="s">
        <v>1317</v>
      </c>
      <c r="AJ84" t="s">
        <v>1316</v>
      </c>
      <c r="AK84" t="s">
        <v>1895</v>
      </c>
      <c r="AL84" t="s">
        <v>1317</v>
      </c>
      <c r="AM84" t="s">
        <v>1316</v>
      </c>
      <c r="AN84" t="s">
        <v>1895</v>
      </c>
      <c r="AO84" t="s">
        <v>1916</v>
      </c>
      <c r="AP84" t="s">
        <v>1315</v>
      </c>
      <c r="AQ84" t="s">
        <v>1315</v>
      </c>
      <c r="AR84" t="s">
        <v>1315</v>
      </c>
      <c r="AS84" t="s">
        <v>1282</v>
      </c>
      <c r="AT84" t="s">
        <v>1894</v>
      </c>
    </row>
    <row r="85" spans="4:46" x14ac:dyDescent="0.25">
      <c r="D85" t="s">
        <v>525</v>
      </c>
      <c r="E85" s="177" t="str">
        <f>INDEX(tblBOneExport[[INSTRUMENT]:[ISIN]],MATCH(tblGetStaticData[[#This Row],[ISIN]],tblBOneExport[ISIN],0),1)</f>
        <v>AMER INTL GROUP 5 26/04/23 EMTN</v>
      </c>
      <c r="F85" s="155" t="str">
        <f>tblGetStaticData[[#This Row],[iPasL2]]&amp; " " &amp; tblGetStaticData[[#This Row],[Tiering]]</f>
        <v>Insurance SEN</v>
      </c>
      <c r="G85" s="155" t="s">
        <v>1282</v>
      </c>
      <c r="H85" t="s">
        <v>1301</v>
      </c>
      <c r="I85" t="s">
        <v>1301</v>
      </c>
      <c r="J85" t="s">
        <v>1302</v>
      </c>
      <c r="K85" t="s">
        <v>526</v>
      </c>
      <c r="L85" t="s">
        <v>1315</v>
      </c>
      <c r="M85" t="s">
        <v>493</v>
      </c>
      <c r="N85" t="s">
        <v>1882</v>
      </c>
      <c r="O85" t="s">
        <v>1309</v>
      </c>
      <c r="P85" t="s">
        <v>1960</v>
      </c>
      <c r="Q85" t="s">
        <v>1961</v>
      </c>
      <c r="R85" t="s">
        <v>1309</v>
      </c>
      <c r="S85" t="s">
        <v>1960</v>
      </c>
      <c r="T85" t="s">
        <v>1961</v>
      </c>
      <c r="U85" t="s">
        <v>1962</v>
      </c>
      <c r="V85" t="s">
        <v>525</v>
      </c>
      <c r="W85" t="s">
        <v>526</v>
      </c>
      <c r="X85" t="s">
        <v>1967</v>
      </c>
      <c r="Y85" t="s">
        <v>1301</v>
      </c>
      <c r="Z85" t="s">
        <v>2036</v>
      </c>
      <c r="AA85" t="s">
        <v>493</v>
      </c>
      <c r="AB85" t="s">
        <v>1899</v>
      </c>
      <c r="AC85" t="s">
        <v>1282</v>
      </c>
      <c r="AD85" t="s">
        <v>2048</v>
      </c>
      <c r="AE85" t="s">
        <v>1955</v>
      </c>
      <c r="AF85" t="s">
        <v>2048</v>
      </c>
      <c r="AG85" t="s">
        <v>1955</v>
      </c>
      <c r="AH85" t="s">
        <v>1309</v>
      </c>
      <c r="AI85" t="s">
        <v>1309</v>
      </c>
      <c r="AJ85" t="s">
        <v>1960</v>
      </c>
      <c r="AK85" t="s">
        <v>1961</v>
      </c>
      <c r="AL85" t="s">
        <v>1309</v>
      </c>
      <c r="AM85" t="s">
        <v>1960</v>
      </c>
      <c r="AN85" t="s">
        <v>1961</v>
      </c>
      <c r="AO85" t="s">
        <v>1916</v>
      </c>
      <c r="AP85" t="s">
        <v>1315</v>
      </c>
      <c r="AQ85" t="s">
        <v>1315</v>
      </c>
      <c r="AR85" t="s">
        <v>1315</v>
      </c>
      <c r="AS85" t="s">
        <v>1282</v>
      </c>
      <c r="AT85" t="s">
        <v>1894</v>
      </c>
    </row>
    <row r="86" spans="4:46" x14ac:dyDescent="0.25">
      <c r="D86" t="s">
        <v>576</v>
      </c>
      <c r="E86" s="177" t="str">
        <f>INDEX(tblBOneExport[[INSTRUMENT]:[ISIN]],MATCH(tblGetStaticData[[#This Row],[ISIN]],tblBOneExport[ISIN],0),1)</f>
        <v>BAYER AG 5.625 23/05/18 EMTN</v>
      </c>
      <c r="F86" s="155" t="str">
        <f>tblGetStaticData[[#This Row],[iPasL2]]&amp; " " &amp; tblGetStaticData[[#This Row],[Tiering]]</f>
        <v>Basic SEN</v>
      </c>
      <c r="G86" s="155" t="s">
        <v>1282</v>
      </c>
      <c r="H86" t="s">
        <v>1512</v>
      </c>
      <c r="I86" t="s">
        <v>1512</v>
      </c>
      <c r="J86" t="s">
        <v>1513</v>
      </c>
      <c r="K86" t="s">
        <v>577</v>
      </c>
      <c r="L86" t="s">
        <v>1281</v>
      </c>
      <c r="M86" t="s">
        <v>493</v>
      </c>
      <c r="N86" t="s">
        <v>1882</v>
      </c>
      <c r="O86" t="s">
        <v>1433</v>
      </c>
      <c r="P86" t="s">
        <v>1432</v>
      </c>
      <c r="Q86" t="s">
        <v>1895</v>
      </c>
      <c r="R86" t="s">
        <v>1433</v>
      </c>
      <c r="S86" t="s">
        <v>1432</v>
      </c>
      <c r="T86" t="s">
        <v>1895</v>
      </c>
      <c r="U86" t="s">
        <v>1887</v>
      </c>
      <c r="V86" t="s">
        <v>576</v>
      </c>
      <c r="W86" t="s">
        <v>577</v>
      </c>
      <c r="X86" t="s">
        <v>1896</v>
      </c>
      <c r="Y86" t="s">
        <v>1442</v>
      </c>
      <c r="Z86" t="s">
        <v>2005</v>
      </c>
      <c r="AA86" t="s">
        <v>493</v>
      </c>
      <c r="AB86" t="s">
        <v>1899</v>
      </c>
      <c r="AC86" t="s">
        <v>1282</v>
      </c>
      <c r="AD86" t="s">
        <v>2049</v>
      </c>
      <c r="AE86" t="s">
        <v>1936</v>
      </c>
      <c r="AF86" t="s">
        <v>2049</v>
      </c>
      <c r="AG86" t="s">
        <v>1936</v>
      </c>
      <c r="AH86" t="s">
        <v>1433</v>
      </c>
      <c r="AI86" t="s">
        <v>1433</v>
      </c>
      <c r="AJ86" t="s">
        <v>1432</v>
      </c>
      <c r="AK86" t="s">
        <v>1895</v>
      </c>
      <c r="AL86" t="s">
        <v>1433</v>
      </c>
      <c r="AM86" t="s">
        <v>1432</v>
      </c>
      <c r="AN86" t="s">
        <v>1895</v>
      </c>
      <c r="AO86" t="s">
        <v>1892</v>
      </c>
      <c r="AP86" t="s">
        <v>1281</v>
      </c>
      <c r="AQ86" t="s">
        <v>1332</v>
      </c>
      <c r="AR86" t="s">
        <v>1281</v>
      </c>
      <c r="AS86" t="s">
        <v>1282</v>
      </c>
      <c r="AT86" t="s">
        <v>1894</v>
      </c>
    </row>
    <row r="87" spans="4:46" x14ac:dyDescent="0.25">
      <c r="D87" t="s">
        <v>820</v>
      </c>
      <c r="E87" s="177" t="str">
        <f>INDEX(tblBOneExport[[INSTRUMENT]:[ISIN]],MATCH(tblGetStaticData[[#This Row],[ISIN]],tblBOneExport[ISIN],0),1)</f>
        <v>SOUTHERN WATER 4.5 31/03/52 A</v>
      </c>
      <c r="F87" s="155" t="str">
        <f>tblGetStaticData[[#This Row],[iPasL2]]&amp; " " &amp; tblGetStaticData[[#This Row],[Tiering]]</f>
        <v>Other Utility SEN</v>
      </c>
      <c r="G87" s="155" t="s">
        <v>1282</v>
      </c>
      <c r="H87" t="s">
        <v>1323</v>
      </c>
      <c r="I87" t="s">
        <v>1323</v>
      </c>
      <c r="J87" t="s">
        <v>1323</v>
      </c>
      <c r="K87" t="s">
        <v>818</v>
      </c>
      <c r="L87" t="s">
        <v>1315</v>
      </c>
      <c r="M87" t="s">
        <v>493</v>
      </c>
      <c r="N87" t="s">
        <v>1882</v>
      </c>
      <c r="O87" t="s">
        <v>1419</v>
      </c>
      <c r="P87" t="s">
        <v>1883</v>
      </c>
      <c r="Q87" t="s">
        <v>1884</v>
      </c>
      <c r="R87" t="s">
        <v>1360</v>
      </c>
      <c r="S87" t="s">
        <v>1885</v>
      </c>
      <c r="T87" t="s">
        <v>1886</v>
      </c>
      <c r="U87" t="s">
        <v>1887</v>
      </c>
      <c r="V87" t="s">
        <v>820</v>
      </c>
      <c r="W87" t="s">
        <v>818</v>
      </c>
      <c r="X87" t="s">
        <v>1322</v>
      </c>
      <c r="Y87" t="s">
        <v>1888</v>
      </c>
      <c r="Z87" t="s">
        <v>1888</v>
      </c>
      <c r="AA87" t="s">
        <v>493</v>
      </c>
      <c r="AB87" t="s">
        <v>1889</v>
      </c>
      <c r="AC87" t="s">
        <v>1282</v>
      </c>
      <c r="AD87" t="s">
        <v>2050</v>
      </c>
      <c r="AE87" t="s">
        <v>1904</v>
      </c>
      <c r="AF87" t="s">
        <v>2050</v>
      </c>
      <c r="AG87" t="s">
        <v>1904</v>
      </c>
      <c r="AH87" t="s">
        <v>1419</v>
      </c>
      <c r="AI87" t="s">
        <v>1419</v>
      </c>
      <c r="AJ87" t="s">
        <v>1883</v>
      </c>
      <c r="AK87" t="s">
        <v>1884</v>
      </c>
      <c r="AL87" t="s">
        <v>1360</v>
      </c>
      <c r="AM87" t="s">
        <v>1885</v>
      </c>
      <c r="AN87" t="s">
        <v>1886</v>
      </c>
      <c r="AO87" t="s">
        <v>1916</v>
      </c>
      <c r="AP87" t="s">
        <v>1281</v>
      </c>
      <c r="AQ87" t="s">
        <v>1281</v>
      </c>
      <c r="AR87" t="s">
        <v>1315</v>
      </c>
      <c r="AS87" t="s">
        <v>1282</v>
      </c>
      <c r="AT87" t="s">
        <v>1894</v>
      </c>
    </row>
    <row r="88" spans="4:46" x14ac:dyDescent="0.25">
      <c r="D88" t="s">
        <v>674</v>
      </c>
      <c r="E88" s="177" t="str">
        <f>INDEX(tblBOneExport[[INSTRUMENT]:[ISIN]],MATCH(tblGetStaticData[[#This Row],[ISIN]],tblBOneExport[ISIN],0),1)</f>
        <v>DWR CYMRU FIN 4.473 31/03/57 EMTN</v>
      </c>
      <c r="F88" s="155" t="str">
        <f>tblGetStaticData[[#This Row],[iPasL2]]&amp; " " &amp; tblGetStaticData[[#This Row],[Tiering]]</f>
        <v>Other Utility SEN</v>
      </c>
      <c r="G88" s="155" t="s">
        <v>1282</v>
      </c>
      <c r="H88" t="s">
        <v>1323</v>
      </c>
      <c r="I88" t="s">
        <v>1323</v>
      </c>
      <c r="J88" t="s">
        <v>1323</v>
      </c>
      <c r="K88" t="s">
        <v>675</v>
      </c>
      <c r="L88" t="s">
        <v>1281</v>
      </c>
      <c r="M88" t="s">
        <v>493</v>
      </c>
      <c r="N88" t="s">
        <v>1882</v>
      </c>
      <c r="O88" t="s">
        <v>1419</v>
      </c>
      <c r="P88" t="s">
        <v>1883</v>
      </c>
      <c r="Q88" t="s">
        <v>1884</v>
      </c>
      <c r="R88" t="s">
        <v>1360</v>
      </c>
      <c r="S88" t="s">
        <v>1885</v>
      </c>
      <c r="T88" t="s">
        <v>1886</v>
      </c>
      <c r="U88" t="s">
        <v>1887</v>
      </c>
      <c r="V88" t="s">
        <v>674</v>
      </c>
      <c r="W88" t="s">
        <v>675</v>
      </c>
      <c r="X88" t="s">
        <v>1322</v>
      </c>
      <c r="Y88" t="s">
        <v>1888</v>
      </c>
      <c r="Z88" t="s">
        <v>1888</v>
      </c>
      <c r="AA88" t="s">
        <v>493</v>
      </c>
      <c r="AB88" t="s">
        <v>1994</v>
      </c>
      <c r="AC88" t="s">
        <v>1282</v>
      </c>
      <c r="AD88" t="s">
        <v>2051</v>
      </c>
      <c r="AE88" t="s">
        <v>1904</v>
      </c>
      <c r="AF88" t="s">
        <v>2051</v>
      </c>
      <c r="AG88" t="s">
        <v>1904</v>
      </c>
      <c r="AH88" t="s">
        <v>1419</v>
      </c>
      <c r="AI88" t="s">
        <v>1419</v>
      </c>
      <c r="AJ88" t="s">
        <v>1883</v>
      </c>
      <c r="AK88" t="s">
        <v>1884</v>
      </c>
      <c r="AL88" t="s">
        <v>1360</v>
      </c>
      <c r="AM88" t="s">
        <v>1885</v>
      </c>
      <c r="AN88" t="s">
        <v>1886</v>
      </c>
      <c r="AO88" t="s">
        <v>1902</v>
      </c>
      <c r="AP88" t="s">
        <v>1332</v>
      </c>
      <c r="AQ88" t="s">
        <v>1332</v>
      </c>
      <c r="AR88" t="s">
        <v>1332</v>
      </c>
      <c r="AS88" t="s">
        <v>1282</v>
      </c>
      <c r="AT88" t="s">
        <v>1894</v>
      </c>
    </row>
    <row r="89" spans="4:46" x14ac:dyDescent="0.25">
      <c r="D89" t="s">
        <v>798</v>
      </c>
      <c r="E89" s="177" t="str">
        <f>INDEX(tblBOneExport[[INSTRUMENT]:[ISIN]],MATCH(tblGetStaticData[[#This Row],[ISIN]],tblBOneExport[ISIN],0),1)</f>
        <v>GLENCORE FINANCE 6.5 27/02/19 EMTN</v>
      </c>
      <c r="F89" s="155" t="str">
        <f>tblGetStaticData[[#This Row],[iPasL2]]&amp; " " &amp; tblGetStaticData[[#This Row],[Tiering]]</f>
        <v>Basic SEN</v>
      </c>
      <c r="G89" s="155" t="s">
        <v>1282</v>
      </c>
      <c r="H89" t="s">
        <v>1512</v>
      </c>
      <c r="I89" t="s">
        <v>1512</v>
      </c>
      <c r="J89" t="s">
        <v>1520</v>
      </c>
      <c r="K89" t="s">
        <v>799</v>
      </c>
      <c r="L89" t="s">
        <v>1990</v>
      </c>
      <c r="M89" t="s">
        <v>493</v>
      </c>
      <c r="N89" t="s">
        <v>1882</v>
      </c>
      <c r="O89" t="s">
        <v>1522</v>
      </c>
      <c r="P89" t="s">
        <v>1521</v>
      </c>
      <c r="Q89" t="s">
        <v>1895</v>
      </c>
      <c r="R89" t="s">
        <v>2052</v>
      </c>
      <c r="S89" t="s">
        <v>2053</v>
      </c>
      <c r="T89" t="s">
        <v>1895</v>
      </c>
      <c r="U89" t="s">
        <v>1887</v>
      </c>
      <c r="V89" t="s">
        <v>798</v>
      </c>
      <c r="W89" t="s">
        <v>799</v>
      </c>
      <c r="X89" t="s">
        <v>1905</v>
      </c>
      <c r="Y89" t="s">
        <v>2054</v>
      </c>
      <c r="Z89" t="s">
        <v>2055</v>
      </c>
      <c r="AA89" t="s">
        <v>493</v>
      </c>
      <c r="AB89" t="s">
        <v>1899</v>
      </c>
      <c r="AC89" t="s">
        <v>1282</v>
      </c>
      <c r="AD89" t="s">
        <v>2056</v>
      </c>
      <c r="AE89" t="s">
        <v>1984</v>
      </c>
      <c r="AF89" t="s">
        <v>2056</v>
      </c>
      <c r="AG89" t="s">
        <v>1984</v>
      </c>
      <c r="AH89" t="s">
        <v>1522</v>
      </c>
      <c r="AI89" t="s">
        <v>1522</v>
      </c>
      <c r="AJ89" t="s">
        <v>1521</v>
      </c>
      <c r="AK89" t="s">
        <v>1895</v>
      </c>
      <c r="AL89" t="s">
        <v>2052</v>
      </c>
      <c r="AM89" t="s">
        <v>2053</v>
      </c>
      <c r="AN89" t="s">
        <v>1895</v>
      </c>
      <c r="AO89" t="s">
        <v>1940</v>
      </c>
      <c r="AP89" t="s">
        <v>1288</v>
      </c>
      <c r="AQ89" t="s">
        <v>1893</v>
      </c>
      <c r="AR89" t="s">
        <v>1288</v>
      </c>
      <c r="AS89" t="s">
        <v>1282</v>
      </c>
      <c r="AT89" t="s">
        <v>1894</v>
      </c>
    </row>
    <row r="90" spans="4:46" x14ac:dyDescent="0.25">
      <c r="D90" t="s">
        <v>547</v>
      </c>
      <c r="E90" s="177" t="str">
        <f>INDEX(tblBOneExport[[INSTRUMENT]:[ISIN]],MATCH(tblGetStaticData[[#This Row],[ISIN]],tblBOneExport[ISIN],0),1)</f>
        <v>AT&amp;T INC 5.5 15/03/27</v>
      </c>
      <c r="F90" s="155" t="str">
        <f>tblGetStaticData[[#This Row],[iPasL2]]&amp; " " &amp; tblGetStaticData[[#This Row],[Tiering]]</f>
        <v>Communications SEN</v>
      </c>
      <c r="G90" s="155" t="s">
        <v>1282</v>
      </c>
      <c r="H90" t="s">
        <v>1312</v>
      </c>
      <c r="I90" t="s">
        <v>1312</v>
      </c>
      <c r="J90" t="s">
        <v>1313</v>
      </c>
      <c r="K90" t="s">
        <v>321</v>
      </c>
      <c r="L90" t="s">
        <v>1315</v>
      </c>
      <c r="M90" t="s">
        <v>493</v>
      </c>
      <c r="N90" t="s">
        <v>1882</v>
      </c>
      <c r="O90" t="s">
        <v>1309</v>
      </c>
      <c r="P90" t="s">
        <v>1960</v>
      </c>
      <c r="Q90" t="s">
        <v>1961</v>
      </c>
      <c r="R90" t="s">
        <v>1309</v>
      </c>
      <c r="S90" t="s">
        <v>1960</v>
      </c>
      <c r="T90" t="s">
        <v>1961</v>
      </c>
      <c r="U90" t="s">
        <v>1962</v>
      </c>
      <c r="V90" t="s">
        <v>547</v>
      </c>
      <c r="W90" t="s">
        <v>321</v>
      </c>
      <c r="X90" t="s">
        <v>1312</v>
      </c>
      <c r="Y90" t="s">
        <v>1313</v>
      </c>
      <c r="Z90" t="s">
        <v>1913</v>
      </c>
      <c r="AA90" t="s">
        <v>493</v>
      </c>
      <c r="AB90" t="s">
        <v>1899</v>
      </c>
      <c r="AC90" t="s">
        <v>1282</v>
      </c>
      <c r="AD90" t="s">
        <v>2057</v>
      </c>
      <c r="AE90" t="s">
        <v>2015</v>
      </c>
      <c r="AF90" t="s">
        <v>2057</v>
      </c>
      <c r="AG90" t="s">
        <v>2015</v>
      </c>
      <c r="AH90" t="s">
        <v>1309</v>
      </c>
      <c r="AI90" t="s">
        <v>1309</v>
      </c>
      <c r="AJ90" t="s">
        <v>1960</v>
      </c>
      <c r="AK90" t="s">
        <v>1961</v>
      </c>
      <c r="AL90" t="s">
        <v>1309</v>
      </c>
      <c r="AM90" t="s">
        <v>1960</v>
      </c>
      <c r="AN90" t="s">
        <v>1961</v>
      </c>
      <c r="AO90" t="s">
        <v>1916</v>
      </c>
      <c r="AP90" t="s">
        <v>1315</v>
      </c>
      <c r="AQ90" t="s">
        <v>1281</v>
      </c>
      <c r="AR90" t="s">
        <v>1315</v>
      </c>
      <c r="AS90" t="s">
        <v>1282</v>
      </c>
      <c r="AT90" t="s">
        <v>1894</v>
      </c>
    </row>
    <row r="91" spans="4:46" x14ac:dyDescent="0.25">
      <c r="D91" t="s">
        <v>789</v>
      </c>
      <c r="E91" s="177" t="str">
        <f>INDEX(tblBOneExport[[INSTRUMENT]:[ISIN]],MATCH(tblGetStaticData[[#This Row],[ISIN]],tblBOneExport[ISIN],0),1)</f>
        <v>GLAXOSMITHKLINE 5.25 10/04/42 EMTN</v>
      </c>
      <c r="F91" s="155" t="str">
        <f>tblGetStaticData[[#This Row],[iPasL2]]&amp; " " &amp; tblGetStaticData[[#This Row],[Tiering]]</f>
        <v>Consumer Noncyclical SEN</v>
      </c>
      <c r="G91" s="155" t="s">
        <v>1282</v>
      </c>
      <c r="H91" t="s">
        <v>1279</v>
      </c>
      <c r="I91" t="s">
        <v>1279</v>
      </c>
      <c r="J91" t="s">
        <v>1279</v>
      </c>
      <c r="K91" t="s">
        <v>787</v>
      </c>
      <c r="L91" t="s">
        <v>1332</v>
      </c>
      <c r="M91" t="s">
        <v>493</v>
      </c>
      <c r="N91" t="s">
        <v>1882</v>
      </c>
      <c r="O91" t="s">
        <v>1360</v>
      </c>
      <c r="P91" t="s">
        <v>1885</v>
      </c>
      <c r="Q91" t="s">
        <v>1886</v>
      </c>
      <c r="R91" t="s">
        <v>1360</v>
      </c>
      <c r="S91" t="s">
        <v>1885</v>
      </c>
      <c r="T91" t="s">
        <v>1886</v>
      </c>
      <c r="U91" t="s">
        <v>1887</v>
      </c>
      <c r="V91" t="s">
        <v>789</v>
      </c>
      <c r="W91" t="s">
        <v>787</v>
      </c>
      <c r="X91" t="s">
        <v>1896</v>
      </c>
      <c r="Y91" t="s">
        <v>1442</v>
      </c>
      <c r="Z91" t="s">
        <v>2005</v>
      </c>
      <c r="AA91" t="s">
        <v>493</v>
      </c>
      <c r="AB91" t="s">
        <v>1899</v>
      </c>
      <c r="AC91" t="s">
        <v>1282</v>
      </c>
      <c r="AD91" t="s">
        <v>2058</v>
      </c>
      <c r="AE91" t="s">
        <v>1891</v>
      </c>
      <c r="AF91" t="s">
        <v>2058</v>
      </c>
      <c r="AG91" t="s">
        <v>1891</v>
      </c>
      <c r="AH91" t="s">
        <v>1360</v>
      </c>
      <c r="AI91" t="s">
        <v>1360</v>
      </c>
      <c r="AJ91" t="s">
        <v>1885</v>
      </c>
      <c r="AK91" t="s">
        <v>1886</v>
      </c>
      <c r="AL91" t="s">
        <v>1360</v>
      </c>
      <c r="AM91" t="s">
        <v>1885</v>
      </c>
      <c r="AN91" t="s">
        <v>1886</v>
      </c>
      <c r="AO91" t="s">
        <v>1902</v>
      </c>
      <c r="AP91" t="s">
        <v>1293</v>
      </c>
      <c r="AQ91" t="s">
        <v>1332</v>
      </c>
      <c r="AR91" t="s">
        <v>1332</v>
      </c>
      <c r="AS91" t="s">
        <v>1282</v>
      </c>
      <c r="AT91" t="s">
        <v>1894</v>
      </c>
    </row>
    <row r="92" spans="4:46" x14ac:dyDescent="0.25">
      <c r="D92" t="s">
        <v>914</v>
      </c>
      <c r="E92" s="177" t="str">
        <f>INDEX(tblBOneExport[[INSTRUMENT]:[ISIN]],MATCH(tblGetStaticData[[#This Row],[ISIN]],tblBOneExport[ISIN],0),1)</f>
        <v>LINDE FINANCE BV 5.875 24/04/23 EMTN</v>
      </c>
      <c r="F92" s="155" t="str">
        <f>tblGetStaticData[[#This Row],[iPasL2]]&amp; " " &amp; tblGetStaticData[[#This Row],[Tiering]]</f>
        <v>Basic SEN</v>
      </c>
      <c r="G92" s="155" t="s">
        <v>1282</v>
      </c>
      <c r="H92" t="s">
        <v>1512</v>
      </c>
      <c r="I92" t="s">
        <v>1512</v>
      </c>
      <c r="J92" t="s">
        <v>1512</v>
      </c>
      <c r="K92" t="s">
        <v>915</v>
      </c>
      <c r="L92" t="s">
        <v>1332</v>
      </c>
      <c r="M92" t="s">
        <v>493</v>
      </c>
      <c r="N92" t="s">
        <v>1882</v>
      </c>
      <c r="O92" t="s">
        <v>1295</v>
      </c>
      <c r="P92" t="s">
        <v>1294</v>
      </c>
      <c r="Q92" t="s">
        <v>1895</v>
      </c>
      <c r="R92" t="s">
        <v>1433</v>
      </c>
      <c r="S92" t="s">
        <v>1432</v>
      </c>
      <c r="T92" t="s">
        <v>1895</v>
      </c>
      <c r="U92" t="s">
        <v>1887</v>
      </c>
      <c r="V92" t="s">
        <v>914</v>
      </c>
      <c r="W92" t="s">
        <v>915</v>
      </c>
      <c r="X92" t="s">
        <v>1905</v>
      </c>
      <c r="Y92" t="s">
        <v>1513</v>
      </c>
      <c r="Z92" t="s">
        <v>2059</v>
      </c>
      <c r="AA92" t="s">
        <v>493</v>
      </c>
      <c r="AB92" t="s">
        <v>1899</v>
      </c>
      <c r="AC92" t="s">
        <v>1282</v>
      </c>
      <c r="AD92" t="s">
        <v>2060</v>
      </c>
      <c r="AE92" t="s">
        <v>1955</v>
      </c>
      <c r="AF92" t="s">
        <v>2060</v>
      </c>
      <c r="AG92" t="s">
        <v>1955</v>
      </c>
      <c r="AH92" t="s">
        <v>1295</v>
      </c>
      <c r="AI92" t="s">
        <v>1295</v>
      </c>
      <c r="AJ92" t="s">
        <v>1294</v>
      </c>
      <c r="AK92" t="s">
        <v>1895</v>
      </c>
      <c r="AL92" t="s">
        <v>1433</v>
      </c>
      <c r="AM92" t="s">
        <v>1432</v>
      </c>
      <c r="AN92" t="s">
        <v>1895</v>
      </c>
      <c r="AO92" t="s">
        <v>1902</v>
      </c>
      <c r="AP92" t="s">
        <v>1293</v>
      </c>
      <c r="AQ92" t="s">
        <v>1893</v>
      </c>
      <c r="AR92" t="s">
        <v>1332</v>
      </c>
      <c r="AS92" t="s">
        <v>1282</v>
      </c>
      <c r="AT92" t="s">
        <v>1894</v>
      </c>
    </row>
    <row r="93" spans="4:46" x14ac:dyDescent="0.25">
      <c r="D93" t="s">
        <v>721</v>
      </c>
      <c r="E93" s="177" t="str">
        <f>INDEX(tblBOneExport[[INSTRUMENT]:[ISIN]],MATCH(tblGetStaticData[[#This Row],[ISIN]],tblBOneExport[ISIN],0),1)</f>
        <v>ENEL (ENTNZENEL) 6.25 20/06/19 EMTN</v>
      </c>
      <c r="F93" s="155" t="str">
        <f>tblGetStaticData[[#This Row],[iPasL2]]&amp; " " &amp; tblGetStaticData[[#This Row],[Tiering]]</f>
        <v>Natural Gas SEN</v>
      </c>
      <c r="G93" s="155" t="s">
        <v>1282</v>
      </c>
      <c r="H93" t="s">
        <v>1326</v>
      </c>
      <c r="I93" t="s">
        <v>1326</v>
      </c>
      <c r="J93" t="s">
        <v>1326</v>
      </c>
      <c r="K93" t="s">
        <v>717</v>
      </c>
      <c r="L93" t="s">
        <v>1288</v>
      </c>
      <c r="M93" t="s">
        <v>493</v>
      </c>
      <c r="N93" t="s">
        <v>1882</v>
      </c>
      <c r="O93" t="s">
        <v>1481</v>
      </c>
      <c r="P93" t="s">
        <v>1480</v>
      </c>
      <c r="Q93" t="s">
        <v>1895</v>
      </c>
      <c r="R93" t="s">
        <v>1481</v>
      </c>
      <c r="S93" t="s">
        <v>1480</v>
      </c>
      <c r="T93" t="s">
        <v>1895</v>
      </c>
      <c r="U93" t="s">
        <v>1887</v>
      </c>
      <c r="V93" t="s">
        <v>721</v>
      </c>
      <c r="W93" t="s">
        <v>717</v>
      </c>
      <c r="X93" t="s">
        <v>1322</v>
      </c>
      <c r="Y93" t="s">
        <v>1358</v>
      </c>
      <c r="Z93" t="s">
        <v>1921</v>
      </c>
      <c r="AA93" t="s">
        <v>493</v>
      </c>
      <c r="AB93" t="s">
        <v>1899</v>
      </c>
      <c r="AC93" t="s">
        <v>1282</v>
      </c>
      <c r="AD93" t="s">
        <v>2061</v>
      </c>
      <c r="AE93" t="s">
        <v>1984</v>
      </c>
      <c r="AF93" t="s">
        <v>2061</v>
      </c>
      <c r="AG93" t="s">
        <v>1984</v>
      </c>
      <c r="AH93" t="s">
        <v>1481</v>
      </c>
      <c r="AI93" t="s">
        <v>1481</v>
      </c>
      <c r="AJ93" t="s">
        <v>1480</v>
      </c>
      <c r="AK93" t="s">
        <v>1895</v>
      </c>
      <c r="AL93" t="s">
        <v>1481</v>
      </c>
      <c r="AM93" t="s">
        <v>1480</v>
      </c>
      <c r="AN93" t="s">
        <v>1895</v>
      </c>
      <c r="AO93" t="s">
        <v>1940</v>
      </c>
      <c r="AP93" t="s">
        <v>1288</v>
      </c>
      <c r="AQ93" t="s">
        <v>1315</v>
      </c>
      <c r="AR93" t="s">
        <v>1288</v>
      </c>
      <c r="AS93" t="s">
        <v>1282</v>
      </c>
      <c r="AT93" t="s">
        <v>1894</v>
      </c>
    </row>
    <row r="94" spans="4:46" x14ac:dyDescent="0.25">
      <c r="D94" t="s">
        <v>687</v>
      </c>
      <c r="E94" s="177" t="str">
        <f>INDEX(tblBOneExport[[INSTRUMENT]:[ISIN]],MATCH(tblGetStaticData[[#This Row],[ISIN]],tblBOneExport[ISIN],0),1)</f>
        <v>E.ON INTL FIN BV 6 30/10/19 EMTN</v>
      </c>
      <c r="F94" s="155" t="str">
        <f>tblGetStaticData[[#This Row],[iPasL2]]&amp; " " &amp; tblGetStaticData[[#This Row],[Tiering]]</f>
        <v>Electric SEN</v>
      </c>
      <c r="G94" s="155" t="s">
        <v>1282</v>
      </c>
      <c r="H94" t="s">
        <v>1358</v>
      </c>
      <c r="I94" t="s">
        <v>1358</v>
      </c>
      <c r="J94" t="s">
        <v>1358</v>
      </c>
      <c r="K94" t="s">
        <v>683</v>
      </c>
      <c r="L94" t="s">
        <v>1315</v>
      </c>
      <c r="M94" t="s">
        <v>493</v>
      </c>
      <c r="N94" t="s">
        <v>1882</v>
      </c>
      <c r="O94" t="s">
        <v>1295</v>
      </c>
      <c r="P94" t="s">
        <v>1294</v>
      </c>
      <c r="Q94" t="s">
        <v>1895</v>
      </c>
      <c r="R94" t="s">
        <v>1433</v>
      </c>
      <c r="S94" t="s">
        <v>1432</v>
      </c>
      <c r="T94" t="s">
        <v>1895</v>
      </c>
      <c r="U94" t="s">
        <v>1887</v>
      </c>
      <c r="V94" t="s">
        <v>687</v>
      </c>
      <c r="W94" t="s">
        <v>683</v>
      </c>
      <c r="X94" t="s">
        <v>1322</v>
      </c>
      <c r="Y94" t="s">
        <v>1358</v>
      </c>
      <c r="Z94" t="s">
        <v>1921</v>
      </c>
      <c r="AA94" t="s">
        <v>493</v>
      </c>
      <c r="AB94" t="s">
        <v>1899</v>
      </c>
      <c r="AC94" t="s">
        <v>1282</v>
      </c>
      <c r="AD94" t="s">
        <v>2062</v>
      </c>
      <c r="AE94" t="s">
        <v>1984</v>
      </c>
      <c r="AF94" t="s">
        <v>2062</v>
      </c>
      <c r="AG94" t="s">
        <v>1984</v>
      </c>
      <c r="AH94" t="s">
        <v>1295</v>
      </c>
      <c r="AI94" t="s">
        <v>1295</v>
      </c>
      <c r="AJ94" t="s">
        <v>1294</v>
      </c>
      <c r="AK94" t="s">
        <v>1895</v>
      </c>
      <c r="AL94" t="s">
        <v>1433</v>
      </c>
      <c r="AM94" t="s">
        <v>1432</v>
      </c>
      <c r="AN94" t="s">
        <v>1895</v>
      </c>
      <c r="AO94" t="s">
        <v>1940</v>
      </c>
      <c r="AP94" t="s">
        <v>1288</v>
      </c>
      <c r="AQ94" t="s">
        <v>1281</v>
      </c>
      <c r="AR94" t="s">
        <v>1288</v>
      </c>
      <c r="AS94" t="s">
        <v>1282</v>
      </c>
      <c r="AT94" t="s">
        <v>1894</v>
      </c>
    </row>
    <row r="95" spans="4:46" x14ac:dyDescent="0.25">
      <c r="D95" t="s">
        <v>874</v>
      </c>
      <c r="E95" s="177" t="str">
        <f>INDEX(tblBOneExport[[INSTRUMENT]:[ISIN]],MATCH(tblGetStaticData[[#This Row],[ISIN]],tblBOneExport[ISIN],0),1)</f>
        <v>JOHNSON&amp;JOHNSON 5.5 06/11/24</v>
      </c>
      <c r="F95" s="155" t="str">
        <f>tblGetStaticData[[#This Row],[iPasL2]]&amp; " " &amp; tblGetStaticData[[#This Row],[Tiering]]</f>
        <v>Consumer Noncyclical SEN</v>
      </c>
      <c r="G95" s="155" t="s">
        <v>1282</v>
      </c>
      <c r="H95" t="s">
        <v>1279</v>
      </c>
      <c r="I95" t="s">
        <v>1279</v>
      </c>
      <c r="J95" t="s">
        <v>1442</v>
      </c>
      <c r="K95" t="s">
        <v>875</v>
      </c>
      <c r="L95" t="s">
        <v>1353</v>
      </c>
      <c r="M95" t="s">
        <v>493</v>
      </c>
      <c r="N95" t="s">
        <v>1882</v>
      </c>
      <c r="O95" t="s">
        <v>1309</v>
      </c>
      <c r="P95" t="s">
        <v>1960</v>
      </c>
      <c r="Q95" t="s">
        <v>1961</v>
      </c>
      <c r="R95" t="s">
        <v>1309</v>
      </c>
      <c r="S95" t="s">
        <v>1960</v>
      </c>
      <c r="T95" t="s">
        <v>1961</v>
      </c>
      <c r="U95" t="s">
        <v>1962</v>
      </c>
      <c r="V95" t="s">
        <v>874</v>
      </c>
      <c r="W95" t="s">
        <v>875</v>
      </c>
      <c r="X95" t="s">
        <v>1896</v>
      </c>
      <c r="Y95" t="s">
        <v>1442</v>
      </c>
      <c r="Z95" t="s">
        <v>2005</v>
      </c>
      <c r="AA95" t="s">
        <v>493</v>
      </c>
      <c r="AB95" t="s">
        <v>1899</v>
      </c>
      <c r="AC95" t="s">
        <v>1282</v>
      </c>
      <c r="AD95" t="s">
        <v>2063</v>
      </c>
      <c r="AE95" t="s">
        <v>2026</v>
      </c>
      <c r="AF95" t="s">
        <v>2063</v>
      </c>
      <c r="AG95" t="s">
        <v>2026</v>
      </c>
      <c r="AH95" t="s">
        <v>1309</v>
      </c>
      <c r="AI95" t="s">
        <v>1309</v>
      </c>
      <c r="AJ95" t="s">
        <v>1960</v>
      </c>
      <c r="AK95" t="s">
        <v>1961</v>
      </c>
      <c r="AL95" t="s">
        <v>1309</v>
      </c>
      <c r="AM95" t="s">
        <v>1960</v>
      </c>
      <c r="AN95" t="s">
        <v>1961</v>
      </c>
      <c r="AO95" t="s">
        <v>1947</v>
      </c>
      <c r="AP95" t="s">
        <v>1353</v>
      </c>
      <c r="AQ95" t="s">
        <v>1353</v>
      </c>
      <c r="AR95" t="s">
        <v>1353</v>
      </c>
      <c r="AS95" t="s">
        <v>1282</v>
      </c>
      <c r="AT95" t="s">
        <v>1894</v>
      </c>
    </row>
    <row r="96" spans="4:46" x14ac:dyDescent="0.25">
      <c r="D96" t="s">
        <v>795</v>
      </c>
      <c r="E96" s="177" t="str">
        <f>INDEX(tblBOneExport[[INSTRUMENT]:[ISIN]],MATCH(tblGetStaticData[[#This Row],[ISIN]],tblBOneExport[ISIN],0),1)</f>
        <v>GLAXOSMITHKLINE 6.375 09/03/39 EMTN</v>
      </c>
      <c r="F96" s="155" t="str">
        <f>tblGetStaticData[[#This Row],[iPasL2]]&amp; " " &amp; tblGetStaticData[[#This Row],[Tiering]]</f>
        <v>Consumer Noncyclical SEN</v>
      </c>
      <c r="G96" s="155" t="s">
        <v>1282</v>
      </c>
      <c r="H96" t="s">
        <v>1279</v>
      </c>
      <c r="I96" t="s">
        <v>1279</v>
      </c>
      <c r="J96" t="s">
        <v>1442</v>
      </c>
      <c r="K96" t="s">
        <v>787</v>
      </c>
      <c r="L96" t="s">
        <v>1332</v>
      </c>
      <c r="M96" t="s">
        <v>493</v>
      </c>
      <c r="N96" t="s">
        <v>1882</v>
      </c>
      <c r="O96" t="s">
        <v>1360</v>
      </c>
      <c r="P96" t="s">
        <v>1885</v>
      </c>
      <c r="Q96" t="s">
        <v>1886</v>
      </c>
      <c r="R96" t="s">
        <v>1360</v>
      </c>
      <c r="S96" t="s">
        <v>1885</v>
      </c>
      <c r="T96" t="s">
        <v>1886</v>
      </c>
      <c r="U96" t="s">
        <v>1887</v>
      </c>
      <c r="V96" t="s">
        <v>795</v>
      </c>
      <c r="W96" t="s">
        <v>787</v>
      </c>
      <c r="X96" t="s">
        <v>1896</v>
      </c>
      <c r="Y96" t="s">
        <v>1442</v>
      </c>
      <c r="Z96" t="s">
        <v>2005</v>
      </c>
      <c r="AA96" t="s">
        <v>493</v>
      </c>
      <c r="AB96" t="s">
        <v>1899</v>
      </c>
      <c r="AC96" t="s">
        <v>1282</v>
      </c>
      <c r="AD96" t="s">
        <v>2064</v>
      </c>
      <c r="AE96" t="s">
        <v>1975</v>
      </c>
      <c r="AF96" t="s">
        <v>2064</v>
      </c>
      <c r="AG96" t="s">
        <v>1975</v>
      </c>
      <c r="AH96" t="s">
        <v>1360</v>
      </c>
      <c r="AI96" t="s">
        <v>1360</v>
      </c>
      <c r="AJ96" t="s">
        <v>1885</v>
      </c>
      <c r="AK96" t="s">
        <v>1886</v>
      </c>
      <c r="AL96" t="s">
        <v>1360</v>
      </c>
      <c r="AM96" t="s">
        <v>1885</v>
      </c>
      <c r="AN96" t="s">
        <v>1886</v>
      </c>
      <c r="AO96" t="s">
        <v>1902</v>
      </c>
      <c r="AP96" t="s">
        <v>1293</v>
      </c>
      <c r="AQ96" t="s">
        <v>1332</v>
      </c>
      <c r="AR96" t="s">
        <v>1332</v>
      </c>
      <c r="AS96" t="s">
        <v>1282</v>
      </c>
      <c r="AT96" t="s">
        <v>1894</v>
      </c>
    </row>
    <row r="97" spans="4:46" x14ac:dyDescent="0.25">
      <c r="D97" t="s">
        <v>1136</v>
      </c>
      <c r="E97" s="177" t="str">
        <f>INDEX(tblBOneExport[[INSTRUMENT]:[ISIN]],MATCH(tblGetStaticData[[#This Row],[ISIN]],tblBOneExport[ISIN],0),1)</f>
        <v>SOUTHERN GAS NET 6.375 15/05/40 EMTN</v>
      </c>
      <c r="F97" s="155" t="str">
        <f>tblGetStaticData[[#This Row],[iPasL2]]&amp; " " &amp; tblGetStaticData[[#This Row],[Tiering]]</f>
        <v>Natural Gas SEN</v>
      </c>
      <c r="G97" s="155" t="s">
        <v>1282</v>
      </c>
      <c r="H97" t="s">
        <v>1326</v>
      </c>
      <c r="I97" t="s">
        <v>1326</v>
      </c>
      <c r="J97" t="s">
        <v>1326</v>
      </c>
      <c r="K97" t="s">
        <v>1134</v>
      </c>
      <c r="L97" t="s">
        <v>1315</v>
      </c>
      <c r="M97" t="s">
        <v>493</v>
      </c>
      <c r="N97" t="s">
        <v>1882</v>
      </c>
      <c r="O97" t="s">
        <v>1360</v>
      </c>
      <c r="P97" t="s">
        <v>1885</v>
      </c>
      <c r="Q97" t="s">
        <v>1886</v>
      </c>
      <c r="R97" t="s">
        <v>1360</v>
      </c>
      <c r="S97" t="s">
        <v>1885</v>
      </c>
      <c r="T97" t="s">
        <v>1886</v>
      </c>
      <c r="U97" t="s">
        <v>1887</v>
      </c>
      <c r="V97" t="s">
        <v>1136</v>
      </c>
      <c r="W97" t="s">
        <v>1134</v>
      </c>
      <c r="X97" t="s">
        <v>1322</v>
      </c>
      <c r="Y97" t="s">
        <v>2042</v>
      </c>
      <c r="Z97" t="s">
        <v>2043</v>
      </c>
      <c r="AA97" t="s">
        <v>493</v>
      </c>
      <c r="AB97" t="s">
        <v>1899</v>
      </c>
      <c r="AC97" t="s">
        <v>1282</v>
      </c>
      <c r="AD97" t="s">
        <v>2065</v>
      </c>
      <c r="AE97" t="s">
        <v>2066</v>
      </c>
      <c r="AF97" t="s">
        <v>2065</v>
      </c>
      <c r="AG97" t="s">
        <v>2066</v>
      </c>
      <c r="AH97" t="s">
        <v>1360</v>
      </c>
      <c r="AI97" t="s">
        <v>1360</v>
      </c>
      <c r="AJ97" t="s">
        <v>1885</v>
      </c>
      <c r="AK97" t="s">
        <v>1886</v>
      </c>
      <c r="AL97" t="s">
        <v>1360</v>
      </c>
      <c r="AM97" t="s">
        <v>1885</v>
      </c>
      <c r="AN97" t="s">
        <v>1886</v>
      </c>
      <c r="AO97" t="s">
        <v>1916</v>
      </c>
      <c r="AP97" t="s">
        <v>1315</v>
      </c>
      <c r="AQ97" t="s">
        <v>1315</v>
      </c>
      <c r="AR97" t="s">
        <v>1315</v>
      </c>
      <c r="AS97" t="s">
        <v>1282</v>
      </c>
      <c r="AT97" t="s">
        <v>1894</v>
      </c>
    </row>
    <row r="98" spans="4:46" x14ac:dyDescent="0.25">
      <c r="D98" t="s">
        <v>827</v>
      </c>
      <c r="E98" s="177" t="str">
        <f>INDEX(tblBOneExport[[INSTRUMENT]:[ISIN]],MATCH(tblGetStaticData[[#This Row],[ISIN]],tblBOneExport[ISIN],0),1)</f>
        <v>BAA FUNDING LTD 6.45 10/12/31 REGS</v>
      </c>
      <c r="F98" s="155" t="str">
        <f>tblGetStaticData[[#This Row],[iPasL2]]&amp; " " &amp; tblGetStaticData[[#This Row],[Tiering]]</f>
        <v>Transportation SEN</v>
      </c>
      <c r="G98" s="155" t="s">
        <v>1282</v>
      </c>
      <c r="H98" t="s">
        <v>1348</v>
      </c>
      <c r="I98" t="s">
        <v>1348</v>
      </c>
      <c r="J98" t="s">
        <v>1348</v>
      </c>
      <c r="K98" t="s">
        <v>828</v>
      </c>
      <c r="L98" t="s">
        <v>1281</v>
      </c>
      <c r="M98" t="s">
        <v>493</v>
      </c>
      <c r="N98" t="s">
        <v>1882</v>
      </c>
      <c r="O98" t="s">
        <v>1360</v>
      </c>
      <c r="P98" t="s">
        <v>1885</v>
      </c>
      <c r="Q98" t="s">
        <v>1886</v>
      </c>
      <c r="R98" t="s">
        <v>1360</v>
      </c>
      <c r="S98" t="s">
        <v>1885</v>
      </c>
      <c r="T98" t="s">
        <v>1886</v>
      </c>
      <c r="U98" t="s">
        <v>1887</v>
      </c>
      <c r="V98" t="s">
        <v>827</v>
      </c>
      <c r="W98" t="s">
        <v>828</v>
      </c>
      <c r="X98" t="s">
        <v>1937</v>
      </c>
      <c r="Y98" t="s">
        <v>2067</v>
      </c>
      <c r="Z98" t="s">
        <v>2068</v>
      </c>
      <c r="AA98" t="s">
        <v>493</v>
      </c>
      <c r="AB98" t="s">
        <v>1889</v>
      </c>
      <c r="AC98" t="s">
        <v>1282</v>
      </c>
      <c r="AD98" t="s">
        <v>2069</v>
      </c>
      <c r="AE98" t="s">
        <v>2012</v>
      </c>
      <c r="AF98" t="s">
        <v>2069</v>
      </c>
      <c r="AG98" t="s">
        <v>2012</v>
      </c>
      <c r="AH98" t="s">
        <v>1542</v>
      </c>
      <c r="AI98" t="s">
        <v>1360</v>
      </c>
      <c r="AJ98" t="s">
        <v>1885</v>
      </c>
      <c r="AK98" t="s">
        <v>1886</v>
      </c>
      <c r="AL98" t="s">
        <v>1360</v>
      </c>
      <c r="AM98" t="s">
        <v>1885</v>
      </c>
      <c r="AN98" t="s">
        <v>1886</v>
      </c>
      <c r="AO98" t="s">
        <v>1893</v>
      </c>
      <c r="AP98" t="s">
        <v>1281</v>
      </c>
      <c r="AQ98" t="s">
        <v>1281</v>
      </c>
      <c r="AR98" t="s">
        <v>1281</v>
      </c>
      <c r="AS98" t="s">
        <v>1282</v>
      </c>
      <c r="AT98" t="s">
        <v>1894</v>
      </c>
    </row>
    <row r="99" spans="4:46" x14ac:dyDescent="0.25">
      <c r="D99" t="s">
        <v>830</v>
      </c>
      <c r="E99" s="177" t="str">
        <f>INDEX(tblBOneExport[[INSTRUMENT]:[ISIN]],MATCH(tblGetStaticData[[#This Row],[ISIN]],tblBOneExport[ISIN],0),1)</f>
        <v>BAA FUNDING LTD 5.225 15/02/23 REGS</v>
      </c>
      <c r="F99" s="155" t="str">
        <f>tblGetStaticData[[#This Row],[iPasL2]]&amp; " " &amp; tblGetStaticData[[#This Row],[Tiering]]</f>
        <v>Natural Gas SEN</v>
      </c>
      <c r="G99" s="155" t="s">
        <v>1282</v>
      </c>
      <c r="H99" t="s">
        <v>1326</v>
      </c>
      <c r="I99" t="s">
        <v>1326</v>
      </c>
      <c r="J99" t="s">
        <v>1326</v>
      </c>
      <c r="K99" t="s">
        <v>828</v>
      </c>
      <c r="L99" t="s">
        <v>1281</v>
      </c>
      <c r="M99" t="s">
        <v>493</v>
      </c>
      <c r="N99" t="s">
        <v>1882</v>
      </c>
      <c r="O99" t="s">
        <v>1360</v>
      </c>
      <c r="P99" t="s">
        <v>1885</v>
      </c>
      <c r="Q99" t="s">
        <v>1886</v>
      </c>
      <c r="R99" t="s">
        <v>1360</v>
      </c>
      <c r="S99" t="s">
        <v>1885</v>
      </c>
      <c r="T99" t="s">
        <v>1886</v>
      </c>
      <c r="U99" t="s">
        <v>1887</v>
      </c>
      <c r="V99" t="s">
        <v>830</v>
      </c>
      <c r="W99" t="s">
        <v>828</v>
      </c>
      <c r="X99" t="s">
        <v>1937</v>
      </c>
      <c r="Y99" t="s">
        <v>2067</v>
      </c>
      <c r="Z99" t="s">
        <v>2068</v>
      </c>
      <c r="AA99" t="s">
        <v>493</v>
      </c>
      <c r="AB99" t="s">
        <v>1889</v>
      </c>
      <c r="AC99" t="s">
        <v>1282</v>
      </c>
      <c r="AD99" t="s">
        <v>2070</v>
      </c>
      <c r="AE99" t="s">
        <v>1955</v>
      </c>
      <c r="AF99" t="s">
        <v>2070</v>
      </c>
      <c r="AG99" t="s">
        <v>1955</v>
      </c>
      <c r="AH99" t="s">
        <v>1542</v>
      </c>
      <c r="AI99" t="s">
        <v>1360</v>
      </c>
      <c r="AJ99" t="s">
        <v>1885</v>
      </c>
      <c r="AK99" t="s">
        <v>1886</v>
      </c>
      <c r="AL99" t="s">
        <v>1360</v>
      </c>
      <c r="AM99" t="s">
        <v>1885</v>
      </c>
      <c r="AN99" t="s">
        <v>1886</v>
      </c>
      <c r="AO99" t="s">
        <v>1893</v>
      </c>
      <c r="AP99" t="s">
        <v>1281</v>
      </c>
      <c r="AQ99" t="s">
        <v>1281</v>
      </c>
      <c r="AR99" t="s">
        <v>1281</v>
      </c>
      <c r="AS99" t="s">
        <v>1282</v>
      </c>
      <c r="AT99" t="s">
        <v>1894</v>
      </c>
    </row>
    <row r="100" spans="4:46" x14ac:dyDescent="0.25">
      <c r="D100" t="s">
        <v>631</v>
      </c>
      <c r="E100" s="177" t="str">
        <f>INDEX(tblBOneExport[[INSTRUMENT]:[ISIN]],MATCH(tblGetStaticData[[#This Row],[ISIN]],tblBOneExport[ISIN],0),1)</f>
        <v>CENTRICA PLC 7 19/09/33 EMTN</v>
      </c>
      <c r="F100" s="155" t="str">
        <f>tblGetStaticData[[#This Row],[iPasL2]]&amp; " " &amp; tblGetStaticData[[#This Row],[Tiering]]</f>
        <v>Natural Gas SEN</v>
      </c>
      <c r="G100" s="155" t="s">
        <v>1282</v>
      </c>
      <c r="H100" t="s">
        <v>1326</v>
      </c>
      <c r="I100" t="s">
        <v>1326</v>
      </c>
      <c r="J100" t="s">
        <v>1326</v>
      </c>
      <c r="K100" t="s">
        <v>629</v>
      </c>
      <c r="L100" t="s">
        <v>1315</v>
      </c>
      <c r="M100" t="s">
        <v>493</v>
      </c>
      <c r="N100" t="s">
        <v>1882</v>
      </c>
      <c r="O100" t="s">
        <v>1360</v>
      </c>
      <c r="P100" t="s">
        <v>1885</v>
      </c>
      <c r="Q100" t="s">
        <v>1886</v>
      </c>
      <c r="R100" t="s">
        <v>1360</v>
      </c>
      <c r="S100" t="s">
        <v>1885</v>
      </c>
      <c r="T100" t="s">
        <v>1886</v>
      </c>
      <c r="U100" t="s">
        <v>1887</v>
      </c>
      <c r="V100" t="s">
        <v>631</v>
      </c>
      <c r="W100" t="s">
        <v>629</v>
      </c>
      <c r="X100" t="s">
        <v>1322</v>
      </c>
      <c r="Y100" t="s">
        <v>2042</v>
      </c>
      <c r="Z100" t="s">
        <v>2043</v>
      </c>
      <c r="AA100" t="s">
        <v>493</v>
      </c>
      <c r="AB100" t="s">
        <v>1899</v>
      </c>
      <c r="AC100" t="s">
        <v>1282</v>
      </c>
      <c r="AD100" t="s">
        <v>2071</v>
      </c>
      <c r="AE100" t="s">
        <v>2007</v>
      </c>
      <c r="AF100" t="s">
        <v>2071</v>
      </c>
      <c r="AG100" t="s">
        <v>2007</v>
      </c>
      <c r="AH100" t="s">
        <v>1360</v>
      </c>
      <c r="AI100" t="s">
        <v>1360</v>
      </c>
      <c r="AJ100" t="s">
        <v>1885</v>
      </c>
      <c r="AK100" t="s">
        <v>1886</v>
      </c>
      <c r="AL100" t="s">
        <v>1360</v>
      </c>
      <c r="AM100" t="s">
        <v>1885</v>
      </c>
      <c r="AN100" t="s">
        <v>1886</v>
      </c>
      <c r="AO100" t="s">
        <v>1916</v>
      </c>
      <c r="AP100" t="s">
        <v>1315</v>
      </c>
      <c r="AQ100" t="s">
        <v>1281</v>
      </c>
      <c r="AR100" t="s">
        <v>1315</v>
      </c>
      <c r="AS100" t="s">
        <v>1282</v>
      </c>
      <c r="AT100" t="s">
        <v>1894</v>
      </c>
    </row>
    <row r="101" spans="4:46" x14ac:dyDescent="0.25">
      <c r="D101" t="s">
        <v>1107</v>
      </c>
      <c r="E101" s="177" t="str">
        <f>INDEX(tblBOneExport[[INSTRUMENT]:[ISIN]],MATCH(tblGetStaticData[[#This Row],[ISIN]],tblBOneExport[ISIN],0),1)</f>
        <v>SCOTTISH &amp; SOUTH 8.375 20/11/28 EMTN</v>
      </c>
      <c r="F101" s="155" t="str">
        <f>tblGetStaticData[[#This Row],[iPasL2]]&amp; " " &amp; tblGetStaticData[[#This Row],[Tiering]]</f>
        <v>Natural Gas SEN</v>
      </c>
      <c r="G101" s="155" t="s">
        <v>1282</v>
      </c>
      <c r="H101" t="s">
        <v>1326</v>
      </c>
      <c r="I101" t="s">
        <v>1326</v>
      </c>
      <c r="J101" t="s">
        <v>1326</v>
      </c>
      <c r="K101" t="s">
        <v>1103</v>
      </c>
      <c r="L101" t="s">
        <v>1281</v>
      </c>
      <c r="M101" t="s">
        <v>493</v>
      </c>
      <c r="N101" t="s">
        <v>1882</v>
      </c>
      <c r="O101" t="s">
        <v>1360</v>
      </c>
      <c r="P101" t="s">
        <v>1885</v>
      </c>
      <c r="Q101" t="s">
        <v>1886</v>
      </c>
      <c r="R101" t="s">
        <v>1360</v>
      </c>
      <c r="S101" t="s">
        <v>1885</v>
      </c>
      <c r="T101" t="s">
        <v>1886</v>
      </c>
      <c r="U101" t="s">
        <v>1887</v>
      </c>
      <c r="V101" t="s">
        <v>1107</v>
      </c>
      <c r="W101" t="s">
        <v>1103</v>
      </c>
      <c r="X101" t="s">
        <v>1322</v>
      </c>
      <c r="Y101" t="s">
        <v>1358</v>
      </c>
      <c r="Z101" t="s">
        <v>1921</v>
      </c>
      <c r="AA101" t="s">
        <v>493</v>
      </c>
      <c r="AB101" t="s">
        <v>1899</v>
      </c>
      <c r="AC101" t="s">
        <v>1282</v>
      </c>
      <c r="AD101" t="s">
        <v>2072</v>
      </c>
      <c r="AE101" t="s">
        <v>1923</v>
      </c>
      <c r="AF101" t="s">
        <v>2072</v>
      </c>
      <c r="AG101" t="s">
        <v>1923</v>
      </c>
      <c r="AH101" t="s">
        <v>1360</v>
      </c>
      <c r="AI101" t="s">
        <v>1360</v>
      </c>
      <c r="AJ101" t="s">
        <v>1885</v>
      </c>
      <c r="AK101" t="s">
        <v>1886</v>
      </c>
      <c r="AL101" t="s">
        <v>1360</v>
      </c>
      <c r="AM101" t="s">
        <v>1885</v>
      </c>
      <c r="AN101" t="s">
        <v>1886</v>
      </c>
      <c r="AO101" t="s">
        <v>1892</v>
      </c>
      <c r="AP101" t="s">
        <v>1281</v>
      </c>
      <c r="AQ101" t="s">
        <v>1315</v>
      </c>
      <c r="AR101" t="s">
        <v>1281</v>
      </c>
      <c r="AS101" t="s">
        <v>1282</v>
      </c>
      <c r="AT101" t="s">
        <v>1894</v>
      </c>
    </row>
    <row r="102" spans="4:46" x14ac:dyDescent="0.25">
      <c r="D102" t="s">
        <v>662</v>
      </c>
      <c r="E102" s="177" t="str">
        <f>INDEX(tblBOneExport[[INSTRUMENT]:[ISIN]],MATCH(tblGetStaticData[[#This Row],[ISIN]],tblBOneExport[ISIN],0),1)</f>
        <v>DEUTSCHE TEL FIN 8.875 27/11/28</v>
      </c>
      <c r="F102" s="155" t="str">
        <f>tblGetStaticData[[#This Row],[iPasL2]]&amp; " " &amp; tblGetStaticData[[#This Row],[Tiering]]</f>
        <v>Communications SEN</v>
      </c>
      <c r="G102" s="155" t="s">
        <v>1282</v>
      </c>
      <c r="H102" t="s">
        <v>1312</v>
      </c>
      <c r="I102" t="s">
        <v>1312</v>
      </c>
      <c r="J102" t="s">
        <v>1313</v>
      </c>
      <c r="K102" t="s">
        <v>663</v>
      </c>
      <c r="L102" t="s">
        <v>1315</v>
      </c>
      <c r="M102" t="s">
        <v>493</v>
      </c>
      <c r="N102" t="s">
        <v>1882</v>
      </c>
      <c r="O102" t="s">
        <v>1295</v>
      </c>
      <c r="P102" t="s">
        <v>1294</v>
      </c>
      <c r="Q102" t="s">
        <v>1895</v>
      </c>
      <c r="R102" t="s">
        <v>1433</v>
      </c>
      <c r="S102" t="s">
        <v>1432</v>
      </c>
      <c r="T102" t="s">
        <v>1895</v>
      </c>
      <c r="U102" t="s">
        <v>1887</v>
      </c>
      <c r="V102" t="s">
        <v>662</v>
      </c>
      <c r="W102" t="s">
        <v>663</v>
      </c>
      <c r="X102" t="s">
        <v>1312</v>
      </c>
      <c r="Y102" t="s">
        <v>1313</v>
      </c>
      <c r="Z102" t="s">
        <v>1913</v>
      </c>
      <c r="AA102" t="s">
        <v>493</v>
      </c>
      <c r="AB102" t="s">
        <v>1899</v>
      </c>
      <c r="AC102" t="s">
        <v>1282</v>
      </c>
      <c r="AD102" t="s">
        <v>2073</v>
      </c>
      <c r="AE102" t="s">
        <v>1923</v>
      </c>
      <c r="AF102" t="s">
        <v>2073</v>
      </c>
      <c r="AG102" t="s">
        <v>1923</v>
      </c>
      <c r="AH102" t="s">
        <v>1295</v>
      </c>
      <c r="AI102" t="s">
        <v>1295</v>
      </c>
      <c r="AJ102" t="s">
        <v>1294</v>
      </c>
      <c r="AK102" t="s">
        <v>1895</v>
      </c>
      <c r="AL102" t="s">
        <v>1433</v>
      </c>
      <c r="AM102" t="s">
        <v>1432</v>
      </c>
      <c r="AN102" t="s">
        <v>1895</v>
      </c>
      <c r="AO102" t="s">
        <v>1916</v>
      </c>
      <c r="AP102" t="s">
        <v>1315</v>
      </c>
      <c r="AQ102" t="s">
        <v>1315</v>
      </c>
      <c r="AR102" t="s">
        <v>1315</v>
      </c>
      <c r="AS102" t="s">
        <v>1282</v>
      </c>
      <c r="AT102" t="s">
        <v>1894</v>
      </c>
    </row>
    <row r="103" spans="4:46" x14ac:dyDescent="0.25">
      <c r="D103" t="s">
        <v>954</v>
      </c>
      <c r="E103" s="177" t="str">
        <f>INDEX(tblBOneExport[[INSTRUMENT]:[ISIN]],MATCH(tblGetStaticData[[#This Row],[ISIN]],tblBOneExport[ISIN],0),1)</f>
        <v>NATL GRID ELECT 7.375 13/01/31 EMTN</v>
      </c>
      <c r="F103" s="155" t="str">
        <f>tblGetStaticData[[#This Row],[iPasL2]]&amp; " " &amp; tblGetStaticData[[#This Row],[Tiering]]</f>
        <v>Electric SEN</v>
      </c>
      <c r="G103" s="155" t="s">
        <v>1282</v>
      </c>
      <c r="H103" t="s">
        <v>1358</v>
      </c>
      <c r="I103" t="s">
        <v>1358</v>
      </c>
      <c r="J103" t="s">
        <v>1358</v>
      </c>
      <c r="K103" t="s">
        <v>955</v>
      </c>
      <c r="L103" t="s">
        <v>1281</v>
      </c>
      <c r="M103" t="s">
        <v>493</v>
      </c>
      <c r="N103" t="s">
        <v>1882</v>
      </c>
      <c r="O103" t="s">
        <v>1360</v>
      </c>
      <c r="P103" t="s">
        <v>1885</v>
      </c>
      <c r="Q103" t="s">
        <v>1886</v>
      </c>
      <c r="R103" t="s">
        <v>1360</v>
      </c>
      <c r="S103" t="s">
        <v>1885</v>
      </c>
      <c r="T103" t="s">
        <v>1886</v>
      </c>
      <c r="U103" t="s">
        <v>1887</v>
      </c>
      <c r="V103" t="s">
        <v>954</v>
      </c>
      <c r="W103" t="s">
        <v>955</v>
      </c>
      <c r="X103" t="s">
        <v>1322</v>
      </c>
      <c r="Y103" t="s">
        <v>1358</v>
      </c>
      <c r="Z103" t="s">
        <v>2074</v>
      </c>
      <c r="AA103" t="s">
        <v>493</v>
      </c>
      <c r="AB103" t="s">
        <v>1899</v>
      </c>
      <c r="AC103" t="s">
        <v>1282</v>
      </c>
      <c r="AD103" t="s">
        <v>2075</v>
      </c>
      <c r="AE103" t="s">
        <v>2012</v>
      </c>
      <c r="AF103" t="s">
        <v>2075</v>
      </c>
      <c r="AG103" t="s">
        <v>2012</v>
      </c>
      <c r="AH103" t="s">
        <v>1360</v>
      </c>
      <c r="AI103" t="s">
        <v>1360</v>
      </c>
      <c r="AJ103" t="s">
        <v>1885</v>
      </c>
      <c r="AK103" t="s">
        <v>1886</v>
      </c>
      <c r="AL103" t="s">
        <v>1360</v>
      </c>
      <c r="AM103" t="s">
        <v>1885</v>
      </c>
      <c r="AN103" t="s">
        <v>1886</v>
      </c>
      <c r="AO103" t="s">
        <v>1892</v>
      </c>
      <c r="AP103" t="s">
        <v>1281</v>
      </c>
      <c r="AQ103" t="s">
        <v>1332</v>
      </c>
      <c r="AR103" t="s">
        <v>1281</v>
      </c>
      <c r="AS103" t="s">
        <v>1282</v>
      </c>
      <c r="AT103" t="s">
        <v>1894</v>
      </c>
    </row>
    <row r="104" spans="4:46" x14ac:dyDescent="0.25">
      <c r="D104" t="s">
        <v>685</v>
      </c>
      <c r="E104" s="177" t="str">
        <f>INDEX(tblBOneExport[[INSTRUMENT]:[ISIN]],MATCH(tblGetStaticData[[#This Row],[ISIN]],tblBOneExport[ISIN],0),1)</f>
        <v>E.ON INTL FIN BV 6.75 27/01/39 EMTN</v>
      </c>
      <c r="F104" s="155" t="str">
        <f>tblGetStaticData[[#This Row],[iPasL2]]&amp; " " &amp; tblGetStaticData[[#This Row],[Tiering]]</f>
        <v>Electric SEN</v>
      </c>
      <c r="G104" s="155" t="s">
        <v>1282</v>
      </c>
      <c r="H104" t="s">
        <v>1358</v>
      </c>
      <c r="I104" t="s">
        <v>1358</v>
      </c>
      <c r="J104" t="s">
        <v>1358</v>
      </c>
      <c r="K104" t="s">
        <v>683</v>
      </c>
      <c r="L104" t="s">
        <v>1315</v>
      </c>
      <c r="M104" t="s">
        <v>493</v>
      </c>
      <c r="N104" t="s">
        <v>1882</v>
      </c>
      <c r="O104" t="s">
        <v>1295</v>
      </c>
      <c r="P104" t="s">
        <v>1294</v>
      </c>
      <c r="Q104" t="s">
        <v>1895</v>
      </c>
      <c r="R104" t="s">
        <v>1433</v>
      </c>
      <c r="S104" t="s">
        <v>1432</v>
      </c>
      <c r="T104" t="s">
        <v>1895</v>
      </c>
      <c r="U104" t="s">
        <v>1887</v>
      </c>
      <c r="V104" t="s">
        <v>685</v>
      </c>
      <c r="W104" t="s">
        <v>683</v>
      </c>
      <c r="X104" t="s">
        <v>1322</v>
      </c>
      <c r="Y104" t="s">
        <v>1358</v>
      </c>
      <c r="Z104" t="s">
        <v>1921</v>
      </c>
      <c r="AA104" t="s">
        <v>493</v>
      </c>
      <c r="AB104" t="s">
        <v>1899</v>
      </c>
      <c r="AC104" t="s">
        <v>1282</v>
      </c>
      <c r="AD104" t="s">
        <v>2076</v>
      </c>
      <c r="AE104" t="s">
        <v>1975</v>
      </c>
      <c r="AF104" t="s">
        <v>2076</v>
      </c>
      <c r="AG104" t="s">
        <v>1975</v>
      </c>
      <c r="AH104" t="s">
        <v>1295</v>
      </c>
      <c r="AI104" t="s">
        <v>1295</v>
      </c>
      <c r="AJ104" t="s">
        <v>1294</v>
      </c>
      <c r="AK104" t="s">
        <v>1895</v>
      </c>
      <c r="AL104" t="s">
        <v>1433</v>
      </c>
      <c r="AM104" t="s">
        <v>1432</v>
      </c>
      <c r="AN104" t="s">
        <v>1895</v>
      </c>
      <c r="AO104" t="s">
        <v>1940</v>
      </c>
      <c r="AP104" t="s">
        <v>1288</v>
      </c>
      <c r="AQ104" t="s">
        <v>1281</v>
      </c>
      <c r="AR104" t="s">
        <v>1288</v>
      </c>
      <c r="AS104" t="s">
        <v>1282</v>
      </c>
      <c r="AT104" t="s">
        <v>1894</v>
      </c>
    </row>
    <row r="105" spans="4:46" x14ac:dyDescent="0.25">
      <c r="D105" t="s">
        <v>817</v>
      </c>
      <c r="E105" s="177" t="str">
        <f>INDEX(tblBOneExport[[INSTRUMENT]:[ISIN]],MATCH(tblGetStaticData[[#This Row],[ISIN]],tblBOneExport[ISIN],0),1)</f>
        <v>SOUTHERN WATER 6.125 31/03/19 EMTN</v>
      </c>
      <c r="F105" s="155" t="str">
        <f>tblGetStaticData[[#This Row],[iPasL2]]&amp; " " &amp; tblGetStaticData[[#This Row],[Tiering]]</f>
        <v>Other Utility SEN</v>
      </c>
      <c r="G105" s="155" t="s">
        <v>1282</v>
      </c>
      <c r="H105" t="s">
        <v>1323</v>
      </c>
      <c r="I105" t="s">
        <v>1323</v>
      </c>
      <c r="J105" t="s">
        <v>1323</v>
      </c>
      <c r="K105" t="s">
        <v>818</v>
      </c>
      <c r="L105" t="s">
        <v>1315</v>
      </c>
      <c r="M105" t="s">
        <v>493</v>
      </c>
      <c r="N105" t="s">
        <v>1882</v>
      </c>
      <c r="O105" t="s">
        <v>1419</v>
      </c>
      <c r="P105" t="s">
        <v>1883</v>
      </c>
      <c r="Q105" t="s">
        <v>1884</v>
      </c>
      <c r="R105" t="s">
        <v>1360</v>
      </c>
      <c r="S105" t="s">
        <v>1885</v>
      </c>
      <c r="T105" t="s">
        <v>1886</v>
      </c>
      <c r="U105" t="s">
        <v>1887</v>
      </c>
      <c r="V105" t="s">
        <v>817</v>
      </c>
      <c r="W105" t="s">
        <v>818</v>
      </c>
      <c r="X105" t="s">
        <v>1322</v>
      </c>
      <c r="Y105" t="s">
        <v>1888</v>
      </c>
      <c r="Z105" t="s">
        <v>1888</v>
      </c>
      <c r="AA105" t="s">
        <v>493</v>
      </c>
      <c r="AB105" t="s">
        <v>1889</v>
      </c>
      <c r="AC105" t="s">
        <v>1282</v>
      </c>
      <c r="AD105" t="s">
        <v>2077</v>
      </c>
      <c r="AE105" t="s">
        <v>1984</v>
      </c>
      <c r="AF105" t="s">
        <v>2077</v>
      </c>
      <c r="AG105" t="s">
        <v>1984</v>
      </c>
      <c r="AH105" t="s">
        <v>1419</v>
      </c>
      <c r="AI105" t="s">
        <v>1419</v>
      </c>
      <c r="AJ105" t="s">
        <v>1883</v>
      </c>
      <c r="AK105" t="s">
        <v>1884</v>
      </c>
      <c r="AL105" t="s">
        <v>1360</v>
      </c>
      <c r="AM105" t="s">
        <v>1885</v>
      </c>
      <c r="AN105" t="s">
        <v>1886</v>
      </c>
      <c r="AO105" t="s">
        <v>1916</v>
      </c>
      <c r="AP105" t="s">
        <v>1281</v>
      </c>
      <c r="AQ105" t="s">
        <v>1281</v>
      </c>
      <c r="AR105" t="s">
        <v>1315</v>
      </c>
      <c r="AS105" t="s">
        <v>1282</v>
      </c>
      <c r="AT105" t="s">
        <v>1894</v>
      </c>
    </row>
    <row r="106" spans="4:46" x14ac:dyDescent="0.25">
      <c r="D106" t="s">
        <v>1144</v>
      </c>
      <c r="E106" s="177" t="str">
        <f>INDEX(tblBOneExport[[INSTRUMENT]:[ISIN]],MATCH(tblGetStaticData[[#This Row],[ISIN]],tblBOneExport[ISIN],0),1)</f>
        <v>STATOILHYDRO ASA 6.875 11/03/31 EMTN</v>
      </c>
      <c r="F106" s="155" t="str">
        <f>tblGetStaticData[[#This Row],[iPasL2]]&amp; " " &amp; tblGetStaticData[[#This Row],[Tiering]]</f>
        <v>Foreign Agency SEN</v>
      </c>
      <c r="G106" s="155" t="s">
        <v>1282</v>
      </c>
      <c r="H106" t="s">
        <v>1331</v>
      </c>
      <c r="I106" t="s">
        <v>1331</v>
      </c>
      <c r="J106" t="s">
        <v>1331</v>
      </c>
      <c r="K106" t="s">
        <v>1145</v>
      </c>
      <c r="L106" t="s">
        <v>1293</v>
      </c>
      <c r="M106" t="s">
        <v>493</v>
      </c>
      <c r="N106" t="s">
        <v>1882</v>
      </c>
      <c r="O106" t="s">
        <v>1560</v>
      </c>
      <c r="P106" t="s">
        <v>1559</v>
      </c>
      <c r="Q106" t="s">
        <v>1982</v>
      </c>
      <c r="R106" t="s">
        <v>1560</v>
      </c>
      <c r="S106" t="s">
        <v>1559</v>
      </c>
      <c r="T106" t="s">
        <v>1982</v>
      </c>
      <c r="U106" t="s">
        <v>1887</v>
      </c>
      <c r="V106" t="s">
        <v>1144</v>
      </c>
      <c r="W106" t="s">
        <v>1145</v>
      </c>
      <c r="X106" t="s">
        <v>1635</v>
      </c>
      <c r="Y106" t="s">
        <v>2078</v>
      </c>
      <c r="Z106" t="s">
        <v>2079</v>
      </c>
      <c r="AA106" t="s">
        <v>493</v>
      </c>
      <c r="AB106" t="s">
        <v>1899</v>
      </c>
      <c r="AC106" t="s">
        <v>1282</v>
      </c>
      <c r="AD106" t="s">
        <v>2080</v>
      </c>
      <c r="AE106" t="s">
        <v>2012</v>
      </c>
      <c r="AF106" t="s">
        <v>2080</v>
      </c>
      <c r="AG106" t="s">
        <v>2012</v>
      </c>
      <c r="AH106" t="s">
        <v>1560</v>
      </c>
      <c r="AI106" t="s">
        <v>1560</v>
      </c>
      <c r="AJ106" t="s">
        <v>1559</v>
      </c>
      <c r="AK106" t="s">
        <v>1982</v>
      </c>
      <c r="AL106" t="s">
        <v>1560</v>
      </c>
      <c r="AM106" t="s">
        <v>1559</v>
      </c>
      <c r="AN106" t="s">
        <v>1982</v>
      </c>
      <c r="AO106" t="s">
        <v>1987</v>
      </c>
      <c r="AP106" t="s">
        <v>1293</v>
      </c>
      <c r="AQ106" t="s">
        <v>1893</v>
      </c>
      <c r="AR106" t="s">
        <v>1293</v>
      </c>
      <c r="AS106" t="s">
        <v>1282</v>
      </c>
      <c r="AT106" t="s">
        <v>1894</v>
      </c>
    </row>
    <row r="107" spans="4:46" x14ac:dyDescent="0.25">
      <c r="D107" t="s">
        <v>1225</v>
      </c>
      <c r="E107" s="177" t="str">
        <f>INDEX(tblBOneExport[[INSTRUMENT]:[ISIN]],MATCH(tblGetStaticData[[#This Row],[ISIN]],tblBOneExport[ISIN],0),1)</f>
        <v>VATTENFALL AB 6.875 15/04/39 EMTN</v>
      </c>
      <c r="F107" s="155" t="str">
        <f>tblGetStaticData[[#This Row],[iPasL2]]&amp; " " &amp; tblGetStaticData[[#This Row],[Tiering]]</f>
        <v>Foreign Agency SEN</v>
      </c>
      <c r="G107" s="155" t="s">
        <v>1282</v>
      </c>
      <c r="H107" t="s">
        <v>1331</v>
      </c>
      <c r="I107" t="s">
        <v>1331</v>
      </c>
      <c r="J107" t="s">
        <v>1331</v>
      </c>
      <c r="K107" t="s">
        <v>1223</v>
      </c>
      <c r="L107" t="s">
        <v>1315</v>
      </c>
      <c r="M107" t="s">
        <v>493</v>
      </c>
      <c r="N107" t="s">
        <v>1882</v>
      </c>
      <c r="O107" t="s">
        <v>1564</v>
      </c>
      <c r="P107" t="s">
        <v>1563</v>
      </c>
      <c r="Q107" t="s">
        <v>1982</v>
      </c>
      <c r="R107" t="s">
        <v>1564</v>
      </c>
      <c r="S107" t="s">
        <v>1563</v>
      </c>
      <c r="T107" t="s">
        <v>1982</v>
      </c>
      <c r="U107" t="s">
        <v>1887</v>
      </c>
      <c r="V107" t="s">
        <v>1225</v>
      </c>
      <c r="W107" t="s">
        <v>1223</v>
      </c>
      <c r="X107" t="s">
        <v>1322</v>
      </c>
      <c r="Y107" t="s">
        <v>1358</v>
      </c>
      <c r="Z107" t="s">
        <v>1948</v>
      </c>
      <c r="AA107" t="s">
        <v>493</v>
      </c>
      <c r="AB107" t="s">
        <v>1899</v>
      </c>
      <c r="AC107" t="s">
        <v>1282</v>
      </c>
      <c r="AD107" t="s">
        <v>1974</v>
      </c>
      <c r="AE107" t="s">
        <v>1975</v>
      </c>
      <c r="AF107" t="s">
        <v>1974</v>
      </c>
      <c r="AG107" t="s">
        <v>1975</v>
      </c>
      <c r="AH107" t="s">
        <v>1564</v>
      </c>
      <c r="AI107" t="s">
        <v>1564</v>
      </c>
      <c r="AJ107" t="s">
        <v>1563</v>
      </c>
      <c r="AK107" t="s">
        <v>1982</v>
      </c>
      <c r="AL107" t="s">
        <v>1564</v>
      </c>
      <c r="AM107" t="s">
        <v>1563</v>
      </c>
      <c r="AN107" t="s">
        <v>1982</v>
      </c>
      <c r="AO107" t="s">
        <v>1892</v>
      </c>
      <c r="AP107" t="s">
        <v>1315</v>
      </c>
      <c r="AQ107" t="s">
        <v>1315</v>
      </c>
      <c r="AR107" t="s">
        <v>1315</v>
      </c>
      <c r="AS107" t="s">
        <v>1282</v>
      </c>
      <c r="AT107" t="s">
        <v>1894</v>
      </c>
    </row>
    <row r="108" spans="4:46" x14ac:dyDescent="0.25">
      <c r="D108" t="s">
        <v>665</v>
      </c>
      <c r="E108" s="177" t="str">
        <f>INDEX(tblBOneExport[[INSTRUMENT]:[ISIN]],MATCH(tblGetStaticData[[#This Row],[ISIN]],tblBOneExport[ISIN],0),1)</f>
        <v>DEUTSCHE TEL FIN 6.5 08/04/22 EMTN</v>
      </c>
      <c r="F108" s="155" t="str">
        <f>tblGetStaticData[[#This Row],[iPasL2]]&amp; " " &amp; tblGetStaticData[[#This Row],[Tiering]]</f>
        <v>Communications SEN</v>
      </c>
      <c r="G108" s="155" t="s">
        <v>1282</v>
      </c>
      <c r="H108" t="s">
        <v>1312</v>
      </c>
      <c r="I108" t="s">
        <v>1312</v>
      </c>
      <c r="J108" t="s">
        <v>1312</v>
      </c>
      <c r="K108" t="s">
        <v>663</v>
      </c>
      <c r="L108" t="s">
        <v>1315</v>
      </c>
      <c r="M108" t="s">
        <v>493</v>
      </c>
      <c r="N108" t="s">
        <v>1882</v>
      </c>
      <c r="O108" t="s">
        <v>1295</v>
      </c>
      <c r="P108" t="s">
        <v>1294</v>
      </c>
      <c r="Q108" t="s">
        <v>1895</v>
      </c>
      <c r="R108" t="s">
        <v>1433</v>
      </c>
      <c r="S108" t="s">
        <v>1432</v>
      </c>
      <c r="T108" t="s">
        <v>1895</v>
      </c>
      <c r="U108" t="s">
        <v>1887</v>
      </c>
      <c r="V108" t="s">
        <v>665</v>
      </c>
      <c r="W108" t="s">
        <v>663</v>
      </c>
      <c r="X108" t="s">
        <v>1312</v>
      </c>
      <c r="Y108" t="s">
        <v>1313</v>
      </c>
      <c r="Z108" t="s">
        <v>1913</v>
      </c>
      <c r="AA108" t="s">
        <v>493</v>
      </c>
      <c r="AB108" t="s">
        <v>1899</v>
      </c>
      <c r="AC108" t="s">
        <v>1282</v>
      </c>
      <c r="AD108" t="s">
        <v>2081</v>
      </c>
      <c r="AE108" t="s">
        <v>1901</v>
      </c>
      <c r="AF108" t="s">
        <v>2081</v>
      </c>
      <c r="AG108" t="s">
        <v>1901</v>
      </c>
      <c r="AH108" t="s">
        <v>1295</v>
      </c>
      <c r="AI108" t="s">
        <v>1295</v>
      </c>
      <c r="AJ108" t="s">
        <v>1294</v>
      </c>
      <c r="AK108" t="s">
        <v>1895</v>
      </c>
      <c r="AL108" t="s">
        <v>1433</v>
      </c>
      <c r="AM108" t="s">
        <v>1432</v>
      </c>
      <c r="AN108" t="s">
        <v>1895</v>
      </c>
      <c r="AO108" t="s">
        <v>1916</v>
      </c>
      <c r="AP108" t="s">
        <v>1315</v>
      </c>
      <c r="AQ108" t="s">
        <v>1315</v>
      </c>
      <c r="AR108" t="s">
        <v>1315</v>
      </c>
      <c r="AS108" t="s">
        <v>1282</v>
      </c>
      <c r="AT108" t="s">
        <v>1894</v>
      </c>
    </row>
    <row r="109" spans="4:46" x14ac:dyDescent="0.25">
      <c r="D109" t="s">
        <v>1082</v>
      </c>
      <c r="E109" s="177" t="str">
        <f>INDEX(tblBOneExport[[INSTRUMENT]:[ISIN]],MATCH(tblGetStaticData[[#This Row],[ISIN]],tblBOneExport[ISIN],0),1)</f>
        <v>ROLLS ROYCE PLC 6.75 30/04/19 EMTN</v>
      </c>
      <c r="F109" s="155" t="str">
        <f>tblGetStaticData[[#This Row],[iPasL2]]&amp; " " &amp; tblGetStaticData[[#This Row],[Tiering]]</f>
        <v>Capital Goods SEN</v>
      </c>
      <c r="G109" s="155" t="s">
        <v>1282</v>
      </c>
      <c r="H109" t="s">
        <v>1291</v>
      </c>
      <c r="I109" t="s">
        <v>1291</v>
      </c>
      <c r="J109" t="s">
        <v>1413</v>
      </c>
      <c r="K109" t="s">
        <v>1083</v>
      </c>
      <c r="L109" t="s">
        <v>1281</v>
      </c>
      <c r="M109" t="s">
        <v>493</v>
      </c>
      <c r="N109" t="s">
        <v>1882</v>
      </c>
      <c r="O109" t="s">
        <v>1360</v>
      </c>
      <c r="P109" t="s">
        <v>1885</v>
      </c>
      <c r="Q109" t="s">
        <v>1886</v>
      </c>
      <c r="R109" t="s">
        <v>1360</v>
      </c>
      <c r="S109" t="s">
        <v>1885</v>
      </c>
      <c r="T109" t="s">
        <v>1886</v>
      </c>
      <c r="U109" t="s">
        <v>1887</v>
      </c>
      <c r="V109" t="s">
        <v>1082</v>
      </c>
      <c r="W109" t="s">
        <v>1083</v>
      </c>
      <c r="X109" t="s">
        <v>1937</v>
      </c>
      <c r="Y109" t="s">
        <v>1413</v>
      </c>
      <c r="Z109" t="s">
        <v>1413</v>
      </c>
      <c r="AA109" t="s">
        <v>493</v>
      </c>
      <c r="AB109" t="s">
        <v>1899</v>
      </c>
      <c r="AC109" t="s">
        <v>1282</v>
      </c>
      <c r="AD109" t="s">
        <v>2082</v>
      </c>
      <c r="AE109" t="s">
        <v>1984</v>
      </c>
      <c r="AF109" t="s">
        <v>2082</v>
      </c>
      <c r="AG109" t="s">
        <v>1984</v>
      </c>
      <c r="AH109" t="s">
        <v>1360</v>
      </c>
      <c r="AI109" t="s">
        <v>1360</v>
      </c>
      <c r="AJ109" t="s">
        <v>1885</v>
      </c>
      <c r="AK109" t="s">
        <v>1886</v>
      </c>
      <c r="AL109" t="s">
        <v>1360</v>
      </c>
      <c r="AM109" t="s">
        <v>1885</v>
      </c>
      <c r="AN109" t="s">
        <v>1886</v>
      </c>
      <c r="AO109" t="s">
        <v>1892</v>
      </c>
      <c r="AP109" t="s">
        <v>1315</v>
      </c>
      <c r="AQ109" t="s">
        <v>1281</v>
      </c>
      <c r="AR109" t="s">
        <v>1315</v>
      </c>
      <c r="AS109" t="s">
        <v>1282</v>
      </c>
      <c r="AT109" t="s">
        <v>1894</v>
      </c>
    </row>
    <row r="110" spans="4:46" x14ac:dyDescent="0.25">
      <c r="D110" t="s">
        <v>549</v>
      </c>
      <c r="E110" s="177" t="str">
        <f>INDEX(tblBOneExport[[INSTRUMENT]:[ISIN]],MATCH(tblGetStaticData[[#This Row],[ISIN]],tblBOneExport[ISIN],0),1)</f>
        <v>AT&amp;T INC 7 30/04/40 EMTN</v>
      </c>
      <c r="F110" s="155" t="str">
        <f>tblGetStaticData[[#This Row],[iPasL2]]&amp; " " &amp; tblGetStaticData[[#This Row],[Tiering]]</f>
        <v>Communications SEN</v>
      </c>
      <c r="G110" s="155" t="s">
        <v>1282</v>
      </c>
      <c r="H110" t="s">
        <v>1312</v>
      </c>
      <c r="I110" t="s">
        <v>1312</v>
      </c>
      <c r="J110" t="s">
        <v>1313</v>
      </c>
      <c r="K110" t="s">
        <v>321</v>
      </c>
      <c r="L110" t="s">
        <v>1315</v>
      </c>
      <c r="M110" t="s">
        <v>493</v>
      </c>
      <c r="N110" t="s">
        <v>1882</v>
      </c>
      <c r="O110" t="s">
        <v>1309</v>
      </c>
      <c r="P110" t="s">
        <v>1960</v>
      </c>
      <c r="Q110" t="s">
        <v>1961</v>
      </c>
      <c r="R110" t="s">
        <v>1309</v>
      </c>
      <c r="S110" t="s">
        <v>1960</v>
      </c>
      <c r="T110" t="s">
        <v>1961</v>
      </c>
      <c r="U110" t="s">
        <v>1962</v>
      </c>
      <c r="V110" t="s">
        <v>549</v>
      </c>
      <c r="W110" t="s">
        <v>321</v>
      </c>
      <c r="X110" t="s">
        <v>1312</v>
      </c>
      <c r="Y110" t="s">
        <v>1313</v>
      </c>
      <c r="Z110" t="s">
        <v>1913</v>
      </c>
      <c r="AA110" t="s">
        <v>493</v>
      </c>
      <c r="AB110" t="s">
        <v>1899</v>
      </c>
      <c r="AC110" t="s">
        <v>1282</v>
      </c>
      <c r="AD110" t="s">
        <v>2083</v>
      </c>
      <c r="AE110" t="s">
        <v>2066</v>
      </c>
      <c r="AF110" t="s">
        <v>2083</v>
      </c>
      <c r="AG110" t="s">
        <v>2066</v>
      </c>
      <c r="AH110" t="s">
        <v>1309</v>
      </c>
      <c r="AI110" t="s">
        <v>1309</v>
      </c>
      <c r="AJ110" t="s">
        <v>1960</v>
      </c>
      <c r="AK110" t="s">
        <v>1961</v>
      </c>
      <c r="AL110" t="s">
        <v>1309</v>
      </c>
      <c r="AM110" t="s">
        <v>1960</v>
      </c>
      <c r="AN110" t="s">
        <v>1961</v>
      </c>
      <c r="AO110" t="s">
        <v>1916</v>
      </c>
      <c r="AP110" t="s">
        <v>1315</v>
      </c>
      <c r="AQ110" t="s">
        <v>1281</v>
      </c>
      <c r="AR110" t="s">
        <v>1315</v>
      </c>
      <c r="AS110" t="s">
        <v>1282</v>
      </c>
      <c r="AT110" t="s">
        <v>1894</v>
      </c>
    </row>
    <row r="111" spans="4:46" x14ac:dyDescent="0.25">
      <c r="D111" t="s">
        <v>1038</v>
      </c>
      <c r="E111" s="177" t="str">
        <f>INDEX(tblBOneExport[[INSTRUMENT]:[ISIN]],MATCH(tblGetStaticData[[#This Row],[ISIN]],tblBOneExport[ISIN],0),1)</f>
        <v>PFIZER INC 6.5 03/06/38</v>
      </c>
      <c r="F111" s="155" t="str">
        <f>tblGetStaticData[[#This Row],[iPasL2]]&amp; " " &amp; tblGetStaticData[[#This Row],[Tiering]]</f>
        <v>Consumer Noncyclical SEN</v>
      </c>
      <c r="G111" s="155" t="s">
        <v>1282</v>
      </c>
      <c r="H111" t="s">
        <v>1279</v>
      </c>
      <c r="I111" t="s">
        <v>1279</v>
      </c>
      <c r="J111" t="s">
        <v>1442</v>
      </c>
      <c r="K111" t="s">
        <v>1039</v>
      </c>
      <c r="L111" t="s">
        <v>1293</v>
      </c>
      <c r="M111" t="s">
        <v>493</v>
      </c>
      <c r="N111" t="s">
        <v>1882</v>
      </c>
      <c r="O111" t="s">
        <v>1309</v>
      </c>
      <c r="P111" t="s">
        <v>1960</v>
      </c>
      <c r="Q111" t="s">
        <v>1961</v>
      </c>
      <c r="R111" t="s">
        <v>1309</v>
      </c>
      <c r="S111" t="s">
        <v>1960</v>
      </c>
      <c r="T111" t="s">
        <v>1961</v>
      </c>
      <c r="U111" t="s">
        <v>1962</v>
      </c>
      <c r="V111" t="s">
        <v>1038</v>
      </c>
      <c r="W111" t="s">
        <v>1039</v>
      </c>
      <c r="X111" t="s">
        <v>1896</v>
      </c>
      <c r="Y111" t="s">
        <v>1442</v>
      </c>
      <c r="Z111" t="s">
        <v>2005</v>
      </c>
      <c r="AA111" t="s">
        <v>493</v>
      </c>
      <c r="AB111" t="s">
        <v>1899</v>
      </c>
      <c r="AC111" t="s">
        <v>1282</v>
      </c>
      <c r="AD111" t="s">
        <v>2084</v>
      </c>
      <c r="AE111" t="s">
        <v>1973</v>
      </c>
      <c r="AF111" t="s">
        <v>2084</v>
      </c>
      <c r="AG111" t="s">
        <v>1973</v>
      </c>
      <c r="AH111" t="s">
        <v>1309</v>
      </c>
      <c r="AI111" t="s">
        <v>1309</v>
      </c>
      <c r="AJ111" t="s">
        <v>1960</v>
      </c>
      <c r="AK111" t="s">
        <v>1961</v>
      </c>
      <c r="AL111" t="s">
        <v>1309</v>
      </c>
      <c r="AM111" t="s">
        <v>1960</v>
      </c>
      <c r="AN111" t="s">
        <v>1961</v>
      </c>
      <c r="AO111" t="s">
        <v>1909</v>
      </c>
      <c r="AP111" t="s">
        <v>1303</v>
      </c>
      <c r="AQ111" t="s">
        <v>1293</v>
      </c>
      <c r="AR111" t="s">
        <v>1408</v>
      </c>
      <c r="AS111" t="s">
        <v>1282</v>
      </c>
      <c r="AT111" t="s">
        <v>1894</v>
      </c>
    </row>
    <row r="112" spans="4:46" x14ac:dyDescent="0.25">
      <c r="D112" t="s">
        <v>743</v>
      </c>
      <c r="E112" s="177" t="str">
        <f>INDEX(tblBOneExport[[INSTRUMENT]:[ISIN]],MATCH(tblGetStaticData[[#This Row],[ISIN]],tblBOneExport[ISIN],0),1)</f>
        <v>EUROPEAN INVT BK 4.125 07/12/17 EMTN</v>
      </c>
      <c r="F112" s="155" t="str">
        <f>tblGetStaticData[[#This Row],[iPasL2]]&amp; " " &amp; tblGetStaticData[[#This Row],[Tiering]]</f>
        <v>Supranationals SEN</v>
      </c>
      <c r="G112" s="155" t="s">
        <v>1282</v>
      </c>
      <c r="H112" t="s">
        <v>1352</v>
      </c>
      <c r="I112" t="s">
        <v>1352</v>
      </c>
      <c r="J112" t="s">
        <v>1352</v>
      </c>
      <c r="K112" t="s">
        <v>733</v>
      </c>
      <c r="L112" t="s">
        <v>1353</v>
      </c>
      <c r="M112" t="s">
        <v>493</v>
      </c>
      <c r="N112" t="s">
        <v>1882</v>
      </c>
      <c r="O112" t="s">
        <v>1522</v>
      </c>
      <c r="P112" t="s">
        <v>1521</v>
      </c>
      <c r="Q112" t="s">
        <v>1895</v>
      </c>
      <c r="R112" t="s">
        <v>1522</v>
      </c>
      <c r="S112" t="s">
        <v>1521</v>
      </c>
      <c r="T112" t="s">
        <v>1895</v>
      </c>
      <c r="U112" t="s">
        <v>1941</v>
      </c>
      <c r="V112" t="s">
        <v>743</v>
      </c>
      <c r="W112" t="s">
        <v>733</v>
      </c>
      <c r="X112" t="s">
        <v>1942</v>
      </c>
      <c r="Y112" t="s">
        <v>1943</v>
      </c>
      <c r="Z112" t="s">
        <v>1944</v>
      </c>
      <c r="AA112" t="s">
        <v>493</v>
      </c>
      <c r="AB112" t="s">
        <v>1899</v>
      </c>
      <c r="AC112" t="s">
        <v>1282</v>
      </c>
      <c r="AD112" t="s">
        <v>2085</v>
      </c>
      <c r="AE112" t="s">
        <v>1936</v>
      </c>
      <c r="AF112" t="s">
        <v>2085</v>
      </c>
      <c r="AG112" t="s">
        <v>1936</v>
      </c>
      <c r="AH112" t="s">
        <v>1946</v>
      </c>
      <c r="AI112" t="s">
        <v>1522</v>
      </c>
      <c r="AJ112" t="s">
        <v>1521</v>
      </c>
      <c r="AK112" t="s">
        <v>1895</v>
      </c>
      <c r="AL112" t="s">
        <v>1946</v>
      </c>
      <c r="AO112" t="s">
        <v>1947</v>
      </c>
      <c r="AP112" t="s">
        <v>1353</v>
      </c>
      <c r="AQ112" t="s">
        <v>1353</v>
      </c>
      <c r="AR112" t="s">
        <v>1353</v>
      </c>
      <c r="AS112" t="s">
        <v>1282</v>
      </c>
      <c r="AT112" t="s">
        <v>1894</v>
      </c>
    </row>
    <row r="113" spans="4:46" x14ac:dyDescent="0.25">
      <c r="D113" t="s">
        <v>613</v>
      </c>
      <c r="E113" s="177" t="str">
        <f>INDEX(tblBOneExport[[INSTRUMENT]:[ISIN]],MATCH(tblGetStaticData[[#This Row],[ISIN]],tblBOneExport[ISIN],0),1)</f>
        <v>BAT INTL FINANCE 6 29/06/22 EMTN</v>
      </c>
      <c r="F113" s="155" t="str">
        <f>tblGetStaticData[[#This Row],[iPasL2]]&amp; " " &amp; tblGetStaticData[[#This Row],[Tiering]]</f>
        <v>Consumer Noncyclical SEN</v>
      </c>
      <c r="G113" s="155" t="s">
        <v>1282</v>
      </c>
      <c r="H113" t="s">
        <v>1279</v>
      </c>
      <c r="I113" t="s">
        <v>1279</v>
      </c>
      <c r="J113" t="s">
        <v>1279</v>
      </c>
      <c r="K113" t="s">
        <v>611</v>
      </c>
      <c r="L113" t="s">
        <v>1288</v>
      </c>
      <c r="M113" t="s">
        <v>493</v>
      </c>
      <c r="N113" t="s">
        <v>1882</v>
      </c>
      <c r="O113" t="s">
        <v>1360</v>
      </c>
      <c r="P113" t="s">
        <v>1885</v>
      </c>
      <c r="Q113" t="s">
        <v>1886</v>
      </c>
      <c r="R113" t="s">
        <v>1360</v>
      </c>
      <c r="S113" t="s">
        <v>1885</v>
      </c>
      <c r="T113" t="s">
        <v>1886</v>
      </c>
      <c r="U113" t="s">
        <v>1887</v>
      </c>
      <c r="V113" t="s">
        <v>613</v>
      </c>
      <c r="W113" t="s">
        <v>611</v>
      </c>
      <c r="X113" t="s">
        <v>1896</v>
      </c>
      <c r="Y113" t="s">
        <v>2023</v>
      </c>
      <c r="Z113" t="s">
        <v>1475</v>
      </c>
      <c r="AA113" t="s">
        <v>493</v>
      </c>
      <c r="AB113" t="s">
        <v>1899</v>
      </c>
      <c r="AC113" t="s">
        <v>1282</v>
      </c>
      <c r="AD113" t="s">
        <v>2086</v>
      </c>
      <c r="AE113" t="s">
        <v>1901</v>
      </c>
      <c r="AF113" t="s">
        <v>2086</v>
      </c>
      <c r="AG113" t="s">
        <v>1901</v>
      </c>
      <c r="AH113" t="s">
        <v>1360</v>
      </c>
      <c r="AI113" t="s">
        <v>1360</v>
      </c>
      <c r="AJ113" t="s">
        <v>1885</v>
      </c>
      <c r="AK113" t="s">
        <v>1886</v>
      </c>
      <c r="AL113" t="s">
        <v>1360</v>
      </c>
      <c r="AM113" t="s">
        <v>1885</v>
      </c>
      <c r="AN113" t="s">
        <v>1886</v>
      </c>
      <c r="AO113" t="s">
        <v>1940</v>
      </c>
      <c r="AP113" t="s">
        <v>1315</v>
      </c>
      <c r="AQ113" t="s">
        <v>1288</v>
      </c>
      <c r="AR113" t="s">
        <v>1288</v>
      </c>
      <c r="AS113" t="s">
        <v>1282</v>
      </c>
      <c r="AT113" t="s">
        <v>1894</v>
      </c>
    </row>
    <row r="114" spans="4:46" x14ac:dyDescent="0.25">
      <c r="D114" t="s">
        <v>1099</v>
      </c>
      <c r="E114" s="177" t="str">
        <f>INDEX(tblBOneExport[[INSTRUMENT]:[ISIN]],MATCH(tblGetStaticData[[#This Row],[ISIN]],tblBOneExport[ISIN],0),1)</f>
        <v>INNOGY FINANCE 6.125 06/07/39 EMTN</v>
      </c>
      <c r="F114" s="155" t="str">
        <f>tblGetStaticData[[#This Row],[iPasL2]]&amp; " " &amp; tblGetStaticData[[#This Row],[Tiering]]</f>
        <v>Electric SEN</v>
      </c>
      <c r="G114" s="155" t="s">
        <v>1282</v>
      </c>
      <c r="H114" t="s">
        <v>1358</v>
      </c>
      <c r="I114" t="s">
        <v>1358</v>
      </c>
      <c r="J114" t="s">
        <v>1358</v>
      </c>
      <c r="K114" t="s">
        <v>2087</v>
      </c>
      <c r="L114" t="s">
        <v>1990</v>
      </c>
      <c r="M114" t="s">
        <v>493</v>
      </c>
      <c r="N114" t="s">
        <v>1882</v>
      </c>
      <c r="O114" t="s">
        <v>1295</v>
      </c>
      <c r="P114" t="s">
        <v>1294</v>
      </c>
      <c r="Q114" t="s">
        <v>1895</v>
      </c>
      <c r="R114" t="s">
        <v>1433</v>
      </c>
      <c r="S114" t="s">
        <v>1432</v>
      </c>
      <c r="T114" t="s">
        <v>1895</v>
      </c>
      <c r="U114" t="s">
        <v>1887</v>
      </c>
      <c r="V114" t="s">
        <v>1099</v>
      </c>
      <c r="W114" t="s">
        <v>1093</v>
      </c>
      <c r="X114" t="s">
        <v>1322</v>
      </c>
      <c r="Y114" t="s">
        <v>1358</v>
      </c>
      <c r="Z114" t="s">
        <v>1921</v>
      </c>
      <c r="AA114" t="s">
        <v>493</v>
      </c>
      <c r="AB114" t="s">
        <v>1899</v>
      </c>
      <c r="AC114" t="s">
        <v>1282</v>
      </c>
      <c r="AD114" t="s">
        <v>2088</v>
      </c>
      <c r="AE114" t="s">
        <v>1975</v>
      </c>
      <c r="AF114" t="s">
        <v>2088</v>
      </c>
      <c r="AG114" t="s">
        <v>1975</v>
      </c>
      <c r="AH114" t="s">
        <v>1295</v>
      </c>
      <c r="AI114" t="s">
        <v>1295</v>
      </c>
      <c r="AJ114" t="s">
        <v>1294</v>
      </c>
      <c r="AK114" t="s">
        <v>1895</v>
      </c>
      <c r="AL114" t="s">
        <v>1433</v>
      </c>
      <c r="AM114" t="s">
        <v>1432</v>
      </c>
      <c r="AN114" t="s">
        <v>1895</v>
      </c>
      <c r="AO114" t="s">
        <v>1940</v>
      </c>
      <c r="AP114" t="s">
        <v>1990</v>
      </c>
      <c r="AQ114" t="s">
        <v>1281</v>
      </c>
      <c r="AR114" t="s">
        <v>1288</v>
      </c>
      <c r="AS114" t="s">
        <v>1282</v>
      </c>
      <c r="AT114" t="s">
        <v>1894</v>
      </c>
    </row>
    <row r="115" spans="4:46" x14ac:dyDescent="0.25">
      <c r="D115" t="s">
        <v>881</v>
      </c>
      <c r="E115" s="177" t="str">
        <f>INDEX(tblBOneExport[[INSTRUMENT]:[ISIN]],MATCH(tblGetStaticData[[#This Row],[ISIN]],tblBOneExport[ISIN],0),1)</f>
        <v>YORKS WATER ODSA 6.5876 21/02/23 0.</v>
      </c>
      <c r="F115" s="155" t="str">
        <f>tblGetStaticData[[#This Row],[iPasL2]]&amp; " " &amp; tblGetStaticData[[#This Row],[Tiering]]</f>
        <v>Other Utility SEN</v>
      </c>
      <c r="G115" s="155" t="s">
        <v>1282</v>
      </c>
      <c r="H115" t="s">
        <v>1323</v>
      </c>
      <c r="I115" t="s">
        <v>1323</v>
      </c>
      <c r="J115" t="s">
        <v>1323</v>
      </c>
      <c r="K115" t="s">
        <v>879</v>
      </c>
      <c r="L115" t="s">
        <v>1281</v>
      </c>
      <c r="M115" t="s">
        <v>493</v>
      </c>
      <c r="N115" t="s">
        <v>1882</v>
      </c>
      <c r="O115" t="s">
        <v>1419</v>
      </c>
      <c r="P115" t="s">
        <v>1883</v>
      </c>
      <c r="Q115" t="s">
        <v>1884</v>
      </c>
      <c r="R115" t="s">
        <v>1360</v>
      </c>
      <c r="S115" t="s">
        <v>1885</v>
      </c>
      <c r="T115" t="s">
        <v>1886</v>
      </c>
      <c r="U115" t="s">
        <v>1887</v>
      </c>
      <c r="V115" t="s">
        <v>881</v>
      </c>
      <c r="W115" t="s">
        <v>879</v>
      </c>
      <c r="X115" t="s">
        <v>1322</v>
      </c>
      <c r="Y115" t="s">
        <v>1888</v>
      </c>
      <c r="Z115" t="s">
        <v>1888</v>
      </c>
      <c r="AA115" t="s">
        <v>493</v>
      </c>
      <c r="AB115" t="s">
        <v>1889</v>
      </c>
      <c r="AC115" t="s">
        <v>1282</v>
      </c>
      <c r="AD115" t="s">
        <v>2089</v>
      </c>
      <c r="AE115" t="s">
        <v>1955</v>
      </c>
      <c r="AF115" t="s">
        <v>2089</v>
      </c>
      <c r="AG115" t="s">
        <v>1955</v>
      </c>
      <c r="AH115" t="s">
        <v>1419</v>
      </c>
      <c r="AI115" t="s">
        <v>1419</v>
      </c>
      <c r="AJ115" t="s">
        <v>1883</v>
      </c>
      <c r="AK115" t="s">
        <v>1884</v>
      </c>
      <c r="AL115" t="s">
        <v>1360</v>
      </c>
      <c r="AM115" t="s">
        <v>1885</v>
      </c>
      <c r="AN115" t="s">
        <v>1886</v>
      </c>
      <c r="AO115" t="s">
        <v>1916</v>
      </c>
      <c r="AP115" t="s">
        <v>1281</v>
      </c>
      <c r="AQ115" t="s">
        <v>1332</v>
      </c>
      <c r="AR115" t="s">
        <v>1281</v>
      </c>
      <c r="AS115" t="s">
        <v>1282</v>
      </c>
      <c r="AT115" t="s">
        <v>1894</v>
      </c>
    </row>
    <row r="116" spans="4:46" x14ac:dyDescent="0.25">
      <c r="D116" t="s">
        <v>883</v>
      </c>
      <c r="E116" s="177" t="str">
        <f>INDEX(tblBOneExport[[INSTRUMENT]:[ISIN]],MATCH(tblGetStaticData[[#This Row],[ISIN]],tblBOneExport[ISIN],0),1)</f>
        <v>YORKS WATER ODSA 6.454 28/05/27 0.</v>
      </c>
      <c r="F116" s="155" t="str">
        <f>tblGetStaticData[[#This Row],[iPasL2]]&amp; " " &amp; tblGetStaticData[[#This Row],[Tiering]]</f>
        <v>Other Utility SEN</v>
      </c>
      <c r="G116" s="155" t="s">
        <v>1282</v>
      </c>
      <c r="H116" t="s">
        <v>1323</v>
      </c>
      <c r="I116" t="s">
        <v>1323</v>
      </c>
      <c r="J116" t="s">
        <v>1323</v>
      </c>
      <c r="K116" t="s">
        <v>879</v>
      </c>
      <c r="L116" t="s">
        <v>1281</v>
      </c>
      <c r="M116" t="s">
        <v>493</v>
      </c>
      <c r="N116" t="s">
        <v>1882</v>
      </c>
      <c r="O116" t="s">
        <v>1419</v>
      </c>
      <c r="P116" t="s">
        <v>1883</v>
      </c>
      <c r="Q116" t="s">
        <v>1884</v>
      </c>
      <c r="R116" t="s">
        <v>1360</v>
      </c>
      <c r="S116" t="s">
        <v>1885</v>
      </c>
      <c r="T116" t="s">
        <v>1886</v>
      </c>
      <c r="U116" t="s">
        <v>1887</v>
      </c>
      <c r="V116" t="s">
        <v>883</v>
      </c>
      <c r="W116" t="s">
        <v>879</v>
      </c>
      <c r="X116" t="s">
        <v>1322</v>
      </c>
      <c r="Y116" t="s">
        <v>1888</v>
      </c>
      <c r="Z116" t="s">
        <v>1888</v>
      </c>
      <c r="AA116" t="s">
        <v>493</v>
      </c>
      <c r="AB116" t="s">
        <v>1889</v>
      </c>
      <c r="AC116" t="s">
        <v>1282</v>
      </c>
      <c r="AD116" t="s">
        <v>2090</v>
      </c>
      <c r="AE116" t="s">
        <v>2015</v>
      </c>
      <c r="AF116" t="s">
        <v>2090</v>
      </c>
      <c r="AG116" t="s">
        <v>2015</v>
      </c>
      <c r="AH116" t="s">
        <v>1419</v>
      </c>
      <c r="AI116" t="s">
        <v>1419</v>
      </c>
      <c r="AJ116" t="s">
        <v>1883</v>
      </c>
      <c r="AK116" t="s">
        <v>1884</v>
      </c>
      <c r="AL116" t="s">
        <v>1360</v>
      </c>
      <c r="AM116" t="s">
        <v>1885</v>
      </c>
      <c r="AN116" t="s">
        <v>1886</v>
      </c>
      <c r="AO116" t="s">
        <v>1916</v>
      </c>
      <c r="AP116" t="s">
        <v>1281</v>
      </c>
      <c r="AQ116" t="s">
        <v>1332</v>
      </c>
      <c r="AR116" t="s">
        <v>1281</v>
      </c>
      <c r="AS116" t="s">
        <v>1282</v>
      </c>
      <c r="AT116" t="s">
        <v>1894</v>
      </c>
    </row>
    <row r="117" spans="4:46" x14ac:dyDescent="0.25">
      <c r="D117" t="s">
        <v>878</v>
      </c>
      <c r="E117" s="177" t="str">
        <f>INDEX(tblBOneExport[[INSTRUMENT]:[ISIN]],MATCH(tblGetStaticData[[#This Row],[ISIN]],tblBOneExport[ISIN],0),1)</f>
        <v>YORKS WATER BRAD 6 21/08/19 EMTN</v>
      </c>
      <c r="F117" s="155" t="str">
        <f>tblGetStaticData[[#This Row],[iPasL2]]&amp; " " &amp; tblGetStaticData[[#This Row],[Tiering]]</f>
        <v>Other Utility SEN</v>
      </c>
      <c r="G117" s="155" t="s">
        <v>1282</v>
      </c>
      <c r="H117" t="s">
        <v>1323</v>
      </c>
      <c r="I117" t="s">
        <v>1323</v>
      </c>
      <c r="J117" t="s">
        <v>1323</v>
      </c>
      <c r="K117" t="s">
        <v>879</v>
      </c>
      <c r="L117" t="s">
        <v>1281</v>
      </c>
      <c r="M117" t="s">
        <v>493</v>
      </c>
      <c r="N117" t="s">
        <v>1882</v>
      </c>
      <c r="O117" t="s">
        <v>1360</v>
      </c>
      <c r="P117" t="s">
        <v>1885</v>
      </c>
      <c r="Q117" t="s">
        <v>1886</v>
      </c>
      <c r="R117" t="s">
        <v>1360</v>
      </c>
      <c r="S117" t="s">
        <v>1885</v>
      </c>
      <c r="T117" t="s">
        <v>1886</v>
      </c>
      <c r="U117" t="s">
        <v>1887</v>
      </c>
      <c r="V117" t="s">
        <v>878</v>
      </c>
      <c r="W117" t="s">
        <v>879</v>
      </c>
      <c r="X117" t="s">
        <v>1322</v>
      </c>
      <c r="Y117" t="s">
        <v>1888</v>
      </c>
      <c r="Z117" t="s">
        <v>1888</v>
      </c>
      <c r="AA117" t="s">
        <v>493</v>
      </c>
      <c r="AB117" t="s">
        <v>1889</v>
      </c>
      <c r="AC117" t="s">
        <v>1282</v>
      </c>
      <c r="AD117" t="s">
        <v>2091</v>
      </c>
      <c r="AE117" t="s">
        <v>1984</v>
      </c>
      <c r="AF117" t="s">
        <v>2091</v>
      </c>
      <c r="AG117" t="s">
        <v>1984</v>
      </c>
      <c r="AH117" t="s">
        <v>1419</v>
      </c>
      <c r="AI117" t="s">
        <v>1360</v>
      </c>
      <c r="AJ117" t="s">
        <v>1885</v>
      </c>
      <c r="AK117" t="s">
        <v>1886</v>
      </c>
      <c r="AL117" t="s">
        <v>1360</v>
      </c>
      <c r="AM117" t="s">
        <v>1885</v>
      </c>
      <c r="AN117" t="s">
        <v>1886</v>
      </c>
      <c r="AO117" t="s">
        <v>1916</v>
      </c>
      <c r="AP117" t="s">
        <v>1281</v>
      </c>
      <c r="AQ117" t="s">
        <v>1332</v>
      </c>
      <c r="AR117" t="s">
        <v>1281</v>
      </c>
      <c r="AS117" t="s">
        <v>1282</v>
      </c>
      <c r="AT117" t="s">
        <v>1894</v>
      </c>
    </row>
    <row r="118" spans="4:46" x14ac:dyDescent="0.25">
      <c r="D118" t="s">
        <v>716</v>
      </c>
      <c r="E118" s="177" t="str">
        <f>INDEX(tblBOneExport[[INSTRUMENT]:[ISIN]],MATCH(tblGetStaticData[[#This Row],[ISIN]],tblBOneExport[ISIN],0),1)</f>
        <v>ENEL FIN INTL NV 5.75 14/09/40 EMTN</v>
      </c>
      <c r="F118" s="155" t="str">
        <f>tblGetStaticData[[#This Row],[iPasL2]]&amp; " " &amp; tblGetStaticData[[#This Row],[Tiering]]</f>
        <v>Electric SEN</v>
      </c>
      <c r="G118" s="155" t="s">
        <v>1282</v>
      </c>
      <c r="H118" t="s">
        <v>1358</v>
      </c>
      <c r="I118" t="s">
        <v>1358</v>
      </c>
      <c r="J118" t="s">
        <v>1358</v>
      </c>
      <c r="K118" t="s">
        <v>717</v>
      </c>
      <c r="L118" t="s">
        <v>1288</v>
      </c>
      <c r="M118" t="s">
        <v>493</v>
      </c>
      <c r="N118" t="s">
        <v>1882</v>
      </c>
      <c r="O118" t="s">
        <v>1295</v>
      </c>
      <c r="P118" t="s">
        <v>1294</v>
      </c>
      <c r="Q118" t="s">
        <v>1895</v>
      </c>
      <c r="R118" t="s">
        <v>1481</v>
      </c>
      <c r="S118" t="s">
        <v>1480</v>
      </c>
      <c r="T118" t="s">
        <v>1895</v>
      </c>
      <c r="U118" t="s">
        <v>1887</v>
      </c>
      <c r="V118" t="s">
        <v>716</v>
      </c>
      <c r="W118" t="s">
        <v>717</v>
      </c>
      <c r="X118" t="s">
        <v>1322</v>
      </c>
      <c r="Y118" t="s">
        <v>1358</v>
      </c>
      <c r="Z118" t="s">
        <v>1921</v>
      </c>
      <c r="AA118" t="s">
        <v>493</v>
      </c>
      <c r="AB118" t="s">
        <v>1899</v>
      </c>
      <c r="AC118" t="s">
        <v>1282</v>
      </c>
      <c r="AD118" t="s">
        <v>2092</v>
      </c>
      <c r="AE118" t="s">
        <v>2066</v>
      </c>
      <c r="AF118" t="s">
        <v>2092</v>
      </c>
      <c r="AG118" t="s">
        <v>2066</v>
      </c>
      <c r="AH118" t="s">
        <v>1295</v>
      </c>
      <c r="AI118" t="s">
        <v>1295</v>
      </c>
      <c r="AJ118" t="s">
        <v>1294</v>
      </c>
      <c r="AK118" t="s">
        <v>1895</v>
      </c>
      <c r="AL118" t="s">
        <v>1481</v>
      </c>
      <c r="AM118" t="s">
        <v>1480</v>
      </c>
      <c r="AN118" t="s">
        <v>1895</v>
      </c>
      <c r="AO118" t="s">
        <v>1940</v>
      </c>
      <c r="AP118" t="s">
        <v>1288</v>
      </c>
      <c r="AQ118" t="s">
        <v>1315</v>
      </c>
      <c r="AR118" t="s">
        <v>1288</v>
      </c>
      <c r="AS118" t="s">
        <v>1282</v>
      </c>
      <c r="AT118" t="s">
        <v>1894</v>
      </c>
    </row>
    <row r="119" spans="4:46" x14ac:dyDescent="0.25">
      <c r="D119" t="s">
        <v>719</v>
      </c>
      <c r="E119" s="177" t="str">
        <f>INDEX(tblBOneExport[[INSTRUMENT]:[ISIN]],MATCH(tblGetStaticData[[#This Row],[ISIN]],tblBOneExport[ISIN],0),1)</f>
        <v>ENEL FIN INTL NV 5.625 14/08/24 EMTN</v>
      </c>
      <c r="F119" s="155" t="str">
        <f>tblGetStaticData[[#This Row],[iPasL2]]&amp; " " &amp; tblGetStaticData[[#This Row],[Tiering]]</f>
        <v>Electric SEN</v>
      </c>
      <c r="G119" s="155" t="s">
        <v>1282</v>
      </c>
      <c r="H119" t="s">
        <v>1358</v>
      </c>
      <c r="I119" t="s">
        <v>1358</v>
      </c>
      <c r="J119" t="s">
        <v>1358</v>
      </c>
      <c r="K119" t="s">
        <v>717</v>
      </c>
      <c r="L119" t="s">
        <v>1288</v>
      </c>
      <c r="M119" t="s">
        <v>493</v>
      </c>
      <c r="N119" t="s">
        <v>1882</v>
      </c>
      <c r="O119" t="s">
        <v>1295</v>
      </c>
      <c r="P119" t="s">
        <v>1294</v>
      </c>
      <c r="Q119" t="s">
        <v>1895</v>
      </c>
      <c r="R119" t="s">
        <v>1481</v>
      </c>
      <c r="S119" t="s">
        <v>1480</v>
      </c>
      <c r="T119" t="s">
        <v>1895</v>
      </c>
      <c r="U119" t="s">
        <v>1887</v>
      </c>
      <c r="V119" t="s">
        <v>719</v>
      </c>
      <c r="W119" t="s">
        <v>717</v>
      </c>
      <c r="X119" t="s">
        <v>1322</v>
      </c>
      <c r="Y119" t="s">
        <v>1358</v>
      </c>
      <c r="Z119" t="s">
        <v>1921</v>
      </c>
      <c r="AA119" t="s">
        <v>493</v>
      </c>
      <c r="AB119" t="s">
        <v>1899</v>
      </c>
      <c r="AC119" t="s">
        <v>1282</v>
      </c>
      <c r="AD119" t="s">
        <v>2093</v>
      </c>
      <c r="AE119" t="s">
        <v>2026</v>
      </c>
      <c r="AF119" t="s">
        <v>2093</v>
      </c>
      <c r="AG119" t="s">
        <v>2026</v>
      </c>
      <c r="AH119" t="s">
        <v>1295</v>
      </c>
      <c r="AI119" t="s">
        <v>1295</v>
      </c>
      <c r="AJ119" t="s">
        <v>1294</v>
      </c>
      <c r="AK119" t="s">
        <v>1895</v>
      </c>
      <c r="AL119" t="s">
        <v>1481</v>
      </c>
      <c r="AM119" t="s">
        <v>1480</v>
      </c>
      <c r="AN119" t="s">
        <v>1895</v>
      </c>
      <c r="AO119" t="s">
        <v>1940</v>
      </c>
      <c r="AP119" t="s">
        <v>1288</v>
      </c>
      <c r="AQ119" t="s">
        <v>1315</v>
      </c>
      <c r="AR119" t="s">
        <v>1288</v>
      </c>
      <c r="AS119" t="s">
        <v>1282</v>
      </c>
      <c r="AT119" t="s">
        <v>1894</v>
      </c>
    </row>
    <row r="120" spans="4:46" x14ac:dyDescent="0.25">
      <c r="D120" t="s">
        <v>1105</v>
      </c>
      <c r="E120" s="177" t="str">
        <f>INDEX(tblBOneExport[[INSTRUMENT]:[ISIN]],MATCH(tblGetStaticData[[#This Row],[ISIN]],tblBOneExport[ISIN],0),1)</f>
        <v>SCOTTISH &amp; SOUTH 5 01/10/18 EMTN</v>
      </c>
      <c r="F120" s="155" t="str">
        <f>tblGetStaticData[[#This Row],[iPasL2]]&amp; " " &amp; tblGetStaticData[[#This Row],[Tiering]]</f>
        <v>Electric SEN</v>
      </c>
      <c r="G120" s="155" t="s">
        <v>1282</v>
      </c>
      <c r="H120" t="s">
        <v>1358</v>
      </c>
      <c r="I120" t="s">
        <v>1358</v>
      </c>
      <c r="J120" t="s">
        <v>1358</v>
      </c>
      <c r="K120" t="s">
        <v>1103</v>
      </c>
      <c r="L120" t="s">
        <v>1315</v>
      </c>
      <c r="M120" t="s">
        <v>493</v>
      </c>
      <c r="N120" t="s">
        <v>1882</v>
      </c>
      <c r="O120" t="s">
        <v>1360</v>
      </c>
      <c r="P120" t="s">
        <v>1885</v>
      </c>
      <c r="Q120" t="s">
        <v>1886</v>
      </c>
      <c r="R120" t="s">
        <v>1360</v>
      </c>
      <c r="S120" t="s">
        <v>1885</v>
      </c>
      <c r="T120" t="s">
        <v>1886</v>
      </c>
      <c r="U120" t="s">
        <v>1887</v>
      </c>
      <c r="V120" t="s">
        <v>1105</v>
      </c>
      <c r="W120" t="s">
        <v>1103</v>
      </c>
      <c r="X120" t="s">
        <v>1322</v>
      </c>
      <c r="Y120" t="s">
        <v>1358</v>
      </c>
      <c r="Z120" t="s">
        <v>1921</v>
      </c>
      <c r="AA120" t="s">
        <v>493</v>
      </c>
      <c r="AB120" t="s">
        <v>1899</v>
      </c>
      <c r="AC120" t="s">
        <v>1282</v>
      </c>
      <c r="AD120" t="s">
        <v>2094</v>
      </c>
      <c r="AE120" t="s">
        <v>1936</v>
      </c>
      <c r="AF120" t="s">
        <v>2094</v>
      </c>
      <c r="AG120" t="s">
        <v>1936</v>
      </c>
      <c r="AH120" t="s">
        <v>1360</v>
      </c>
      <c r="AI120" t="s">
        <v>1360</v>
      </c>
      <c r="AJ120" t="s">
        <v>1885</v>
      </c>
      <c r="AK120" t="s">
        <v>1886</v>
      </c>
      <c r="AL120" t="s">
        <v>1360</v>
      </c>
      <c r="AM120" t="s">
        <v>1885</v>
      </c>
      <c r="AN120" t="s">
        <v>1886</v>
      </c>
      <c r="AO120" t="s">
        <v>1892</v>
      </c>
      <c r="AP120" t="s">
        <v>1281</v>
      </c>
      <c r="AQ120" t="s">
        <v>1315</v>
      </c>
      <c r="AR120" t="s">
        <v>1281</v>
      </c>
      <c r="AS120" t="s">
        <v>1282</v>
      </c>
      <c r="AT120" t="s">
        <v>1894</v>
      </c>
    </row>
    <row r="121" spans="4:46" x14ac:dyDescent="0.25">
      <c r="D121" t="s">
        <v>594</v>
      </c>
      <c r="E121" s="177" t="str">
        <f>INDEX(tblBOneExport[[INSTRUMENT]:[ISIN]],MATCH(tblGetStaticData[[#This Row],[ISIN]],tblBOneExport[ISIN],0),1)</f>
        <v>BMW FINANCE NV 5 02/10/17 EMTN</v>
      </c>
      <c r="F121" s="155" t="str">
        <f>tblGetStaticData[[#This Row],[iPasL2]]&amp; " " &amp; tblGetStaticData[[#This Row],[Tiering]]</f>
        <v>Consumer Cyclical SEN</v>
      </c>
      <c r="G121" s="155" t="s">
        <v>1282</v>
      </c>
      <c r="H121" t="s">
        <v>1306</v>
      </c>
      <c r="I121" t="s">
        <v>1306</v>
      </c>
      <c r="J121" t="s">
        <v>1307</v>
      </c>
      <c r="K121" t="s">
        <v>595</v>
      </c>
      <c r="L121" t="s">
        <v>1332</v>
      </c>
      <c r="M121" t="s">
        <v>493</v>
      </c>
      <c r="N121" t="s">
        <v>1882</v>
      </c>
      <c r="O121" t="s">
        <v>1295</v>
      </c>
      <c r="P121" t="s">
        <v>1294</v>
      </c>
      <c r="Q121" t="s">
        <v>1895</v>
      </c>
      <c r="R121" t="s">
        <v>1433</v>
      </c>
      <c r="S121" t="s">
        <v>1432</v>
      </c>
      <c r="T121" t="s">
        <v>1895</v>
      </c>
      <c r="U121" t="s">
        <v>1887</v>
      </c>
      <c r="V121" t="s">
        <v>594</v>
      </c>
      <c r="W121" t="s">
        <v>595</v>
      </c>
      <c r="X121" t="s">
        <v>1932</v>
      </c>
      <c r="Y121" t="s">
        <v>2095</v>
      </c>
      <c r="Z121" t="s">
        <v>2096</v>
      </c>
      <c r="AA121" t="s">
        <v>493</v>
      </c>
      <c r="AB121" t="s">
        <v>1899</v>
      </c>
      <c r="AC121" t="s">
        <v>1282</v>
      </c>
      <c r="AD121" t="s">
        <v>2097</v>
      </c>
      <c r="AE121" t="s">
        <v>1936</v>
      </c>
      <c r="AF121" t="s">
        <v>2097</v>
      </c>
      <c r="AG121" t="s">
        <v>1936</v>
      </c>
      <c r="AH121" t="s">
        <v>1295</v>
      </c>
      <c r="AI121" t="s">
        <v>1295</v>
      </c>
      <c r="AJ121" t="s">
        <v>1294</v>
      </c>
      <c r="AK121" t="s">
        <v>1895</v>
      </c>
      <c r="AL121" t="s">
        <v>1433</v>
      </c>
      <c r="AM121" t="s">
        <v>1432</v>
      </c>
      <c r="AN121" t="s">
        <v>1895</v>
      </c>
      <c r="AO121" t="s">
        <v>1909</v>
      </c>
      <c r="AP121" t="s">
        <v>1293</v>
      </c>
      <c r="AQ121" t="s">
        <v>1893</v>
      </c>
      <c r="AR121" t="s">
        <v>1293</v>
      </c>
      <c r="AS121" t="s">
        <v>1282</v>
      </c>
      <c r="AT121" t="s">
        <v>1894</v>
      </c>
    </row>
    <row r="122" spans="4:46" x14ac:dyDescent="0.25">
      <c r="D122" t="s">
        <v>695</v>
      </c>
      <c r="E122" s="177" t="str">
        <f>INDEX(tblBOneExport[[INSTRUMENT]:[ISIN]],MATCH(tblGetStaticData[[#This Row],[ISIN]],tblBOneExport[ISIN],0),1)</f>
        <v>EDF NRG NET EPN 6.25 12/11/36 EMTN</v>
      </c>
      <c r="F122" s="155" t="str">
        <f>tblGetStaticData[[#This Row],[iPasL2]]&amp; " " &amp; tblGetStaticData[[#This Row],[Tiering]]</f>
        <v>Electric SEN</v>
      </c>
      <c r="G122" s="155" t="s">
        <v>1282</v>
      </c>
      <c r="H122" t="s">
        <v>1358</v>
      </c>
      <c r="I122" t="s">
        <v>1358</v>
      </c>
      <c r="J122" t="s">
        <v>1358</v>
      </c>
      <c r="K122" t="s">
        <v>691</v>
      </c>
      <c r="L122" t="s">
        <v>1315</v>
      </c>
      <c r="M122" t="s">
        <v>493</v>
      </c>
      <c r="N122" t="s">
        <v>1882</v>
      </c>
      <c r="O122" t="s">
        <v>1360</v>
      </c>
      <c r="P122" t="s">
        <v>1885</v>
      </c>
      <c r="Q122" t="s">
        <v>1886</v>
      </c>
      <c r="R122" t="s">
        <v>1360</v>
      </c>
      <c r="S122" t="s">
        <v>1885</v>
      </c>
      <c r="T122" t="s">
        <v>1886</v>
      </c>
      <c r="U122" t="s">
        <v>1887</v>
      </c>
      <c r="V122" t="s">
        <v>695</v>
      </c>
      <c r="W122" t="s">
        <v>691</v>
      </c>
      <c r="X122" t="s">
        <v>1322</v>
      </c>
      <c r="Y122" t="s">
        <v>1358</v>
      </c>
      <c r="Z122" t="s">
        <v>1948</v>
      </c>
      <c r="AA122" t="s">
        <v>493</v>
      </c>
      <c r="AB122" t="s">
        <v>1899</v>
      </c>
      <c r="AC122" t="s">
        <v>1282</v>
      </c>
      <c r="AD122" t="s">
        <v>2098</v>
      </c>
      <c r="AE122" t="s">
        <v>2004</v>
      </c>
      <c r="AF122" t="s">
        <v>2098</v>
      </c>
      <c r="AG122" t="s">
        <v>2004</v>
      </c>
      <c r="AH122" t="s">
        <v>1360</v>
      </c>
      <c r="AI122" t="s">
        <v>1360</v>
      </c>
      <c r="AJ122" t="s">
        <v>1885</v>
      </c>
      <c r="AK122" t="s">
        <v>1886</v>
      </c>
      <c r="AL122" t="s">
        <v>1360</v>
      </c>
      <c r="AM122" t="s">
        <v>1885</v>
      </c>
      <c r="AN122" t="s">
        <v>1886</v>
      </c>
      <c r="AO122" t="s">
        <v>1916</v>
      </c>
      <c r="AP122" t="s">
        <v>1315</v>
      </c>
      <c r="AQ122" t="s">
        <v>1315</v>
      </c>
      <c r="AR122" t="s">
        <v>1315</v>
      </c>
      <c r="AS122" t="s">
        <v>1282</v>
      </c>
      <c r="AT122" t="s">
        <v>1894</v>
      </c>
    </row>
    <row r="123" spans="4:46" x14ac:dyDescent="0.25">
      <c r="D123" t="s">
        <v>1130</v>
      </c>
      <c r="E123" s="177" t="str">
        <f>INDEX(tblBOneExport[[INSTRUMENT]:[ISIN]],MATCH(tblGetStaticData[[#This Row],[ISIN]],tblBOneExport[ISIN],0),1)</f>
        <v>EDF ENERGY 6.375 12/11/31 EMTN</v>
      </c>
      <c r="F123" s="155" t="str">
        <f>tblGetStaticData[[#This Row],[iPasL2]]&amp; " " &amp; tblGetStaticData[[#This Row],[Tiering]]</f>
        <v>Electric SEN</v>
      </c>
      <c r="G123" s="155" t="s">
        <v>1282</v>
      </c>
      <c r="H123" t="s">
        <v>1358</v>
      </c>
      <c r="I123" t="s">
        <v>1358</v>
      </c>
      <c r="J123" t="s">
        <v>1358</v>
      </c>
      <c r="K123" t="s">
        <v>691</v>
      </c>
      <c r="L123" t="s">
        <v>1315</v>
      </c>
      <c r="M123" t="s">
        <v>493</v>
      </c>
      <c r="N123" t="s">
        <v>1882</v>
      </c>
      <c r="O123" t="s">
        <v>1360</v>
      </c>
      <c r="P123" t="s">
        <v>1885</v>
      </c>
      <c r="Q123" t="s">
        <v>1886</v>
      </c>
      <c r="R123" t="s">
        <v>1360</v>
      </c>
      <c r="S123" t="s">
        <v>1885</v>
      </c>
      <c r="T123" t="s">
        <v>1886</v>
      </c>
      <c r="U123" t="s">
        <v>1887</v>
      </c>
      <c r="V123" t="s">
        <v>1130</v>
      </c>
      <c r="W123" t="s">
        <v>691</v>
      </c>
      <c r="X123" t="s">
        <v>1322</v>
      </c>
      <c r="Y123" t="s">
        <v>1358</v>
      </c>
      <c r="Z123" t="s">
        <v>1948</v>
      </c>
      <c r="AA123" t="s">
        <v>493</v>
      </c>
      <c r="AB123" t="s">
        <v>1899</v>
      </c>
      <c r="AC123" t="s">
        <v>1282</v>
      </c>
      <c r="AD123" t="s">
        <v>2099</v>
      </c>
      <c r="AE123" t="s">
        <v>2012</v>
      </c>
      <c r="AF123" t="s">
        <v>2099</v>
      </c>
      <c r="AG123" t="s">
        <v>2012</v>
      </c>
      <c r="AH123" t="s">
        <v>1360</v>
      </c>
      <c r="AI123" t="s">
        <v>1360</v>
      </c>
      <c r="AJ123" t="s">
        <v>1885</v>
      </c>
      <c r="AK123" t="s">
        <v>1886</v>
      </c>
      <c r="AL123" t="s">
        <v>1360</v>
      </c>
      <c r="AM123" t="s">
        <v>1885</v>
      </c>
      <c r="AN123" t="s">
        <v>1886</v>
      </c>
      <c r="AO123" t="s">
        <v>1916</v>
      </c>
      <c r="AP123" t="s">
        <v>1315</v>
      </c>
      <c r="AQ123" t="s">
        <v>1315</v>
      </c>
      <c r="AR123" t="s">
        <v>1315</v>
      </c>
      <c r="AS123" t="s">
        <v>1282</v>
      </c>
      <c r="AT123" t="s">
        <v>1894</v>
      </c>
    </row>
    <row r="124" spans="4:46" x14ac:dyDescent="0.25">
      <c r="D124" t="s">
        <v>832</v>
      </c>
      <c r="E124" s="177" t="str">
        <f>INDEX(tblBOneExport[[INSTRUMENT]:[ISIN]],MATCH(tblGetStaticData[[#This Row],[ISIN]],tblBOneExport[ISIN],0),1)</f>
        <v>BAA FUNDING LTD 6.75 03/12/26 EMTN</v>
      </c>
      <c r="F124" s="155" t="str">
        <f>tblGetStaticData[[#This Row],[iPasL2]]&amp; " " &amp; tblGetStaticData[[#This Row],[Tiering]]</f>
        <v>Transportation SEN</v>
      </c>
      <c r="G124" s="155" t="s">
        <v>1282</v>
      </c>
      <c r="H124" t="s">
        <v>1348</v>
      </c>
      <c r="I124" t="s">
        <v>1348</v>
      </c>
      <c r="J124" t="s">
        <v>1348</v>
      </c>
      <c r="K124" t="s">
        <v>828</v>
      </c>
      <c r="L124" t="s">
        <v>1281</v>
      </c>
      <c r="M124" t="s">
        <v>493</v>
      </c>
      <c r="N124" t="s">
        <v>1882</v>
      </c>
      <c r="O124" t="s">
        <v>1360</v>
      </c>
      <c r="P124" t="s">
        <v>1885</v>
      </c>
      <c r="Q124" t="s">
        <v>1886</v>
      </c>
      <c r="R124" t="s">
        <v>1360</v>
      </c>
      <c r="S124" t="s">
        <v>1885</v>
      </c>
      <c r="T124" t="s">
        <v>1886</v>
      </c>
      <c r="U124" t="s">
        <v>1887</v>
      </c>
      <c r="V124" t="s">
        <v>832</v>
      </c>
      <c r="W124" t="s">
        <v>828</v>
      </c>
      <c r="X124" t="s">
        <v>1937</v>
      </c>
      <c r="Y124" t="s">
        <v>2067</v>
      </c>
      <c r="Z124" t="s">
        <v>2068</v>
      </c>
      <c r="AA124" t="s">
        <v>493</v>
      </c>
      <c r="AB124" t="s">
        <v>1889</v>
      </c>
      <c r="AC124" t="s">
        <v>1282</v>
      </c>
      <c r="AD124" t="s">
        <v>2100</v>
      </c>
      <c r="AE124" t="s">
        <v>1951</v>
      </c>
      <c r="AF124" t="s">
        <v>2101</v>
      </c>
      <c r="AG124" t="s">
        <v>1923</v>
      </c>
      <c r="AH124" t="s">
        <v>1542</v>
      </c>
      <c r="AI124" t="s">
        <v>1360</v>
      </c>
      <c r="AJ124" t="s">
        <v>1885</v>
      </c>
      <c r="AK124" t="s">
        <v>1886</v>
      </c>
      <c r="AL124" t="s">
        <v>1360</v>
      </c>
      <c r="AM124" t="s">
        <v>1885</v>
      </c>
      <c r="AN124" t="s">
        <v>1886</v>
      </c>
      <c r="AO124" t="s">
        <v>1893</v>
      </c>
      <c r="AP124" t="s">
        <v>1281</v>
      </c>
      <c r="AQ124" t="s">
        <v>1281</v>
      </c>
      <c r="AR124" t="s">
        <v>1281</v>
      </c>
      <c r="AS124" t="s">
        <v>1282</v>
      </c>
      <c r="AT124" t="s">
        <v>1894</v>
      </c>
    </row>
    <row r="125" spans="4:46" x14ac:dyDescent="0.25">
      <c r="D125" t="s">
        <v>946</v>
      </c>
      <c r="E125" s="177" t="str">
        <f>INDEX(tblBOneExport[[INSTRUMENT]:[ISIN]],MATCH(tblGetStaticData[[#This Row],[ISIN]],tblBOneExport[ISIN],0),1)</f>
        <v>MOTABILITY OPER 5.375 28/06/22 EMTN</v>
      </c>
      <c r="F125" s="155" t="str">
        <f>tblGetStaticData[[#This Row],[iPasL2]]&amp; " " &amp; tblGetStaticData[[#This Row],[Tiering]]</f>
        <v>Consumer Cyclical SEN</v>
      </c>
      <c r="G125" s="155" t="s">
        <v>1282</v>
      </c>
      <c r="H125" t="s">
        <v>1306</v>
      </c>
      <c r="I125" t="s">
        <v>1306</v>
      </c>
      <c r="J125" t="s">
        <v>1306</v>
      </c>
      <c r="K125" t="s">
        <v>947</v>
      </c>
      <c r="L125" t="s">
        <v>1293</v>
      </c>
      <c r="M125" t="s">
        <v>493</v>
      </c>
      <c r="N125" t="s">
        <v>1882</v>
      </c>
      <c r="O125" t="s">
        <v>1360</v>
      </c>
      <c r="P125" t="s">
        <v>1885</v>
      </c>
      <c r="Q125" t="s">
        <v>1886</v>
      </c>
      <c r="R125" t="s">
        <v>1360</v>
      </c>
      <c r="S125" t="s">
        <v>1885</v>
      </c>
      <c r="T125" t="s">
        <v>1886</v>
      </c>
      <c r="U125" t="s">
        <v>1887</v>
      </c>
      <c r="V125" t="s">
        <v>946</v>
      </c>
      <c r="W125" t="s">
        <v>947</v>
      </c>
      <c r="X125" t="s">
        <v>1383</v>
      </c>
      <c r="Y125" t="s">
        <v>2102</v>
      </c>
      <c r="Z125" t="s">
        <v>2103</v>
      </c>
      <c r="AA125" t="s">
        <v>493</v>
      </c>
      <c r="AB125" t="s">
        <v>1899</v>
      </c>
      <c r="AC125" t="s">
        <v>1282</v>
      </c>
      <c r="AD125" t="s">
        <v>2104</v>
      </c>
      <c r="AE125" t="s">
        <v>1901</v>
      </c>
      <c r="AF125" t="s">
        <v>2104</v>
      </c>
      <c r="AG125" t="s">
        <v>1901</v>
      </c>
      <c r="AH125" t="s">
        <v>1360</v>
      </c>
      <c r="AI125" t="s">
        <v>1360</v>
      </c>
      <c r="AJ125" t="s">
        <v>1885</v>
      </c>
      <c r="AK125" t="s">
        <v>1886</v>
      </c>
      <c r="AL125" t="s">
        <v>1360</v>
      </c>
      <c r="AM125" t="s">
        <v>1885</v>
      </c>
      <c r="AN125" t="s">
        <v>1886</v>
      </c>
      <c r="AO125" t="s">
        <v>1909</v>
      </c>
      <c r="AP125" t="s">
        <v>1293</v>
      </c>
      <c r="AQ125" t="s">
        <v>1893</v>
      </c>
      <c r="AR125" t="s">
        <v>1293</v>
      </c>
      <c r="AS125" t="s">
        <v>1282</v>
      </c>
      <c r="AT125" t="s">
        <v>1894</v>
      </c>
    </row>
    <row r="126" spans="4:46" x14ac:dyDescent="0.25">
      <c r="D126" t="s">
        <v>724</v>
      </c>
      <c r="E126" s="177" t="str">
        <f>INDEX(tblBOneExport[[INSTRUMENT]:[ISIN]],MATCH(tblGetStaticData[[#This Row],[ISIN]],tblBOneExport[ISIN],0),1)</f>
        <v>ESB FINANCE DAC 6.5 05/03/20 EMTN</v>
      </c>
      <c r="F126" s="155" t="str">
        <f>tblGetStaticData[[#This Row],[iPasL2]]&amp; " " &amp; tblGetStaticData[[#This Row],[Tiering]]</f>
        <v>Foreign Agency SEN</v>
      </c>
      <c r="G126" s="155" t="s">
        <v>1282</v>
      </c>
      <c r="H126" t="s">
        <v>1331</v>
      </c>
      <c r="I126" t="s">
        <v>1331</v>
      </c>
      <c r="J126" t="s">
        <v>1331</v>
      </c>
      <c r="K126" t="s">
        <v>725</v>
      </c>
      <c r="L126" t="s">
        <v>1315</v>
      </c>
      <c r="M126" t="s">
        <v>493</v>
      </c>
      <c r="N126" t="s">
        <v>1882</v>
      </c>
      <c r="O126" t="s">
        <v>1604</v>
      </c>
      <c r="P126" t="s">
        <v>1603</v>
      </c>
      <c r="Q126" t="s">
        <v>2105</v>
      </c>
      <c r="R126" t="s">
        <v>1604</v>
      </c>
      <c r="S126" t="s">
        <v>1603</v>
      </c>
      <c r="T126" t="s">
        <v>2105</v>
      </c>
      <c r="U126" t="s">
        <v>1887</v>
      </c>
      <c r="V126" t="s">
        <v>724</v>
      </c>
      <c r="W126" t="s">
        <v>725</v>
      </c>
      <c r="X126" t="s">
        <v>1322</v>
      </c>
      <c r="Y126" t="s">
        <v>1358</v>
      </c>
      <c r="Z126" t="s">
        <v>1921</v>
      </c>
      <c r="AA126" t="s">
        <v>493</v>
      </c>
      <c r="AB126" t="s">
        <v>1899</v>
      </c>
      <c r="AC126" t="s">
        <v>1282</v>
      </c>
      <c r="AD126" t="s">
        <v>2106</v>
      </c>
      <c r="AE126" t="s">
        <v>1915</v>
      </c>
      <c r="AF126" t="s">
        <v>2106</v>
      </c>
      <c r="AG126" t="s">
        <v>1915</v>
      </c>
      <c r="AH126" t="s">
        <v>1604</v>
      </c>
      <c r="AI126" t="s">
        <v>1604</v>
      </c>
      <c r="AJ126" t="s">
        <v>1603</v>
      </c>
      <c r="AK126" t="s">
        <v>2105</v>
      </c>
      <c r="AL126" t="s">
        <v>1604</v>
      </c>
      <c r="AM126" t="s">
        <v>1603</v>
      </c>
      <c r="AN126" t="s">
        <v>2105</v>
      </c>
      <c r="AO126" t="s">
        <v>1916</v>
      </c>
      <c r="AP126" t="s">
        <v>1281</v>
      </c>
      <c r="AQ126" t="s">
        <v>1281</v>
      </c>
      <c r="AR126" t="s">
        <v>1315</v>
      </c>
      <c r="AS126" t="s">
        <v>1282</v>
      </c>
      <c r="AT126" t="s">
        <v>1894</v>
      </c>
    </row>
    <row r="127" spans="4:46" x14ac:dyDescent="0.25">
      <c r="D127" t="s">
        <v>805</v>
      </c>
      <c r="E127" s="177" t="str">
        <f>INDEX(tblBOneExport[[INSTRUMENT]:[ISIN]],MATCH(tblGetStaticData[[#This Row],[ISIN]],tblBOneExport[ISIN],0),1)</f>
        <v>GO AHEAD GROUP 5.375 29/09/17</v>
      </c>
      <c r="F127" s="155" t="str">
        <f>tblGetStaticData[[#This Row],[iPasL2]]&amp; " " &amp; tblGetStaticData[[#This Row],[Tiering]]</f>
        <v>Transportation SEN</v>
      </c>
      <c r="G127" s="155" t="s">
        <v>1282</v>
      </c>
      <c r="H127" t="s">
        <v>1348</v>
      </c>
      <c r="I127" t="s">
        <v>1348</v>
      </c>
      <c r="J127" t="s">
        <v>1348</v>
      </c>
      <c r="K127" t="s">
        <v>806</v>
      </c>
      <c r="L127" t="s">
        <v>1990</v>
      </c>
      <c r="M127" t="s">
        <v>493</v>
      </c>
      <c r="N127" t="s">
        <v>1882</v>
      </c>
      <c r="O127" t="s">
        <v>1360</v>
      </c>
      <c r="P127" t="s">
        <v>1885</v>
      </c>
      <c r="Q127" t="s">
        <v>1886</v>
      </c>
      <c r="R127" t="s">
        <v>1360</v>
      </c>
      <c r="S127" t="s">
        <v>1885</v>
      </c>
      <c r="T127" t="s">
        <v>1886</v>
      </c>
      <c r="U127" t="s">
        <v>1887</v>
      </c>
      <c r="V127" t="s">
        <v>805</v>
      </c>
      <c r="W127" t="s">
        <v>806</v>
      </c>
      <c r="X127" t="s">
        <v>1937</v>
      </c>
      <c r="Y127" t="s">
        <v>1348</v>
      </c>
      <c r="Z127" t="s">
        <v>1938</v>
      </c>
      <c r="AA127" t="s">
        <v>493</v>
      </c>
      <c r="AB127" t="s">
        <v>1899</v>
      </c>
      <c r="AC127" t="s">
        <v>1282</v>
      </c>
      <c r="AD127" t="s">
        <v>2107</v>
      </c>
      <c r="AE127" t="s">
        <v>1936</v>
      </c>
      <c r="AF127" t="s">
        <v>2107</v>
      </c>
      <c r="AG127" t="s">
        <v>1936</v>
      </c>
      <c r="AH127" t="s">
        <v>1360</v>
      </c>
      <c r="AI127" t="s">
        <v>1360</v>
      </c>
      <c r="AJ127" t="s">
        <v>1885</v>
      </c>
      <c r="AK127" t="s">
        <v>1886</v>
      </c>
      <c r="AL127" t="s">
        <v>1360</v>
      </c>
      <c r="AM127" t="s">
        <v>1885</v>
      </c>
      <c r="AN127" t="s">
        <v>1886</v>
      </c>
      <c r="AO127" t="s">
        <v>2108</v>
      </c>
      <c r="AP127" t="s">
        <v>1990</v>
      </c>
      <c r="AQ127" t="s">
        <v>1893</v>
      </c>
      <c r="AR127" t="s">
        <v>1990</v>
      </c>
      <c r="AS127" t="s">
        <v>1282</v>
      </c>
      <c r="AT127" t="s">
        <v>1894</v>
      </c>
    </row>
    <row r="128" spans="4:46" x14ac:dyDescent="0.25">
      <c r="D128" t="s">
        <v>1251</v>
      </c>
      <c r="E128" s="177" t="str">
        <f>INDEX(tblBOneExport[[INSTRUMENT]:[ISIN]],MATCH(tblGetStaticData[[#This Row],[ISIN]],tblBOneExport[ISIN],0),1)</f>
        <v>WALES &amp; WEST 5.75 29/03/30</v>
      </c>
      <c r="F128" s="155" t="str">
        <f>tblGetStaticData[[#This Row],[iPasL2]]&amp; " " &amp; tblGetStaticData[[#This Row],[Tiering]]</f>
        <v>Natural Gas SEN</v>
      </c>
      <c r="G128" s="155" t="s">
        <v>1282</v>
      </c>
      <c r="H128" t="s">
        <v>1326</v>
      </c>
      <c r="I128" t="s">
        <v>1326</v>
      </c>
      <c r="J128" t="s">
        <v>1326</v>
      </c>
      <c r="K128" t="s">
        <v>1247</v>
      </c>
      <c r="L128" t="s">
        <v>1281</v>
      </c>
      <c r="M128" t="s">
        <v>493</v>
      </c>
      <c r="N128" t="s">
        <v>1882</v>
      </c>
      <c r="O128" t="s">
        <v>1360</v>
      </c>
      <c r="P128" t="s">
        <v>1885</v>
      </c>
      <c r="Q128" t="s">
        <v>1886</v>
      </c>
      <c r="R128" t="s">
        <v>1360</v>
      </c>
      <c r="S128" t="s">
        <v>1885</v>
      </c>
      <c r="T128" t="s">
        <v>1886</v>
      </c>
      <c r="U128" t="s">
        <v>1887</v>
      </c>
      <c r="V128" t="s">
        <v>1251</v>
      </c>
      <c r="W128" t="s">
        <v>1247</v>
      </c>
      <c r="X128" t="s">
        <v>1322</v>
      </c>
      <c r="Y128" t="s">
        <v>2042</v>
      </c>
      <c r="Z128" t="s">
        <v>2043</v>
      </c>
      <c r="AA128" t="s">
        <v>493</v>
      </c>
      <c r="AB128" t="s">
        <v>1889</v>
      </c>
      <c r="AC128" t="s">
        <v>1282</v>
      </c>
      <c r="AD128" t="s">
        <v>2109</v>
      </c>
      <c r="AE128" t="s">
        <v>1931</v>
      </c>
      <c r="AF128" t="s">
        <v>2109</v>
      </c>
      <c r="AG128" t="s">
        <v>1931</v>
      </c>
      <c r="AH128" t="s">
        <v>1360</v>
      </c>
      <c r="AI128" t="s">
        <v>1360</v>
      </c>
      <c r="AJ128" t="s">
        <v>1885</v>
      </c>
      <c r="AK128" t="s">
        <v>1886</v>
      </c>
      <c r="AL128" t="s">
        <v>1360</v>
      </c>
      <c r="AM128" t="s">
        <v>1885</v>
      </c>
      <c r="AN128" t="s">
        <v>1886</v>
      </c>
      <c r="AO128" t="s">
        <v>1893</v>
      </c>
      <c r="AP128" t="s">
        <v>1281</v>
      </c>
      <c r="AQ128" t="s">
        <v>1281</v>
      </c>
      <c r="AR128" t="s">
        <v>1281</v>
      </c>
      <c r="AS128" t="s">
        <v>1282</v>
      </c>
      <c r="AT128" t="s">
        <v>1894</v>
      </c>
    </row>
    <row r="129" spans="4:46" x14ac:dyDescent="0.25">
      <c r="D129" t="s">
        <v>668</v>
      </c>
      <c r="E129" s="177" t="str">
        <f>INDEX(tblBOneExport[[INSTRUMENT]:[ISIN]],MATCH(tblGetStaticData[[#This Row],[ISIN]],tblBOneExport[ISIN],0),1)</f>
        <v>DONG A/S 5.75 09/04/40 EMTN</v>
      </c>
      <c r="F129" s="155" t="str">
        <f>tblGetStaticData[[#This Row],[iPasL2]]&amp; " " &amp; tblGetStaticData[[#This Row],[Tiering]]</f>
        <v>Foreign Agency SEN</v>
      </c>
      <c r="G129" s="155" t="s">
        <v>1282</v>
      </c>
      <c r="H129" t="s">
        <v>1331</v>
      </c>
      <c r="I129" t="s">
        <v>1331</v>
      </c>
      <c r="J129" t="s">
        <v>1331</v>
      </c>
      <c r="K129" t="s">
        <v>669</v>
      </c>
      <c r="L129" t="s">
        <v>1315</v>
      </c>
      <c r="M129" t="s">
        <v>493</v>
      </c>
      <c r="N129" t="s">
        <v>1882</v>
      </c>
      <c r="O129" t="s">
        <v>1612</v>
      </c>
      <c r="P129" t="s">
        <v>1611</v>
      </c>
      <c r="Q129" t="s">
        <v>1982</v>
      </c>
      <c r="R129" t="s">
        <v>1612</v>
      </c>
      <c r="S129" t="s">
        <v>1611</v>
      </c>
      <c r="T129" t="s">
        <v>1982</v>
      </c>
      <c r="U129" t="s">
        <v>1887</v>
      </c>
      <c r="V129" t="s">
        <v>668</v>
      </c>
      <c r="W129" t="s">
        <v>669</v>
      </c>
      <c r="X129" t="s">
        <v>1322</v>
      </c>
      <c r="Y129" t="s">
        <v>1358</v>
      </c>
      <c r="Z129" t="s">
        <v>1924</v>
      </c>
      <c r="AA129" t="s">
        <v>493</v>
      </c>
      <c r="AB129" t="s">
        <v>1899</v>
      </c>
      <c r="AC129" t="s">
        <v>1282</v>
      </c>
      <c r="AD129" t="s">
        <v>2110</v>
      </c>
      <c r="AE129" t="s">
        <v>2066</v>
      </c>
      <c r="AF129" t="s">
        <v>2110</v>
      </c>
      <c r="AG129" t="s">
        <v>2066</v>
      </c>
      <c r="AH129" t="s">
        <v>1612</v>
      </c>
      <c r="AI129" t="s">
        <v>1612</v>
      </c>
      <c r="AJ129" t="s">
        <v>1611</v>
      </c>
      <c r="AK129" t="s">
        <v>1982</v>
      </c>
      <c r="AL129" t="s">
        <v>1612</v>
      </c>
      <c r="AM129" t="s">
        <v>1611</v>
      </c>
      <c r="AN129" t="s">
        <v>1982</v>
      </c>
      <c r="AO129" t="s">
        <v>1916</v>
      </c>
      <c r="AP129" t="s">
        <v>1315</v>
      </c>
      <c r="AQ129" t="s">
        <v>1315</v>
      </c>
      <c r="AR129" t="s">
        <v>1315</v>
      </c>
      <c r="AS129" t="s">
        <v>1282</v>
      </c>
      <c r="AT129" t="s">
        <v>1894</v>
      </c>
    </row>
    <row r="130" spans="4:46" x14ac:dyDescent="0.25">
      <c r="D130" t="s">
        <v>1045</v>
      </c>
      <c r="E130" s="177" t="str">
        <f>INDEX(tblBOneExport[[INSTRUMENT]:[ISIN]],MATCH(tblGetStaticData[[#This Row],[ISIN]],tblBOneExport[ISIN],0),1)</f>
        <v>PORTERBROOK RAIL 6.5 20/10/20 EMTN</v>
      </c>
      <c r="F130" s="155" t="str">
        <f>tblGetStaticData[[#This Row],[iPasL2]]&amp; " " &amp; tblGetStaticData[[#This Row],[Tiering]]</f>
        <v>Transportation SEN</v>
      </c>
      <c r="G130" s="155" t="s">
        <v>1282</v>
      </c>
      <c r="H130" t="s">
        <v>1348</v>
      </c>
      <c r="I130" t="s">
        <v>1348</v>
      </c>
      <c r="J130" t="s">
        <v>1615</v>
      </c>
      <c r="K130" t="s">
        <v>1043</v>
      </c>
      <c r="L130" t="s">
        <v>1288</v>
      </c>
      <c r="M130" t="s">
        <v>493</v>
      </c>
      <c r="N130" t="s">
        <v>1882</v>
      </c>
      <c r="O130" t="s">
        <v>1542</v>
      </c>
      <c r="P130" t="s">
        <v>1541</v>
      </c>
      <c r="Q130" t="s">
        <v>2105</v>
      </c>
      <c r="R130" t="s">
        <v>1360</v>
      </c>
      <c r="S130" t="s">
        <v>1885</v>
      </c>
      <c r="T130" t="s">
        <v>1886</v>
      </c>
      <c r="U130" t="s">
        <v>1887</v>
      </c>
      <c r="V130" t="s">
        <v>1045</v>
      </c>
      <c r="W130" t="s">
        <v>1043</v>
      </c>
      <c r="X130" t="s">
        <v>1937</v>
      </c>
      <c r="Y130" t="s">
        <v>1348</v>
      </c>
      <c r="Z130" t="s">
        <v>2034</v>
      </c>
      <c r="AA130" t="s">
        <v>493</v>
      </c>
      <c r="AB130" t="s">
        <v>1889</v>
      </c>
      <c r="AC130" t="s">
        <v>1282</v>
      </c>
      <c r="AD130" t="s">
        <v>2111</v>
      </c>
      <c r="AE130" t="s">
        <v>1915</v>
      </c>
      <c r="AF130" t="s">
        <v>2111</v>
      </c>
      <c r="AG130" t="s">
        <v>1915</v>
      </c>
      <c r="AH130" t="s">
        <v>1542</v>
      </c>
      <c r="AI130" t="s">
        <v>1542</v>
      </c>
      <c r="AJ130" t="s">
        <v>1541</v>
      </c>
      <c r="AK130" t="s">
        <v>2105</v>
      </c>
      <c r="AL130" t="s">
        <v>1360</v>
      </c>
      <c r="AM130" t="s">
        <v>1885</v>
      </c>
      <c r="AN130" t="s">
        <v>1886</v>
      </c>
      <c r="AO130" t="s">
        <v>1893</v>
      </c>
      <c r="AP130" t="s">
        <v>1288</v>
      </c>
      <c r="AQ130" t="s">
        <v>1893</v>
      </c>
      <c r="AR130" t="s">
        <v>1873</v>
      </c>
      <c r="AS130" t="s">
        <v>1282</v>
      </c>
      <c r="AT130" t="s">
        <v>1894</v>
      </c>
    </row>
    <row r="131" spans="4:46" x14ac:dyDescent="0.25">
      <c r="D131" t="s">
        <v>520</v>
      </c>
      <c r="E131" s="177" t="str">
        <f>INDEX(tblBOneExport[[INSTRUMENT]:[ISIN]],MATCH(tblGetStaticData[[#This Row],[ISIN]],tblBOneExport[ISIN],0),1)</f>
        <v>AMERICA MOVIL SA 5.75 28/06/30</v>
      </c>
      <c r="F131" s="155" t="str">
        <f>tblGetStaticData[[#This Row],[iPasL2]]&amp; " " &amp; tblGetStaticData[[#This Row],[Tiering]]</f>
        <v>Communications SEN</v>
      </c>
      <c r="G131" s="155" t="s">
        <v>1282</v>
      </c>
      <c r="H131" t="s">
        <v>1312</v>
      </c>
      <c r="I131" t="s">
        <v>1312</v>
      </c>
      <c r="J131" t="s">
        <v>1312</v>
      </c>
      <c r="K131" t="s">
        <v>518</v>
      </c>
      <c r="L131" t="s">
        <v>1281</v>
      </c>
      <c r="M131" t="s">
        <v>493</v>
      </c>
      <c r="N131" t="s">
        <v>1882</v>
      </c>
      <c r="O131" t="s">
        <v>1620</v>
      </c>
      <c r="P131" t="s">
        <v>1619</v>
      </c>
      <c r="Q131" t="s">
        <v>1884</v>
      </c>
      <c r="R131" t="s">
        <v>1620</v>
      </c>
      <c r="S131" t="s">
        <v>1619</v>
      </c>
      <c r="T131" t="s">
        <v>1884</v>
      </c>
      <c r="U131" t="s">
        <v>1993</v>
      </c>
      <c r="V131" t="s">
        <v>520</v>
      </c>
      <c r="W131" t="s">
        <v>518</v>
      </c>
      <c r="X131" t="s">
        <v>1312</v>
      </c>
      <c r="Y131" t="s">
        <v>1313</v>
      </c>
      <c r="Z131" t="s">
        <v>2112</v>
      </c>
      <c r="AA131" t="s">
        <v>493</v>
      </c>
      <c r="AB131" t="s">
        <v>1899</v>
      </c>
      <c r="AC131" t="s">
        <v>1282</v>
      </c>
      <c r="AD131" t="s">
        <v>2113</v>
      </c>
      <c r="AE131" t="s">
        <v>1931</v>
      </c>
      <c r="AF131" t="s">
        <v>2113</v>
      </c>
      <c r="AG131" t="s">
        <v>1931</v>
      </c>
      <c r="AH131" t="s">
        <v>1620</v>
      </c>
      <c r="AI131" t="s">
        <v>1620</v>
      </c>
      <c r="AJ131" t="s">
        <v>1619</v>
      </c>
      <c r="AK131" t="s">
        <v>1884</v>
      </c>
      <c r="AL131" t="s">
        <v>1620</v>
      </c>
      <c r="AM131" t="s">
        <v>1619</v>
      </c>
      <c r="AN131" t="s">
        <v>1884</v>
      </c>
      <c r="AO131" t="s">
        <v>1892</v>
      </c>
      <c r="AP131" t="s">
        <v>1281</v>
      </c>
      <c r="AQ131" t="s">
        <v>1281</v>
      </c>
      <c r="AR131" t="s">
        <v>1281</v>
      </c>
      <c r="AS131" t="s">
        <v>1282</v>
      </c>
      <c r="AT131" t="s">
        <v>1894</v>
      </c>
    </row>
    <row r="132" spans="4:46" x14ac:dyDescent="0.25">
      <c r="D132" t="s">
        <v>811</v>
      </c>
      <c r="E132" s="177" t="str">
        <f>INDEX(tblBOneExport[[INSTRUMENT]:[ISIN]],MATCH(tblGetStaticData[[#This Row],[ISIN]],tblBOneExport[ISIN],0),1)</f>
        <v>GREAT ROLLING ST 6.875 27/07/35 EMTN</v>
      </c>
      <c r="F132" s="155" t="str">
        <f>tblGetStaticData[[#This Row],[iPasL2]]&amp; " " &amp; tblGetStaticData[[#This Row],[Tiering]]</f>
        <v>Transportation SEN</v>
      </c>
      <c r="G132" s="155" t="s">
        <v>1282</v>
      </c>
      <c r="H132" t="s">
        <v>1348</v>
      </c>
      <c r="I132" t="s">
        <v>1348</v>
      </c>
      <c r="J132" t="s">
        <v>1615</v>
      </c>
      <c r="K132" t="s">
        <v>812</v>
      </c>
      <c r="L132" t="s">
        <v>1288</v>
      </c>
      <c r="M132" t="s">
        <v>493</v>
      </c>
      <c r="N132" t="s">
        <v>1882</v>
      </c>
      <c r="O132" t="s">
        <v>1360</v>
      </c>
      <c r="P132" t="s">
        <v>1885</v>
      </c>
      <c r="Q132" t="s">
        <v>1886</v>
      </c>
      <c r="R132" t="s">
        <v>1360</v>
      </c>
      <c r="S132" t="s">
        <v>1885</v>
      </c>
      <c r="T132" t="s">
        <v>1886</v>
      </c>
      <c r="U132" t="s">
        <v>1887</v>
      </c>
      <c r="V132" t="s">
        <v>811</v>
      </c>
      <c r="W132" t="s">
        <v>812</v>
      </c>
      <c r="X132" t="s">
        <v>1937</v>
      </c>
      <c r="Y132" t="s">
        <v>1348</v>
      </c>
      <c r="Z132" t="s">
        <v>2034</v>
      </c>
      <c r="AA132" t="s">
        <v>493</v>
      </c>
      <c r="AB132" t="s">
        <v>1889</v>
      </c>
      <c r="AC132" t="s">
        <v>1282</v>
      </c>
      <c r="AD132" t="s">
        <v>2114</v>
      </c>
      <c r="AE132" t="s">
        <v>2033</v>
      </c>
      <c r="AF132" t="s">
        <v>2114</v>
      </c>
      <c r="AG132" t="s">
        <v>2033</v>
      </c>
      <c r="AH132" t="s">
        <v>1360</v>
      </c>
      <c r="AI132" t="s">
        <v>1360</v>
      </c>
      <c r="AJ132" t="s">
        <v>1885</v>
      </c>
      <c r="AK132" t="s">
        <v>1886</v>
      </c>
      <c r="AL132" t="s">
        <v>1360</v>
      </c>
      <c r="AM132" t="s">
        <v>1885</v>
      </c>
      <c r="AN132" t="s">
        <v>1886</v>
      </c>
      <c r="AO132" t="s">
        <v>1940</v>
      </c>
      <c r="AP132" t="s">
        <v>1873</v>
      </c>
      <c r="AQ132" t="s">
        <v>1893</v>
      </c>
      <c r="AR132" t="s">
        <v>1873</v>
      </c>
      <c r="AS132" t="s">
        <v>1282</v>
      </c>
      <c r="AT132" t="s">
        <v>1894</v>
      </c>
    </row>
    <row r="133" spans="4:46" x14ac:dyDescent="0.25">
      <c r="D133" t="s">
        <v>814</v>
      </c>
      <c r="E133" s="177" t="str">
        <f>INDEX(tblBOneExport[[INSTRUMENT]:[ISIN]],MATCH(tblGetStaticData[[#This Row],[ISIN]],tblBOneExport[ISIN],0),1)</f>
        <v>GREAT ROLLING ST 6.25 27/07/20 EMTN</v>
      </c>
      <c r="F133" s="155" t="str">
        <f>tblGetStaticData[[#This Row],[iPasL2]]&amp; " " &amp; tblGetStaticData[[#This Row],[Tiering]]</f>
        <v>Transportation SEN</v>
      </c>
      <c r="G133" s="155" t="s">
        <v>1282</v>
      </c>
      <c r="H133" t="s">
        <v>1348</v>
      </c>
      <c r="I133" t="s">
        <v>1348</v>
      </c>
      <c r="J133" t="s">
        <v>1615</v>
      </c>
      <c r="K133" t="s">
        <v>812</v>
      </c>
      <c r="L133" t="s">
        <v>1288</v>
      </c>
      <c r="M133" t="s">
        <v>493</v>
      </c>
      <c r="N133" t="s">
        <v>1882</v>
      </c>
      <c r="O133" t="s">
        <v>1360</v>
      </c>
      <c r="P133" t="s">
        <v>1885</v>
      </c>
      <c r="Q133" t="s">
        <v>1886</v>
      </c>
      <c r="R133" t="s">
        <v>1360</v>
      </c>
      <c r="S133" t="s">
        <v>1885</v>
      </c>
      <c r="T133" t="s">
        <v>1886</v>
      </c>
      <c r="U133" t="s">
        <v>1887</v>
      </c>
      <c r="V133" t="s">
        <v>814</v>
      </c>
      <c r="W133" t="s">
        <v>812</v>
      </c>
      <c r="X133" t="s">
        <v>1937</v>
      </c>
      <c r="Y133" t="s">
        <v>1348</v>
      </c>
      <c r="Z133" t="s">
        <v>2034</v>
      </c>
      <c r="AA133" t="s">
        <v>493</v>
      </c>
      <c r="AB133" t="s">
        <v>1889</v>
      </c>
      <c r="AC133" t="s">
        <v>1282</v>
      </c>
      <c r="AD133" t="s">
        <v>2115</v>
      </c>
      <c r="AE133" t="s">
        <v>1915</v>
      </c>
      <c r="AF133" t="s">
        <v>2115</v>
      </c>
      <c r="AG133" t="s">
        <v>1915</v>
      </c>
      <c r="AH133" t="s">
        <v>1360</v>
      </c>
      <c r="AI133" t="s">
        <v>1360</v>
      </c>
      <c r="AJ133" t="s">
        <v>1885</v>
      </c>
      <c r="AK133" t="s">
        <v>1886</v>
      </c>
      <c r="AL133" t="s">
        <v>1360</v>
      </c>
      <c r="AM133" t="s">
        <v>1885</v>
      </c>
      <c r="AN133" t="s">
        <v>1886</v>
      </c>
      <c r="AO133" t="s">
        <v>1940</v>
      </c>
      <c r="AP133" t="s">
        <v>1873</v>
      </c>
      <c r="AQ133" t="s">
        <v>1893</v>
      </c>
      <c r="AR133" t="s">
        <v>1873</v>
      </c>
      <c r="AS133" t="s">
        <v>1282</v>
      </c>
      <c r="AT133" t="s">
        <v>1894</v>
      </c>
    </row>
    <row r="134" spans="4:46" x14ac:dyDescent="0.25">
      <c r="D134" t="s">
        <v>868</v>
      </c>
      <c r="E134" s="177" t="str">
        <f>INDEX(tblBOneExport[[INSTRUMENT]:[ISIN]],MATCH(tblGetStaticData[[#This Row],[ISIN]],tblBOneExport[ISIN],0),1)</f>
        <v>JOHN LEWIS PLC 6.125 21/01/25</v>
      </c>
      <c r="F134" s="155" t="str">
        <f>tblGetStaticData[[#This Row],[iPasL2]]&amp; " " &amp; tblGetStaticData[[#This Row],[Tiering]]</f>
        <v>Consumer Cyclical SEN</v>
      </c>
      <c r="G134" s="155" t="s">
        <v>1282</v>
      </c>
      <c r="H134" t="s">
        <v>1306</v>
      </c>
      <c r="I134" t="s">
        <v>1306</v>
      </c>
      <c r="J134" t="s">
        <v>1422</v>
      </c>
      <c r="K134" t="s">
        <v>869</v>
      </c>
      <c r="L134" t="s">
        <v>1288</v>
      </c>
      <c r="M134" t="s">
        <v>493</v>
      </c>
      <c r="N134" t="s">
        <v>1882</v>
      </c>
      <c r="O134" t="s">
        <v>1360</v>
      </c>
      <c r="P134" t="s">
        <v>1885</v>
      </c>
      <c r="Q134" t="s">
        <v>1886</v>
      </c>
      <c r="R134" t="s">
        <v>1360</v>
      </c>
      <c r="S134" t="s">
        <v>1885</v>
      </c>
      <c r="T134" t="s">
        <v>1886</v>
      </c>
      <c r="U134" t="s">
        <v>1887</v>
      </c>
      <c r="V134" t="s">
        <v>868</v>
      </c>
      <c r="W134" t="s">
        <v>869</v>
      </c>
      <c r="X134" t="s">
        <v>1932</v>
      </c>
      <c r="Y134" t="s">
        <v>1996</v>
      </c>
      <c r="Z134" t="s">
        <v>2116</v>
      </c>
      <c r="AA134" t="s">
        <v>493</v>
      </c>
      <c r="AB134" t="s">
        <v>1899</v>
      </c>
      <c r="AC134" t="s">
        <v>1282</v>
      </c>
      <c r="AD134" t="s">
        <v>2117</v>
      </c>
      <c r="AE134" t="s">
        <v>1908</v>
      </c>
      <c r="AF134" t="s">
        <v>2117</v>
      </c>
      <c r="AG134" t="s">
        <v>1908</v>
      </c>
      <c r="AH134" t="s">
        <v>1360</v>
      </c>
      <c r="AI134" t="s">
        <v>1360</v>
      </c>
      <c r="AJ134" t="s">
        <v>1885</v>
      </c>
      <c r="AK134" t="s">
        <v>1886</v>
      </c>
      <c r="AL134" t="s">
        <v>1360</v>
      </c>
      <c r="AM134" t="s">
        <v>1885</v>
      </c>
      <c r="AN134" t="s">
        <v>1886</v>
      </c>
      <c r="AO134" t="s">
        <v>1893</v>
      </c>
      <c r="AP134" t="s">
        <v>1893</v>
      </c>
      <c r="AQ134" t="s">
        <v>1893</v>
      </c>
      <c r="AR134" t="s">
        <v>1893</v>
      </c>
      <c r="AS134" t="s">
        <v>1282</v>
      </c>
      <c r="AT134" t="s">
        <v>1894</v>
      </c>
    </row>
    <row r="135" spans="4:46" x14ac:dyDescent="0.25">
      <c r="D135" t="s">
        <v>1156</v>
      </c>
      <c r="E135" s="177" t="str">
        <f>INDEX(tblBOneExport[[INSTRUMENT]:[ISIN]],MATCH(tblGetStaticData[[#This Row],[ISIN]],tblBOneExport[ISIN],0),1)</f>
        <v>TEMASEK FINL I 5.125 26/07/40 GMTN</v>
      </c>
      <c r="F135" s="155" t="str">
        <f>tblGetStaticData[[#This Row],[iPasL2]]&amp; " " &amp; tblGetStaticData[[#This Row],[Tiering]]</f>
        <v>Foreign Agency SEN</v>
      </c>
      <c r="G135" s="155" t="s">
        <v>1282</v>
      </c>
      <c r="H135" t="s">
        <v>1331</v>
      </c>
      <c r="I135" t="s">
        <v>1331</v>
      </c>
      <c r="J135" t="s">
        <v>1331</v>
      </c>
      <c r="K135" t="s">
        <v>1157</v>
      </c>
      <c r="L135" t="s">
        <v>1353</v>
      </c>
      <c r="M135" t="s">
        <v>493</v>
      </c>
      <c r="N135" t="s">
        <v>1882</v>
      </c>
      <c r="O135" t="s">
        <v>1630</v>
      </c>
      <c r="P135" t="s">
        <v>1629</v>
      </c>
      <c r="Q135" t="s">
        <v>2118</v>
      </c>
      <c r="R135" t="s">
        <v>1630</v>
      </c>
      <c r="S135" t="s">
        <v>1629</v>
      </c>
      <c r="T135" t="s">
        <v>2118</v>
      </c>
      <c r="U135" t="s">
        <v>2118</v>
      </c>
      <c r="V135" t="s">
        <v>1156</v>
      </c>
      <c r="W135" t="s">
        <v>1157</v>
      </c>
      <c r="X135" t="s">
        <v>1942</v>
      </c>
      <c r="Y135" t="s">
        <v>182</v>
      </c>
      <c r="Z135" t="s">
        <v>1970</v>
      </c>
      <c r="AA135" t="s">
        <v>493</v>
      </c>
      <c r="AB135" t="s">
        <v>1899</v>
      </c>
      <c r="AC135" t="s">
        <v>1282</v>
      </c>
      <c r="AD135" t="s">
        <v>2119</v>
      </c>
      <c r="AE135" t="s">
        <v>2066</v>
      </c>
      <c r="AF135" t="s">
        <v>2119</v>
      </c>
      <c r="AG135" t="s">
        <v>2066</v>
      </c>
      <c r="AH135" t="s">
        <v>1630</v>
      </c>
      <c r="AI135" t="s">
        <v>1630</v>
      </c>
      <c r="AJ135" t="s">
        <v>1629</v>
      </c>
      <c r="AK135" t="s">
        <v>2118</v>
      </c>
      <c r="AL135" t="s">
        <v>1630</v>
      </c>
      <c r="AM135" t="s">
        <v>1629</v>
      </c>
      <c r="AN135" t="s">
        <v>2118</v>
      </c>
      <c r="AO135" t="s">
        <v>1947</v>
      </c>
      <c r="AP135" t="s">
        <v>1353</v>
      </c>
      <c r="AQ135" t="s">
        <v>1893</v>
      </c>
      <c r="AR135" t="s">
        <v>1353</v>
      </c>
      <c r="AS135" t="s">
        <v>1282</v>
      </c>
      <c r="AT135" t="s">
        <v>1894</v>
      </c>
    </row>
    <row r="136" spans="4:46" x14ac:dyDescent="0.25">
      <c r="D136" t="s">
        <v>949</v>
      </c>
      <c r="E136" s="177" t="str">
        <f>INDEX(tblBOneExport[[INSTRUMENT]:[ISIN]],MATCH(tblGetStaticData[[#This Row],[ISIN]],tblBOneExport[ISIN],0),1)</f>
        <v>MOTABILITY OPER 5.625 29/11/30 EMTN</v>
      </c>
      <c r="F136" s="155" t="str">
        <f>tblGetStaticData[[#This Row],[iPasL2]]&amp; " " &amp; tblGetStaticData[[#This Row],[Tiering]]</f>
        <v>Consumer Cyclical SEN</v>
      </c>
      <c r="G136" s="155" t="s">
        <v>1282</v>
      </c>
      <c r="H136" t="s">
        <v>1306</v>
      </c>
      <c r="I136" t="s">
        <v>1306</v>
      </c>
      <c r="J136" t="s">
        <v>1349</v>
      </c>
      <c r="K136" t="s">
        <v>947</v>
      </c>
      <c r="L136" t="s">
        <v>1293</v>
      </c>
      <c r="M136" t="s">
        <v>493</v>
      </c>
      <c r="N136" t="s">
        <v>1882</v>
      </c>
      <c r="O136" t="s">
        <v>1360</v>
      </c>
      <c r="P136" t="s">
        <v>1885</v>
      </c>
      <c r="Q136" t="s">
        <v>1886</v>
      </c>
      <c r="R136" t="s">
        <v>1360</v>
      </c>
      <c r="S136" t="s">
        <v>1885</v>
      </c>
      <c r="T136" t="s">
        <v>1886</v>
      </c>
      <c r="U136" t="s">
        <v>1887</v>
      </c>
      <c r="V136" t="s">
        <v>949</v>
      </c>
      <c r="W136" t="s">
        <v>947</v>
      </c>
      <c r="X136" t="s">
        <v>1383</v>
      </c>
      <c r="Y136" t="s">
        <v>2102</v>
      </c>
      <c r="Z136" t="s">
        <v>2103</v>
      </c>
      <c r="AA136" t="s">
        <v>493</v>
      </c>
      <c r="AB136" t="s">
        <v>1899</v>
      </c>
      <c r="AC136" t="s">
        <v>1282</v>
      </c>
      <c r="AD136" t="s">
        <v>2120</v>
      </c>
      <c r="AE136" t="s">
        <v>1931</v>
      </c>
      <c r="AF136" t="s">
        <v>2120</v>
      </c>
      <c r="AG136" t="s">
        <v>1931</v>
      </c>
      <c r="AH136" t="s">
        <v>1360</v>
      </c>
      <c r="AI136" t="s">
        <v>1360</v>
      </c>
      <c r="AJ136" t="s">
        <v>1885</v>
      </c>
      <c r="AK136" t="s">
        <v>1886</v>
      </c>
      <c r="AL136" t="s">
        <v>1360</v>
      </c>
      <c r="AM136" t="s">
        <v>1885</v>
      </c>
      <c r="AN136" t="s">
        <v>1886</v>
      </c>
      <c r="AO136" t="s">
        <v>1909</v>
      </c>
      <c r="AP136" t="s">
        <v>1293</v>
      </c>
      <c r="AQ136" t="s">
        <v>1893</v>
      </c>
      <c r="AR136" t="s">
        <v>1293</v>
      </c>
      <c r="AS136" t="s">
        <v>1282</v>
      </c>
      <c r="AT136" t="s">
        <v>1894</v>
      </c>
    </row>
    <row r="137" spans="4:46" x14ac:dyDescent="0.25">
      <c r="D137" t="s">
        <v>584</v>
      </c>
      <c r="E137" s="177" t="str">
        <f>INDEX(tblBOneExport[[INSTRUMENT]:[ISIN]],MATCH(tblGetStaticData[[#This Row],[ISIN]],tblBOneExport[ISIN],0),1)</f>
        <v>BG ENERGY CAP 5.125 01/12/25 EMTN</v>
      </c>
      <c r="F137" s="155" t="str">
        <f>tblGetStaticData[[#This Row],[iPasL2]]&amp; " " &amp; tblGetStaticData[[#This Row],[Tiering]]</f>
        <v>Energy SEN</v>
      </c>
      <c r="G137" s="155" t="s">
        <v>1282</v>
      </c>
      <c r="H137" t="s">
        <v>1635</v>
      </c>
      <c r="I137" t="s">
        <v>1635</v>
      </c>
      <c r="J137" t="s">
        <v>1635</v>
      </c>
      <c r="K137" t="s">
        <v>585</v>
      </c>
      <c r="L137" t="s">
        <v>1332</v>
      </c>
      <c r="M137" t="s">
        <v>493</v>
      </c>
      <c r="N137" t="s">
        <v>1882</v>
      </c>
      <c r="O137" t="s">
        <v>1360</v>
      </c>
      <c r="P137" t="s">
        <v>1885</v>
      </c>
      <c r="Q137" t="s">
        <v>1886</v>
      </c>
      <c r="R137" t="s">
        <v>1360</v>
      </c>
      <c r="S137" t="s">
        <v>1885</v>
      </c>
      <c r="T137" t="s">
        <v>1886</v>
      </c>
      <c r="U137" t="s">
        <v>1887</v>
      </c>
      <c r="V137" t="s">
        <v>584</v>
      </c>
      <c r="W137" t="s">
        <v>585</v>
      </c>
      <c r="X137" t="s">
        <v>1635</v>
      </c>
      <c r="Y137" t="s">
        <v>2078</v>
      </c>
      <c r="Z137" t="s">
        <v>2079</v>
      </c>
      <c r="AA137" t="s">
        <v>493</v>
      </c>
      <c r="AB137" t="s">
        <v>1899</v>
      </c>
      <c r="AC137" t="s">
        <v>1282</v>
      </c>
      <c r="AD137" t="s">
        <v>2121</v>
      </c>
      <c r="AE137" t="s">
        <v>1908</v>
      </c>
      <c r="AF137" t="s">
        <v>2121</v>
      </c>
      <c r="AG137" t="s">
        <v>1908</v>
      </c>
      <c r="AH137" t="s">
        <v>1360</v>
      </c>
      <c r="AI137" t="s">
        <v>1360</v>
      </c>
      <c r="AJ137" t="s">
        <v>1885</v>
      </c>
      <c r="AK137" t="s">
        <v>1886</v>
      </c>
      <c r="AL137" t="s">
        <v>1360</v>
      </c>
      <c r="AM137" t="s">
        <v>1885</v>
      </c>
      <c r="AN137" t="s">
        <v>1886</v>
      </c>
      <c r="AO137" t="s">
        <v>2122</v>
      </c>
      <c r="AP137" t="s">
        <v>1332</v>
      </c>
      <c r="AQ137" t="s">
        <v>1293</v>
      </c>
      <c r="AR137" t="s">
        <v>1332</v>
      </c>
      <c r="AS137" t="s">
        <v>1282</v>
      </c>
      <c r="AT137" t="s">
        <v>1894</v>
      </c>
    </row>
    <row r="138" spans="4:46" x14ac:dyDescent="0.25">
      <c r="D138" t="s">
        <v>1053</v>
      </c>
      <c r="E138" s="177" t="str">
        <f>INDEX(tblBOneExport[[INSTRUMENT]:[ISIN]],MATCH(tblGetStaticData[[#This Row],[ISIN]],tblBOneExport[ISIN],0),1)</f>
        <v>WEST PWR DISTR 6 09/05/25 EMTN</v>
      </c>
      <c r="F138" s="155" t="str">
        <f>tblGetStaticData[[#This Row],[iPasL2]]&amp; " " &amp; tblGetStaticData[[#This Row],[Tiering]]</f>
        <v>Electric SEN</v>
      </c>
      <c r="G138" s="155" t="s">
        <v>1282</v>
      </c>
      <c r="H138" t="s">
        <v>1358</v>
      </c>
      <c r="I138" t="s">
        <v>1358</v>
      </c>
      <c r="J138" t="s">
        <v>1358</v>
      </c>
      <c r="K138" t="s">
        <v>1051</v>
      </c>
      <c r="L138" t="s">
        <v>1315</v>
      </c>
      <c r="M138" t="s">
        <v>493</v>
      </c>
      <c r="N138" t="s">
        <v>1882</v>
      </c>
      <c r="O138" t="s">
        <v>1360</v>
      </c>
      <c r="P138" t="s">
        <v>1885</v>
      </c>
      <c r="Q138" t="s">
        <v>1886</v>
      </c>
      <c r="R138" t="s">
        <v>1360</v>
      </c>
      <c r="S138" t="s">
        <v>1885</v>
      </c>
      <c r="T138" t="s">
        <v>1886</v>
      </c>
      <c r="U138" t="s">
        <v>1887</v>
      </c>
      <c r="V138" t="s">
        <v>1053</v>
      </c>
      <c r="W138" t="s">
        <v>1051</v>
      </c>
      <c r="X138" t="s">
        <v>1322</v>
      </c>
      <c r="Y138" t="s">
        <v>1358</v>
      </c>
      <c r="Z138" t="s">
        <v>2074</v>
      </c>
      <c r="AA138" t="s">
        <v>493</v>
      </c>
      <c r="AB138" t="s">
        <v>1899</v>
      </c>
      <c r="AC138" t="s">
        <v>1282</v>
      </c>
      <c r="AD138" t="s">
        <v>2123</v>
      </c>
      <c r="AE138" t="s">
        <v>1908</v>
      </c>
      <c r="AF138" t="s">
        <v>2123</v>
      </c>
      <c r="AG138" t="s">
        <v>1908</v>
      </c>
      <c r="AH138" t="s">
        <v>1360</v>
      </c>
      <c r="AI138" t="s">
        <v>1360</v>
      </c>
      <c r="AJ138" t="s">
        <v>1885</v>
      </c>
      <c r="AK138" t="s">
        <v>1886</v>
      </c>
      <c r="AL138" t="s">
        <v>1360</v>
      </c>
      <c r="AM138" t="s">
        <v>1885</v>
      </c>
      <c r="AN138" t="s">
        <v>1886</v>
      </c>
      <c r="AO138" t="s">
        <v>1916</v>
      </c>
      <c r="AP138" t="s">
        <v>1281</v>
      </c>
      <c r="AQ138" t="s">
        <v>1893</v>
      </c>
      <c r="AR138" t="s">
        <v>1315</v>
      </c>
      <c r="AS138" t="s">
        <v>1282</v>
      </c>
      <c r="AT138" t="s">
        <v>1894</v>
      </c>
    </row>
    <row r="139" spans="4:46" x14ac:dyDescent="0.25">
      <c r="D139" t="s">
        <v>1055</v>
      </c>
      <c r="E139" s="177" t="str">
        <f>INDEX(tblBOneExport[[INSTRUMENT]:[ISIN]],MATCH(tblGetStaticData[[#This Row],[ISIN]],tblBOneExport[ISIN],0),1)</f>
        <v>CENTRAL NETWORKS 6.25 10/12/40 EMTN</v>
      </c>
      <c r="F139" s="155" t="str">
        <f>tblGetStaticData[[#This Row],[iPasL2]]&amp; " " &amp; tblGetStaticData[[#This Row],[Tiering]]</f>
        <v>Electric SEN</v>
      </c>
      <c r="G139" s="155" t="s">
        <v>1282</v>
      </c>
      <c r="H139" t="s">
        <v>1358</v>
      </c>
      <c r="I139" t="s">
        <v>1358</v>
      </c>
      <c r="J139" t="s">
        <v>1358</v>
      </c>
      <c r="K139" t="s">
        <v>1051</v>
      </c>
      <c r="L139" t="s">
        <v>1315</v>
      </c>
      <c r="M139" t="s">
        <v>493</v>
      </c>
      <c r="N139" t="s">
        <v>1882</v>
      </c>
      <c r="O139" t="s">
        <v>1360</v>
      </c>
      <c r="P139" t="s">
        <v>1885</v>
      </c>
      <c r="Q139" t="s">
        <v>1886</v>
      </c>
      <c r="R139" t="s">
        <v>1360</v>
      </c>
      <c r="S139" t="s">
        <v>1885</v>
      </c>
      <c r="T139" t="s">
        <v>1886</v>
      </c>
      <c r="U139" t="s">
        <v>1887</v>
      </c>
      <c r="V139" t="s">
        <v>1055</v>
      </c>
      <c r="W139" t="s">
        <v>1051</v>
      </c>
      <c r="X139" t="s">
        <v>1322</v>
      </c>
      <c r="Y139" t="s">
        <v>1358</v>
      </c>
      <c r="Z139" t="s">
        <v>1948</v>
      </c>
      <c r="AA139" t="s">
        <v>493</v>
      </c>
      <c r="AB139" t="s">
        <v>1899</v>
      </c>
      <c r="AC139" t="s">
        <v>1282</v>
      </c>
      <c r="AD139" t="s">
        <v>2124</v>
      </c>
      <c r="AE139" t="s">
        <v>2066</v>
      </c>
      <c r="AF139" t="s">
        <v>2124</v>
      </c>
      <c r="AG139" t="s">
        <v>2066</v>
      </c>
      <c r="AH139" t="s">
        <v>1360</v>
      </c>
      <c r="AI139" t="s">
        <v>1360</v>
      </c>
      <c r="AJ139" t="s">
        <v>1885</v>
      </c>
      <c r="AK139" t="s">
        <v>1886</v>
      </c>
      <c r="AL139" t="s">
        <v>1360</v>
      </c>
      <c r="AM139" t="s">
        <v>1885</v>
      </c>
      <c r="AN139" t="s">
        <v>1886</v>
      </c>
      <c r="AO139" t="s">
        <v>1916</v>
      </c>
      <c r="AP139" t="s">
        <v>1281</v>
      </c>
      <c r="AQ139" t="s">
        <v>1893</v>
      </c>
      <c r="AR139" t="s">
        <v>1315</v>
      </c>
      <c r="AS139" t="s">
        <v>1282</v>
      </c>
      <c r="AT139" t="s">
        <v>1894</v>
      </c>
    </row>
    <row r="140" spans="4:46" x14ac:dyDescent="0.25">
      <c r="D140" t="s">
        <v>1180</v>
      </c>
      <c r="E140" s="177" t="str">
        <f>INDEX(tblBOneExport[[INSTRUMENT]:[ISIN]],MATCH(tblGetStaticData[[#This Row],[ISIN]],tblBOneExport[ISIN],0),1)</f>
        <v>TOTAL CAPITAL 3.875 14/12/18 EMTN</v>
      </c>
      <c r="F140" s="155" t="str">
        <f>tblGetStaticData[[#This Row],[iPasL2]]&amp; " " &amp; tblGetStaticData[[#This Row],[Tiering]]</f>
        <v>Energy SEN</v>
      </c>
      <c r="G140" s="155" t="s">
        <v>1282</v>
      </c>
      <c r="H140" t="s">
        <v>1635</v>
      </c>
      <c r="I140" t="s">
        <v>1635</v>
      </c>
      <c r="J140" t="s">
        <v>1636</v>
      </c>
      <c r="K140" t="s">
        <v>1181</v>
      </c>
      <c r="L140" t="s">
        <v>1293</v>
      </c>
      <c r="M140" t="s">
        <v>493</v>
      </c>
      <c r="N140" t="s">
        <v>1882</v>
      </c>
      <c r="O140" t="s">
        <v>1317</v>
      </c>
      <c r="P140" t="s">
        <v>1316</v>
      </c>
      <c r="Q140" t="s">
        <v>1895</v>
      </c>
      <c r="R140" t="s">
        <v>1317</v>
      </c>
      <c r="S140" t="s">
        <v>1316</v>
      </c>
      <c r="T140" t="s">
        <v>1895</v>
      </c>
      <c r="U140" t="s">
        <v>1887</v>
      </c>
      <c r="V140" t="s">
        <v>1180</v>
      </c>
      <c r="W140" t="s">
        <v>1181</v>
      </c>
      <c r="X140" t="s">
        <v>1635</v>
      </c>
      <c r="Y140" t="s">
        <v>2078</v>
      </c>
      <c r="Z140" t="s">
        <v>2079</v>
      </c>
      <c r="AA140" t="s">
        <v>493</v>
      </c>
      <c r="AB140" t="s">
        <v>1899</v>
      </c>
      <c r="AC140" t="s">
        <v>1282</v>
      </c>
      <c r="AD140" t="s">
        <v>2125</v>
      </c>
      <c r="AE140" t="s">
        <v>1936</v>
      </c>
      <c r="AF140" t="s">
        <v>2125</v>
      </c>
      <c r="AG140" t="s">
        <v>1936</v>
      </c>
      <c r="AH140" t="s">
        <v>1317</v>
      </c>
      <c r="AI140" t="s">
        <v>1317</v>
      </c>
      <c r="AJ140" t="s">
        <v>1316</v>
      </c>
      <c r="AK140" t="s">
        <v>1895</v>
      </c>
      <c r="AL140" t="s">
        <v>1317</v>
      </c>
      <c r="AM140" t="s">
        <v>1316</v>
      </c>
      <c r="AN140" t="s">
        <v>1895</v>
      </c>
      <c r="AO140" t="s">
        <v>1987</v>
      </c>
      <c r="AP140" t="s">
        <v>1293</v>
      </c>
      <c r="AQ140" t="s">
        <v>1408</v>
      </c>
      <c r="AR140" t="s">
        <v>1293</v>
      </c>
      <c r="AS140" t="s">
        <v>1282</v>
      </c>
      <c r="AT140" t="s">
        <v>1894</v>
      </c>
    </row>
    <row r="141" spans="4:46" x14ac:dyDescent="0.25">
      <c r="D141" t="s">
        <v>746</v>
      </c>
      <c r="E141" s="177" t="str">
        <f>INDEX(tblBOneExport[[INSTRUMENT]:[ISIN]],MATCH(tblGetStaticData[[#This Row],[ISIN]],tblBOneExport[ISIN],0),1)</f>
        <v>EXPERIAN FINANCE 4.75 23/11/18 EMTN</v>
      </c>
      <c r="F141" s="155" t="str">
        <f>tblGetStaticData[[#This Row],[iPasL2]]&amp; " " &amp; tblGetStaticData[[#This Row],[Tiering]]</f>
        <v>Consumer Cyclical SEN</v>
      </c>
      <c r="G141" s="155" t="s">
        <v>1282</v>
      </c>
      <c r="H141" t="s">
        <v>1306</v>
      </c>
      <c r="I141" t="s">
        <v>1306</v>
      </c>
      <c r="J141" t="s">
        <v>1306</v>
      </c>
      <c r="K141" t="s">
        <v>747</v>
      </c>
      <c r="L141" t="s">
        <v>1315</v>
      </c>
      <c r="M141" t="s">
        <v>493</v>
      </c>
      <c r="N141" t="s">
        <v>1882</v>
      </c>
      <c r="O141" t="s">
        <v>1360</v>
      </c>
      <c r="P141" t="s">
        <v>1885</v>
      </c>
      <c r="Q141" t="s">
        <v>1886</v>
      </c>
      <c r="R141" t="s">
        <v>1360</v>
      </c>
      <c r="S141" t="s">
        <v>1885</v>
      </c>
      <c r="T141" t="s">
        <v>1886</v>
      </c>
      <c r="U141" t="s">
        <v>1887</v>
      </c>
      <c r="V141" t="s">
        <v>746</v>
      </c>
      <c r="W141" t="s">
        <v>747</v>
      </c>
      <c r="X141" t="s">
        <v>1896</v>
      </c>
      <c r="Y141" t="s">
        <v>2027</v>
      </c>
      <c r="Z141" t="s">
        <v>2126</v>
      </c>
      <c r="AA141" t="s">
        <v>493</v>
      </c>
      <c r="AB141" t="s">
        <v>1899</v>
      </c>
      <c r="AC141" t="s">
        <v>1282</v>
      </c>
      <c r="AD141" t="s">
        <v>2127</v>
      </c>
      <c r="AE141" t="s">
        <v>1936</v>
      </c>
      <c r="AF141" t="s">
        <v>2127</v>
      </c>
      <c r="AG141" t="s">
        <v>1936</v>
      </c>
      <c r="AH141" t="s">
        <v>1360</v>
      </c>
      <c r="AI141" t="s">
        <v>1360</v>
      </c>
      <c r="AJ141" t="s">
        <v>1885</v>
      </c>
      <c r="AK141" t="s">
        <v>1886</v>
      </c>
      <c r="AL141" t="s">
        <v>1360</v>
      </c>
      <c r="AM141" t="s">
        <v>1885</v>
      </c>
      <c r="AN141" t="s">
        <v>1886</v>
      </c>
      <c r="AO141" t="s">
        <v>1916</v>
      </c>
      <c r="AP141" t="s">
        <v>1281</v>
      </c>
      <c r="AQ141" t="s">
        <v>1893</v>
      </c>
      <c r="AR141" t="s">
        <v>1315</v>
      </c>
      <c r="AS141" t="s">
        <v>1282</v>
      </c>
      <c r="AT141" t="s">
        <v>1894</v>
      </c>
    </row>
    <row r="142" spans="4:46" x14ac:dyDescent="0.25">
      <c r="D142" t="s">
        <v>1171</v>
      </c>
      <c r="E142" s="177" t="str">
        <f>INDEX(tblBOneExport[[INSTRUMENT]:[ISIN]],MATCH(tblGetStaticData[[#This Row],[ISIN]],tblBOneExport[ISIN],0),1)</f>
        <v>THAMES WATER UTC 5.5 11/02/41 EMTN</v>
      </c>
      <c r="F142" s="155" t="str">
        <f>tblGetStaticData[[#This Row],[iPasL2]]&amp; " " &amp; tblGetStaticData[[#This Row],[Tiering]]</f>
        <v>Other Utility SEN</v>
      </c>
      <c r="G142" s="155" t="s">
        <v>1282</v>
      </c>
      <c r="H142" t="s">
        <v>1323</v>
      </c>
      <c r="I142" t="s">
        <v>1323</v>
      </c>
      <c r="J142" t="s">
        <v>1323</v>
      </c>
      <c r="K142" t="s">
        <v>1165</v>
      </c>
      <c r="L142" t="s">
        <v>1281</v>
      </c>
      <c r="M142" t="s">
        <v>493</v>
      </c>
      <c r="N142" t="s">
        <v>1882</v>
      </c>
      <c r="O142" t="s">
        <v>1419</v>
      </c>
      <c r="P142" t="s">
        <v>1883</v>
      </c>
      <c r="Q142" t="s">
        <v>1884</v>
      </c>
      <c r="R142" t="s">
        <v>1360</v>
      </c>
      <c r="S142" t="s">
        <v>1885</v>
      </c>
      <c r="T142" t="s">
        <v>1886</v>
      </c>
      <c r="U142" t="s">
        <v>1887</v>
      </c>
      <c r="V142" t="s">
        <v>1171</v>
      </c>
      <c r="W142" t="s">
        <v>1165</v>
      </c>
      <c r="X142" t="s">
        <v>1322</v>
      </c>
      <c r="Y142" t="s">
        <v>1888</v>
      </c>
      <c r="Z142" t="s">
        <v>1888</v>
      </c>
      <c r="AA142" t="s">
        <v>493</v>
      </c>
      <c r="AB142" t="s">
        <v>1889</v>
      </c>
      <c r="AC142" t="s">
        <v>1282</v>
      </c>
      <c r="AD142" t="s">
        <v>2128</v>
      </c>
      <c r="AE142" t="s">
        <v>1929</v>
      </c>
      <c r="AF142" t="s">
        <v>2128</v>
      </c>
      <c r="AG142" t="s">
        <v>1929</v>
      </c>
      <c r="AH142" t="s">
        <v>1419</v>
      </c>
      <c r="AI142" t="s">
        <v>1419</v>
      </c>
      <c r="AJ142" t="s">
        <v>1883</v>
      </c>
      <c r="AK142" t="s">
        <v>1884</v>
      </c>
      <c r="AL142" t="s">
        <v>1360</v>
      </c>
      <c r="AM142" t="s">
        <v>1885</v>
      </c>
      <c r="AN142" t="s">
        <v>1886</v>
      </c>
      <c r="AO142" t="s">
        <v>1892</v>
      </c>
      <c r="AP142" t="s">
        <v>1315</v>
      </c>
      <c r="AQ142" t="s">
        <v>1893</v>
      </c>
      <c r="AR142" t="s">
        <v>1315</v>
      </c>
      <c r="AS142" t="s">
        <v>1282</v>
      </c>
      <c r="AT142" t="s">
        <v>1894</v>
      </c>
    </row>
    <row r="143" spans="4:46" x14ac:dyDescent="0.25">
      <c r="D143" t="s">
        <v>1184</v>
      </c>
      <c r="E143" s="177" t="str">
        <f>INDEX(tblBOneExport[[INSTRUMENT]:[ISIN]],MATCH(tblGetStaticData[[#This Row],[ISIN]],tblBOneExport[ISIN],0),1)</f>
        <v>TOYOTA MTR CRED 4 07/12/17 EMTN</v>
      </c>
      <c r="F143" s="155" t="str">
        <f>tblGetStaticData[[#This Row],[iPasL2]]&amp; " " &amp; tblGetStaticData[[#This Row],[Tiering]]</f>
        <v>Consumer Cyclical SEN</v>
      </c>
      <c r="G143" s="155" t="s">
        <v>1282</v>
      </c>
      <c r="H143" t="s">
        <v>1306</v>
      </c>
      <c r="I143" t="s">
        <v>1306</v>
      </c>
      <c r="J143" t="s">
        <v>1307</v>
      </c>
      <c r="K143" t="s">
        <v>1185</v>
      </c>
      <c r="L143" t="s">
        <v>1293</v>
      </c>
      <c r="M143" t="s">
        <v>493</v>
      </c>
      <c r="N143" t="s">
        <v>1882</v>
      </c>
      <c r="O143" t="s">
        <v>1309</v>
      </c>
      <c r="P143" t="s">
        <v>1960</v>
      </c>
      <c r="Q143" t="s">
        <v>1961</v>
      </c>
      <c r="R143" t="s">
        <v>1309</v>
      </c>
      <c r="S143" t="s">
        <v>1960</v>
      </c>
      <c r="T143" t="s">
        <v>1961</v>
      </c>
      <c r="U143" t="s">
        <v>1962</v>
      </c>
      <c r="V143" t="s">
        <v>1184</v>
      </c>
      <c r="W143" t="s">
        <v>1185</v>
      </c>
      <c r="X143" t="s">
        <v>1932</v>
      </c>
      <c r="Y143" t="s">
        <v>2095</v>
      </c>
      <c r="Z143" t="s">
        <v>2096</v>
      </c>
      <c r="AA143" t="s">
        <v>493</v>
      </c>
      <c r="AB143" t="s">
        <v>1899</v>
      </c>
      <c r="AC143" t="s">
        <v>1282</v>
      </c>
      <c r="AD143" t="s">
        <v>2085</v>
      </c>
      <c r="AE143" t="s">
        <v>1936</v>
      </c>
      <c r="AF143" t="s">
        <v>2085</v>
      </c>
      <c r="AG143" t="s">
        <v>1936</v>
      </c>
      <c r="AH143" t="s">
        <v>1309</v>
      </c>
      <c r="AI143" t="s">
        <v>1309</v>
      </c>
      <c r="AJ143" t="s">
        <v>1960</v>
      </c>
      <c r="AK143" t="s">
        <v>1961</v>
      </c>
      <c r="AL143" t="s">
        <v>1309</v>
      </c>
      <c r="AM143" t="s">
        <v>1960</v>
      </c>
      <c r="AN143" t="s">
        <v>1961</v>
      </c>
      <c r="AO143" t="s">
        <v>1987</v>
      </c>
      <c r="AP143" t="s">
        <v>1408</v>
      </c>
      <c r="AQ143" t="s">
        <v>1332</v>
      </c>
      <c r="AR143" t="s">
        <v>1408</v>
      </c>
      <c r="AS143" t="s">
        <v>1282</v>
      </c>
      <c r="AT143" t="s">
        <v>1894</v>
      </c>
    </row>
    <row r="144" spans="4:46" x14ac:dyDescent="0.25">
      <c r="D144" t="s">
        <v>766</v>
      </c>
      <c r="E144" s="177" t="str">
        <f>INDEX(tblBOneExport[[INSTRUMENT]:[ISIN]],MATCH(tblGetStaticData[[#This Row],[ISIN]],tblBOneExport[ISIN],0),1)</f>
        <v>GATWICK FND LTD 6.5 02/03/41 EMTN</v>
      </c>
      <c r="F144" s="155" t="str">
        <f>tblGetStaticData[[#This Row],[iPasL2]]&amp; " " &amp; tblGetStaticData[[#This Row],[Tiering]]</f>
        <v>Transportation SEN</v>
      </c>
      <c r="G144" s="155" t="s">
        <v>1282</v>
      </c>
      <c r="H144" t="s">
        <v>1348</v>
      </c>
      <c r="I144" t="s">
        <v>1348</v>
      </c>
      <c r="J144" t="s">
        <v>1349</v>
      </c>
      <c r="K144" t="s">
        <v>767</v>
      </c>
      <c r="L144" t="s">
        <v>1315</v>
      </c>
      <c r="M144" t="s">
        <v>493</v>
      </c>
      <c r="N144" t="s">
        <v>1882</v>
      </c>
      <c r="O144" t="s">
        <v>1542</v>
      </c>
      <c r="P144" t="s">
        <v>1541</v>
      </c>
      <c r="Q144" t="s">
        <v>2105</v>
      </c>
      <c r="R144" t="s">
        <v>1360</v>
      </c>
      <c r="S144" t="s">
        <v>1885</v>
      </c>
      <c r="T144" t="s">
        <v>1886</v>
      </c>
      <c r="U144" t="s">
        <v>1887</v>
      </c>
      <c r="V144" t="s">
        <v>766</v>
      </c>
      <c r="W144" t="s">
        <v>767</v>
      </c>
      <c r="X144" t="s">
        <v>1937</v>
      </c>
      <c r="Y144" t="s">
        <v>2067</v>
      </c>
      <c r="Z144" t="s">
        <v>2068</v>
      </c>
      <c r="AA144" t="s">
        <v>493</v>
      </c>
      <c r="AB144" t="s">
        <v>1889</v>
      </c>
      <c r="AC144" t="s">
        <v>1282</v>
      </c>
      <c r="AD144" t="s">
        <v>2129</v>
      </c>
      <c r="AE144" t="s">
        <v>1929</v>
      </c>
      <c r="AF144" t="s">
        <v>2130</v>
      </c>
      <c r="AG144" t="s">
        <v>2131</v>
      </c>
      <c r="AH144" t="s">
        <v>1542</v>
      </c>
      <c r="AI144" t="s">
        <v>1542</v>
      </c>
      <c r="AJ144" t="s">
        <v>1541</v>
      </c>
      <c r="AK144" t="s">
        <v>2105</v>
      </c>
      <c r="AL144" t="s">
        <v>1360</v>
      </c>
      <c r="AM144" t="s">
        <v>1885</v>
      </c>
      <c r="AN144" t="s">
        <v>1886</v>
      </c>
      <c r="AO144" t="s">
        <v>1893</v>
      </c>
      <c r="AP144" t="s">
        <v>1315</v>
      </c>
      <c r="AQ144" t="s">
        <v>1315</v>
      </c>
      <c r="AR144" t="s">
        <v>1315</v>
      </c>
      <c r="AS144" t="s">
        <v>1282</v>
      </c>
      <c r="AT144" t="s">
        <v>1894</v>
      </c>
    </row>
    <row r="145" spans="4:46" x14ac:dyDescent="0.25">
      <c r="D145" t="s">
        <v>602</v>
      </c>
      <c r="E145" s="177" t="str">
        <f>INDEX(tblBOneExport[[INSTRUMENT]:[ISIN]],MATCH(tblGetStaticData[[#This Row],[ISIN]],tblBOneExport[ISIN],0),1)</f>
        <v>BP CAPITAL PLC 4.325 10/12/18 EMTN</v>
      </c>
      <c r="F145" s="155" t="str">
        <f>tblGetStaticData[[#This Row],[iPasL2]]&amp; " " &amp; tblGetStaticData[[#This Row],[Tiering]]</f>
        <v>Energy SEN</v>
      </c>
      <c r="G145" s="155" t="s">
        <v>1282</v>
      </c>
      <c r="H145" t="s">
        <v>1635</v>
      </c>
      <c r="I145" t="s">
        <v>1635</v>
      </c>
      <c r="J145" t="s">
        <v>1636</v>
      </c>
      <c r="K145" t="s">
        <v>603</v>
      </c>
      <c r="L145" t="s">
        <v>1281</v>
      </c>
      <c r="M145" t="s">
        <v>493</v>
      </c>
      <c r="N145" t="s">
        <v>1882</v>
      </c>
      <c r="O145" t="s">
        <v>1360</v>
      </c>
      <c r="P145" t="s">
        <v>1885</v>
      </c>
      <c r="Q145" t="s">
        <v>1886</v>
      </c>
      <c r="R145" t="s">
        <v>1360</v>
      </c>
      <c r="S145" t="s">
        <v>1885</v>
      </c>
      <c r="T145" t="s">
        <v>1886</v>
      </c>
      <c r="U145" t="s">
        <v>1887</v>
      </c>
      <c r="V145" t="s">
        <v>602</v>
      </c>
      <c r="W145" t="s">
        <v>603</v>
      </c>
      <c r="X145" t="s">
        <v>1635</v>
      </c>
      <c r="Y145" t="s">
        <v>2078</v>
      </c>
      <c r="Z145" t="s">
        <v>2079</v>
      </c>
      <c r="AA145" t="s">
        <v>493</v>
      </c>
      <c r="AB145" t="s">
        <v>1899</v>
      </c>
      <c r="AC145" t="s">
        <v>1282</v>
      </c>
      <c r="AD145" t="s">
        <v>2132</v>
      </c>
      <c r="AE145" t="s">
        <v>1936</v>
      </c>
      <c r="AF145" t="s">
        <v>2132</v>
      </c>
      <c r="AG145" t="s">
        <v>1936</v>
      </c>
      <c r="AH145" t="s">
        <v>1360</v>
      </c>
      <c r="AI145" t="s">
        <v>1360</v>
      </c>
      <c r="AJ145" t="s">
        <v>1885</v>
      </c>
      <c r="AK145" t="s">
        <v>1886</v>
      </c>
      <c r="AL145" t="s">
        <v>1360</v>
      </c>
      <c r="AM145" t="s">
        <v>1885</v>
      </c>
      <c r="AN145" t="s">
        <v>1886</v>
      </c>
      <c r="AO145" t="s">
        <v>1909</v>
      </c>
      <c r="AP145" t="s">
        <v>1281</v>
      </c>
      <c r="AQ145" t="s">
        <v>1332</v>
      </c>
      <c r="AR145" t="s">
        <v>1332</v>
      </c>
      <c r="AS145" t="s">
        <v>1282</v>
      </c>
      <c r="AT145" t="s">
        <v>1894</v>
      </c>
    </row>
    <row r="146" spans="4:46" x14ac:dyDescent="0.25">
      <c r="D146" t="s">
        <v>864</v>
      </c>
      <c r="E146" s="177" t="str">
        <f>INDEX(tblBOneExport[[INSTRUMENT]:[ISIN]],MATCH(tblGetStaticData[[#This Row],[ISIN]],tblBOneExport[ISIN],0),1)</f>
        <v>IPIC GMTN LTD 6.875 14/03/26 EMTN</v>
      </c>
      <c r="F146" s="155" t="str">
        <f>tblGetStaticData[[#This Row],[iPasL2]]&amp; " " &amp; tblGetStaticData[[#This Row],[Tiering]]</f>
        <v>Foreign Agency SEN</v>
      </c>
      <c r="G146" s="155" t="s">
        <v>1282</v>
      </c>
      <c r="H146" t="s">
        <v>1331</v>
      </c>
      <c r="I146" t="s">
        <v>1331</v>
      </c>
      <c r="J146" t="s">
        <v>1331</v>
      </c>
      <c r="K146" t="s">
        <v>865</v>
      </c>
      <c r="L146" t="s">
        <v>1303</v>
      </c>
      <c r="M146" t="s">
        <v>493</v>
      </c>
      <c r="N146" t="s">
        <v>1882</v>
      </c>
      <c r="O146" t="s">
        <v>1419</v>
      </c>
      <c r="P146" t="s">
        <v>1883</v>
      </c>
      <c r="Q146" t="s">
        <v>1884</v>
      </c>
      <c r="R146" t="s">
        <v>2133</v>
      </c>
      <c r="S146" t="s">
        <v>2134</v>
      </c>
      <c r="T146" t="s">
        <v>1884</v>
      </c>
      <c r="U146" t="s">
        <v>2135</v>
      </c>
      <c r="V146" t="s">
        <v>864</v>
      </c>
      <c r="W146" t="s">
        <v>865</v>
      </c>
      <c r="X146" t="s">
        <v>1942</v>
      </c>
      <c r="Y146" t="s">
        <v>182</v>
      </c>
      <c r="Z146" t="s">
        <v>1970</v>
      </c>
      <c r="AA146" t="s">
        <v>493</v>
      </c>
      <c r="AB146" t="s">
        <v>1899</v>
      </c>
      <c r="AC146" t="s">
        <v>1282</v>
      </c>
      <c r="AD146" t="s">
        <v>2136</v>
      </c>
      <c r="AE146" t="s">
        <v>1951</v>
      </c>
      <c r="AF146" t="s">
        <v>2136</v>
      </c>
      <c r="AG146" t="s">
        <v>1951</v>
      </c>
      <c r="AH146" t="s">
        <v>1419</v>
      </c>
      <c r="AI146" t="s">
        <v>1419</v>
      </c>
      <c r="AJ146" t="s">
        <v>1883</v>
      </c>
      <c r="AK146" t="s">
        <v>1884</v>
      </c>
      <c r="AL146" t="s">
        <v>2133</v>
      </c>
      <c r="AM146" t="s">
        <v>2134</v>
      </c>
      <c r="AN146" t="s">
        <v>1884</v>
      </c>
      <c r="AO146" t="s">
        <v>1999</v>
      </c>
      <c r="AP146" t="s">
        <v>1303</v>
      </c>
      <c r="AQ146" t="s">
        <v>1303</v>
      </c>
      <c r="AR146" t="s">
        <v>1303</v>
      </c>
      <c r="AS146" t="s">
        <v>1282</v>
      </c>
      <c r="AT146" t="s">
        <v>1894</v>
      </c>
    </row>
    <row r="147" spans="4:46" x14ac:dyDescent="0.25">
      <c r="D147" t="s">
        <v>834</v>
      </c>
      <c r="E147" s="177" t="str">
        <f>INDEX(tblBOneExport[[INSTRUMENT]:[ISIN]],MATCH(tblGetStaticData[[#This Row],[ISIN]],tblBOneExport[ISIN],0),1)</f>
        <v>BAA FUNDING LTD 5.875 13/05/41 EMTN</v>
      </c>
      <c r="F147" s="155" t="str">
        <f>tblGetStaticData[[#This Row],[iPasL2]]&amp; " " &amp; tblGetStaticData[[#This Row],[Tiering]]</f>
        <v>Transportation SEN</v>
      </c>
      <c r="G147" s="155" t="s">
        <v>1282</v>
      </c>
      <c r="H147" t="s">
        <v>1348</v>
      </c>
      <c r="I147" t="s">
        <v>1348</v>
      </c>
      <c r="J147" t="s">
        <v>1349</v>
      </c>
      <c r="K147" t="s">
        <v>828</v>
      </c>
      <c r="L147" t="s">
        <v>1281</v>
      </c>
      <c r="M147" t="s">
        <v>493</v>
      </c>
      <c r="N147" t="s">
        <v>1882</v>
      </c>
      <c r="O147" t="s">
        <v>1360</v>
      </c>
      <c r="P147" t="s">
        <v>1885</v>
      </c>
      <c r="Q147" t="s">
        <v>1886</v>
      </c>
      <c r="R147" t="s">
        <v>1360</v>
      </c>
      <c r="S147" t="s">
        <v>1885</v>
      </c>
      <c r="T147" t="s">
        <v>1886</v>
      </c>
      <c r="U147" t="s">
        <v>1887</v>
      </c>
      <c r="V147" t="s">
        <v>834</v>
      </c>
      <c r="W147" t="s">
        <v>828</v>
      </c>
      <c r="X147" t="s">
        <v>1937</v>
      </c>
      <c r="Y147" t="s">
        <v>2067</v>
      </c>
      <c r="Z147" t="s">
        <v>2068</v>
      </c>
      <c r="AA147" t="s">
        <v>493</v>
      </c>
      <c r="AB147" t="s">
        <v>1889</v>
      </c>
      <c r="AC147" t="s">
        <v>1282</v>
      </c>
      <c r="AD147" t="s">
        <v>2137</v>
      </c>
      <c r="AE147" t="s">
        <v>1929</v>
      </c>
      <c r="AF147" t="s">
        <v>2138</v>
      </c>
      <c r="AG147" t="s">
        <v>2131</v>
      </c>
      <c r="AH147" t="s">
        <v>1542</v>
      </c>
      <c r="AI147" t="s">
        <v>1360</v>
      </c>
      <c r="AJ147" t="s">
        <v>1885</v>
      </c>
      <c r="AK147" t="s">
        <v>1886</v>
      </c>
      <c r="AL147" t="s">
        <v>1360</v>
      </c>
      <c r="AM147" t="s">
        <v>1885</v>
      </c>
      <c r="AN147" t="s">
        <v>1886</v>
      </c>
      <c r="AO147" t="s">
        <v>1893</v>
      </c>
      <c r="AP147" t="s">
        <v>1281</v>
      </c>
      <c r="AQ147" t="s">
        <v>1281</v>
      </c>
      <c r="AR147" t="s">
        <v>1281</v>
      </c>
      <c r="AS147" t="s">
        <v>1282</v>
      </c>
      <c r="AT147" t="s">
        <v>1894</v>
      </c>
    </row>
    <row r="148" spans="4:46" x14ac:dyDescent="0.25">
      <c r="D148" t="s">
        <v>1057</v>
      </c>
      <c r="E148" s="177" t="str">
        <f>INDEX(tblBOneExport[[INSTRUMENT]:[ISIN]],MATCH(tblGetStaticData[[#This Row],[ISIN]],tblBOneExport[ISIN],0),1)</f>
        <v>WESTERN POWER 5.75 16/04/32 EMTN</v>
      </c>
      <c r="F148" s="155" t="str">
        <f>tblGetStaticData[[#This Row],[iPasL2]]&amp; " " &amp; tblGetStaticData[[#This Row],[Tiering]]</f>
        <v>Electric SEN</v>
      </c>
      <c r="G148" s="155" t="s">
        <v>1282</v>
      </c>
      <c r="H148" t="s">
        <v>1358</v>
      </c>
      <c r="I148" t="s">
        <v>1358</v>
      </c>
      <c r="J148" t="s">
        <v>1358</v>
      </c>
      <c r="K148" t="s">
        <v>1051</v>
      </c>
      <c r="L148" t="s">
        <v>1315</v>
      </c>
      <c r="M148" t="s">
        <v>493</v>
      </c>
      <c r="N148" t="s">
        <v>1882</v>
      </c>
      <c r="O148" t="s">
        <v>1360</v>
      </c>
      <c r="P148" t="s">
        <v>1885</v>
      </c>
      <c r="Q148" t="s">
        <v>1886</v>
      </c>
      <c r="R148" t="s">
        <v>1360</v>
      </c>
      <c r="S148" t="s">
        <v>1885</v>
      </c>
      <c r="T148" t="s">
        <v>1886</v>
      </c>
      <c r="U148" t="s">
        <v>1887</v>
      </c>
      <c r="V148" t="s">
        <v>1057</v>
      </c>
      <c r="W148" t="s">
        <v>1051</v>
      </c>
      <c r="X148" t="s">
        <v>1322</v>
      </c>
      <c r="Y148" t="s">
        <v>1358</v>
      </c>
      <c r="Z148" t="s">
        <v>2074</v>
      </c>
      <c r="AA148" t="s">
        <v>493</v>
      </c>
      <c r="AB148" t="s">
        <v>1899</v>
      </c>
      <c r="AC148" t="s">
        <v>1282</v>
      </c>
      <c r="AD148" t="s">
        <v>2139</v>
      </c>
      <c r="AE148" t="s">
        <v>1989</v>
      </c>
      <c r="AF148" t="s">
        <v>2139</v>
      </c>
      <c r="AG148" t="s">
        <v>1989</v>
      </c>
      <c r="AH148" t="s">
        <v>1360</v>
      </c>
      <c r="AI148" t="s">
        <v>1360</v>
      </c>
      <c r="AJ148" t="s">
        <v>1885</v>
      </c>
      <c r="AK148" t="s">
        <v>1886</v>
      </c>
      <c r="AL148" t="s">
        <v>1360</v>
      </c>
      <c r="AM148" t="s">
        <v>1885</v>
      </c>
      <c r="AN148" t="s">
        <v>1886</v>
      </c>
      <c r="AO148" t="s">
        <v>1916</v>
      </c>
      <c r="AP148" t="s">
        <v>1281</v>
      </c>
      <c r="AQ148" t="s">
        <v>1893</v>
      </c>
      <c r="AR148" t="s">
        <v>1315</v>
      </c>
      <c r="AS148" t="s">
        <v>1282</v>
      </c>
      <c r="AT148" t="s">
        <v>1894</v>
      </c>
    </row>
    <row r="149" spans="4:46" x14ac:dyDescent="0.25">
      <c r="D149" t="s">
        <v>992</v>
      </c>
      <c r="E149" s="177" t="str">
        <f>INDEX(tblBOneExport[[INSTRUMENT]:[ISIN]],MATCH(tblGetStaticData[[#This Row],[ISIN]],tblBOneExport[ISIN],0),1)</f>
        <v>NEXT PLC 5.375 26/10/21</v>
      </c>
      <c r="F149" s="155" t="str">
        <f>tblGetStaticData[[#This Row],[iPasL2]]&amp; " " &amp; tblGetStaticData[[#This Row],[Tiering]]</f>
        <v>Consumer Cyclical SEN</v>
      </c>
      <c r="G149" s="155" t="s">
        <v>1282</v>
      </c>
      <c r="H149" t="s">
        <v>1306</v>
      </c>
      <c r="I149" t="s">
        <v>1306</v>
      </c>
      <c r="J149" t="s">
        <v>1422</v>
      </c>
      <c r="K149" t="s">
        <v>993</v>
      </c>
      <c r="L149" t="s">
        <v>1288</v>
      </c>
      <c r="M149" t="s">
        <v>493</v>
      </c>
      <c r="N149" t="s">
        <v>1882</v>
      </c>
      <c r="O149" t="s">
        <v>1360</v>
      </c>
      <c r="P149" t="s">
        <v>1885</v>
      </c>
      <c r="Q149" t="s">
        <v>1886</v>
      </c>
      <c r="R149" t="s">
        <v>1360</v>
      </c>
      <c r="S149" t="s">
        <v>1885</v>
      </c>
      <c r="T149" t="s">
        <v>1886</v>
      </c>
      <c r="U149" t="s">
        <v>1887</v>
      </c>
      <c r="V149" t="s">
        <v>992</v>
      </c>
      <c r="W149" t="s">
        <v>993</v>
      </c>
      <c r="X149" t="s">
        <v>1932</v>
      </c>
      <c r="Y149" t="s">
        <v>1996</v>
      </c>
      <c r="Z149" t="s">
        <v>2140</v>
      </c>
      <c r="AA149" t="s">
        <v>493</v>
      </c>
      <c r="AB149" t="s">
        <v>1899</v>
      </c>
      <c r="AC149" t="s">
        <v>1282</v>
      </c>
      <c r="AD149" t="s">
        <v>2141</v>
      </c>
      <c r="AE149" t="s">
        <v>1966</v>
      </c>
      <c r="AF149" t="s">
        <v>2141</v>
      </c>
      <c r="AG149" t="s">
        <v>1966</v>
      </c>
      <c r="AH149" t="s">
        <v>1360</v>
      </c>
      <c r="AI149" t="s">
        <v>1360</v>
      </c>
      <c r="AJ149" t="s">
        <v>1885</v>
      </c>
      <c r="AK149" t="s">
        <v>1886</v>
      </c>
      <c r="AL149" t="s">
        <v>1360</v>
      </c>
      <c r="AM149" t="s">
        <v>1885</v>
      </c>
      <c r="AN149" t="s">
        <v>1886</v>
      </c>
      <c r="AO149" t="s">
        <v>1940</v>
      </c>
      <c r="AP149" t="s">
        <v>1288</v>
      </c>
      <c r="AQ149" t="s">
        <v>1953</v>
      </c>
      <c r="AR149" t="s">
        <v>1288</v>
      </c>
      <c r="AS149" t="s">
        <v>1282</v>
      </c>
      <c r="AT149" t="s">
        <v>1894</v>
      </c>
    </row>
    <row r="150" spans="4:46" x14ac:dyDescent="0.25">
      <c r="D150" t="s">
        <v>1042</v>
      </c>
      <c r="E150" s="177" t="str">
        <f>INDEX(tblBOneExport[[INSTRUMENT]:[ISIN]],MATCH(tblGetStaticData[[#This Row],[ISIN]],tblBOneExport[ISIN],0),1)</f>
        <v>PORTERBROOK RAIL 5.5 20/04/19 EMTN</v>
      </c>
      <c r="F150" s="155" t="str">
        <f>tblGetStaticData[[#This Row],[iPasL2]]&amp; " " &amp; tblGetStaticData[[#This Row],[Tiering]]</f>
        <v>Transportation SEN</v>
      </c>
      <c r="G150" s="155" t="s">
        <v>1282</v>
      </c>
      <c r="H150" t="s">
        <v>1348</v>
      </c>
      <c r="I150" t="s">
        <v>1348</v>
      </c>
      <c r="J150" t="s">
        <v>1615</v>
      </c>
      <c r="K150" t="s">
        <v>1043</v>
      </c>
      <c r="L150" t="s">
        <v>1288</v>
      </c>
      <c r="M150" t="s">
        <v>493</v>
      </c>
      <c r="N150" t="s">
        <v>1882</v>
      </c>
      <c r="O150" t="s">
        <v>1542</v>
      </c>
      <c r="P150" t="s">
        <v>1541</v>
      </c>
      <c r="Q150" t="s">
        <v>2105</v>
      </c>
      <c r="R150" t="s">
        <v>1360</v>
      </c>
      <c r="S150" t="s">
        <v>1885</v>
      </c>
      <c r="T150" t="s">
        <v>1886</v>
      </c>
      <c r="U150" t="s">
        <v>1887</v>
      </c>
      <c r="V150" t="s">
        <v>1042</v>
      </c>
      <c r="W150" t="s">
        <v>1043</v>
      </c>
      <c r="X150" t="s">
        <v>1937</v>
      </c>
      <c r="Y150" t="s">
        <v>1348</v>
      </c>
      <c r="Z150" t="s">
        <v>2034</v>
      </c>
      <c r="AA150" t="s">
        <v>493</v>
      </c>
      <c r="AB150" t="s">
        <v>1889</v>
      </c>
      <c r="AC150" t="s">
        <v>1282</v>
      </c>
      <c r="AD150" t="s">
        <v>2142</v>
      </c>
      <c r="AE150" t="s">
        <v>1984</v>
      </c>
      <c r="AF150" t="s">
        <v>2142</v>
      </c>
      <c r="AG150" t="s">
        <v>1984</v>
      </c>
      <c r="AH150" t="s">
        <v>1542</v>
      </c>
      <c r="AI150" t="s">
        <v>1542</v>
      </c>
      <c r="AJ150" t="s">
        <v>1541</v>
      </c>
      <c r="AK150" t="s">
        <v>2105</v>
      </c>
      <c r="AL150" t="s">
        <v>1360</v>
      </c>
      <c r="AM150" t="s">
        <v>1885</v>
      </c>
      <c r="AN150" t="s">
        <v>1886</v>
      </c>
      <c r="AO150" t="s">
        <v>1893</v>
      </c>
      <c r="AP150" t="s">
        <v>1288</v>
      </c>
      <c r="AQ150" t="s">
        <v>1893</v>
      </c>
      <c r="AR150" t="s">
        <v>1873</v>
      </c>
      <c r="AS150" t="s">
        <v>1282</v>
      </c>
      <c r="AT150" t="s">
        <v>1894</v>
      </c>
    </row>
    <row r="151" spans="4:46" x14ac:dyDescent="0.25">
      <c r="D151" t="s">
        <v>846</v>
      </c>
      <c r="E151" s="177" t="str">
        <f>INDEX(tblBOneExport[[INSTRUMENT]:[ISIN]],MATCH(tblGetStaticData[[#This Row],[ISIN]],tblBOneExport[ISIN],0),1)</f>
        <v>SPD FINANCE UK 5.875 17/07/26</v>
      </c>
      <c r="F151" s="155" t="str">
        <f>tblGetStaticData[[#This Row],[iPasL2]]&amp; " " &amp; tblGetStaticData[[#This Row],[Tiering]]</f>
        <v>Electric SEN</v>
      </c>
      <c r="G151" s="155" t="s">
        <v>1282</v>
      </c>
      <c r="H151" t="s">
        <v>1358</v>
      </c>
      <c r="I151" t="s">
        <v>1358</v>
      </c>
      <c r="J151" t="s">
        <v>1358</v>
      </c>
      <c r="K151" t="s">
        <v>847</v>
      </c>
      <c r="L151" t="s">
        <v>1315</v>
      </c>
      <c r="M151" t="s">
        <v>493</v>
      </c>
      <c r="N151" t="s">
        <v>1882</v>
      </c>
      <c r="O151" t="s">
        <v>1360</v>
      </c>
      <c r="P151" t="s">
        <v>1885</v>
      </c>
      <c r="Q151" t="s">
        <v>1886</v>
      </c>
      <c r="R151" t="s">
        <v>1360</v>
      </c>
      <c r="S151" t="s">
        <v>1885</v>
      </c>
      <c r="T151" t="s">
        <v>1886</v>
      </c>
      <c r="U151" t="s">
        <v>1887</v>
      </c>
      <c r="V151" t="s">
        <v>846</v>
      </c>
      <c r="W151" t="s">
        <v>847</v>
      </c>
      <c r="X151" t="s">
        <v>1322</v>
      </c>
      <c r="Y151" t="s">
        <v>1358</v>
      </c>
      <c r="Z151" t="s">
        <v>1948</v>
      </c>
      <c r="AA151" t="s">
        <v>493</v>
      </c>
      <c r="AB151" t="s">
        <v>1899</v>
      </c>
      <c r="AC151" t="s">
        <v>1282</v>
      </c>
      <c r="AD151" t="s">
        <v>2143</v>
      </c>
      <c r="AE151" t="s">
        <v>1951</v>
      </c>
      <c r="AF151" t="s">
        <v>2143</v>
      </c>
      <c r="AG151" t="s">
        <v>1951</v>
      </c>
      <c r="AH151" t="s">
        <v>1360</v>
      </c>
      <c r="AI151" t="s">
        <v>1360</v>
      </c>
      <c r="AJ151" t="s">
        <v>1885</v>
      </c>
      <c r="AK151" t="s">
        <v>1886</v>
      </c>
      <c r="AL151" t="s">
        <v>1360</v>
      </c>
      <c r="AM151" t="s">
        <v>1885</v>
      </c>
      <c r="AN151" t="s">
        <v>1886</v>
      </c>
      <c r="AO151" t="s">
        <v>1916</v>
      </c>
      <c r="AP151" t="s">
        <v>1315</v>
      </c>
      <c r="AQ151" t="s">
        <v>1893</v>
      </c>
      <c r="AR151" t="s">
        <v>1315</v>
      </c>
      <c r="AS151" t="s">
        <v>1282</v>
      </c>
      <c r="AT151" t="s">
        <v>1894</v>
      </c>
    </row>
    <row r="152" spans="4:46" x14ac:dyDescent="0.25">
      <c r="D152" t="s">
        <v>697</v>
      </c>
      <c r="E152" s="177" t="str">
        <f>INDEX(tblBOneExport[[INSTRUMENT]:[ISIN]],MATCH(tblGetStaticData[[#This Row],[ISIN]],tblBOneExport[ISIN],0),1)</f>
        <v>EDF NRG NET EPN 4.75 30/09/21 EMTN</v>
      </c>
      <c r="F152" s="155" t="str">
        <f>tblGetStaticData[[#This Row],[iPasL2]]&amp; " " &amp; tblGetStaticData[[#This Row],[Tiering]]</f>
        <v>Electric SEN</v>
      </c>
      <c r="G152" s="155" t="s">
        <v>1282</v>
      </c>
      <c r="H152" t="s">
        <v>1358</v>
      </c>
      <c r="I152" t="s">
        <v>1358</v>
      </c>
      <c r="J152" t="s">
        <v>1358</v>
      </c>
      <c r="K152" t="s">
        <v>691</v>
      </c>
      <c r="L152" t="s">
        <v>1315</v>
      </c>
      <c r="M152" t="s">
        <v>493</v>
      </c>
      <c r="N152" t="s">
        <v>1882</v>
      </c>
      <c r="O152" t="s">
        <v>1360</v>
      </c>
      <c r="P152" t="s">
        <v>1885</v>
      </c>
      <c r="Q152" t="s">
        <v>1886</v>
      </c>
      <c r="R152" t="s">
        <v>1360</v>
      </c>
      <c r="S152" t="s">
        <v>1885</v>
      </c>
      <c r="T152" t="s">
        <v>1886</v>
      </c>
      <c r="U152" t="s">
        <v>1887</v>
      </c>
      <c r="V152" t="s">
        <v>697</v>
      </c>
      <c r="W152" t="s">
        <v>691</v>
      </c>
      <c r="X152" t="s">
        <v>1322</v>
      </c>
      <c r="Y152" t="s">
        <v>1358</v>
      </c>
      <c r="Z152" t="s">
        <v>1948</v>
      </c>
      <c r="AA152" t="s">
        <v>493</v>
      </c>
      <c r="AB152" t="s">
        <v>1899</v>
      </c>
      <c r="AC152" t="s">
        <v>1282</v>
      </c>
      <c r="AD152" t="s">
        <v>2144</v>
      </c>
      <c r="AE152" t="s">
        <v>1966</v>
      </c>
      <c r="AF152" t="s">
        <v>2144</v>
      </c>
      <c r="AG152" t="s">
        <v>1966</v>
      </c>
      <c r="AH152" t="s">
        <v>1360</v>
      </c>
      <c r="AI152" t="s">
        <v>1360</v>
      </c>
      <c r="AJ152" t="s">
        <v>1885</v>
      </c>
      <c r="AK152" t="s">
        <v>1886</v>
      </c>
      <c r="AL152" t="s">
        <v>1360</v>
      </c>
      <c r="AM152" t="s">
        <v>1885</v>
      </c>
      <c r="AN152" t="s">
        <v>1886</v>
      </c>
      <c r="AO152" t="s">
        <v>1916</v>
      </c>
      <c r="AP152" t="s">
        <v>1315</v>
      </c>
      <c r="AQ152" t="s">
        <v>1315</v>
      </c>
      <c r="AR152" t="s">
        <v>1315</v>
      </c>
      <c r="AS152" t="s">
        <v>1282</v>
      </c>
      <c r="AT152" t="s">
        <v>1894</v>
      </c>
    </row>
    <row r="153" spans="4:46" x14ac:dyDescent="0.25">
      <c r="D153" t="s">
        <v>522</v>
      </c>
      <c r="E153" s="177" t="str">
        <f>INDEX(tblBOneExport[[INSTRUMENT]:[ISIN]],MATCH(tblGetStaticData[[#This Row],[ISIN]],tblBOneExport[ISIN],0),1)</f>
        <v>AMERICA MOVIL SA 5 27/10/26</v>
      </c>
      <c r="F153" s="155" t="str">
        <f>tblGetStaticData[[#This Row],[iPasL2]]&amp; " " &amp; tblGetStaticData[[#This Row],[Tiering]]</f>
        <v>Communications SEN</v>
      </c>
      <c r="G153" s="155" t="s">
        <v>1282</v>
      </c>
      <c r="H153" t="s">
        <v>1312</v>
      </c>
      <c r="I153" t="s">
        <v>1312</v>
      </c>
      <c r="J153" t="s">
        <v>1312</v>
      </c>
      <c r="K153" t="s">
        <v>518</v>
      </c>
      <c r="L153" t="s">
        <v>1281</v>
      </c>
      <c r="M153" t="s">
        <v>493</v>
      </c>
      <c r="N153" t="s">
        <v>1882</v>
      </c>
      <c r="O153" t="s">
        <v>1620</v>
      </c>
      <c r="P153" t="s">
        <v>1619</v>
      </c>
      <c r="Q153" t="s">
        <v>1884</v>
      </c>
      <c r="R153" t="s">
        <v>1620</v>
      </c>
      <c r="S153" t="s">
        <v>1619</v>
      </c>
      <c r="T153" t="s">
        <v>1884</v>
      </c>
      <c r="U153" t="s">
        <v>1993</v>
      </c>
      <c r="V153" t="s">
        <v>522</v>
      </c>
      <c r="W153" t="s">
        <v>518</v>
      </c>
      <c r="X153" t="s">
        <v>1312</v>
      </c>
      <c r="Y153" t="s">
        <v>1313</v>
      </c>
      <c r="Z153" t="s">
        <v>2112</v>
      </c>
      <c r="AA153" t="s">
        <v>493</v>
      </c>
      <c r="AB153" t="s">
        <v>1899</v>
      </c>
      <c r="AC153" t="s">
        <v>1282</v>
      </c>
      <c r="AD153" t="s">
        <v>2145</v>
      </c>
      <c r="AE153" t="s">
        <v>1951</v>
      </c>
      <c r="AF153" t="s">
        <v>2145</v>
      </c>
      <c r="AG153" t="s">
        <v>1951</v>
      </c>
      <c r="AH153" t="s">
        <v>1620</v>
      </c>
      <c r="AI153" t="s">
        <v>1620</v>
      </c>
      <c r="AJ153" t="s">
        <v>1619</v>
      </c>
      <c r="AK153" t="s">
        <v>1884</v>
      </c>
      <c r="AL153" t="s">
        <v>1620</v>
      </c>
      <c r="AM153" t="s">
        <v>1619</v>
      </c>
      <c r="AN153" t="s">
        <v>1884</v>
      </c>
      <c r="AO153" t="s">
        <v>1892</v>
      </c>
      <c r="AP153" t="s">
        <v>1281</v>
      </c>
      <c r="AQ153" t="s">
        <v>1281</v>
      </c>
      <c r="AR153" t="s">
        <v>1281</v>
      </c>
      <c r="AS153" t="s">
        <v>1282</v>
      </c>
      <c r="AT153" t="s">
        <v>1894</v>
      </c>
    </row>
    <row r="154" spans="4:46" x14ac:dyDescent="0.25">
      <c r="D154" t="s">
        <v>1249</v>
      </c>
      <c r="E154" s="177" t="str">
        <f>INDEX(tblBOneExport[[INSTRUMENT]:[ISIN]],MATCH(tblGetStaticData[[#This Row],[ISIN]],tblBOneExport[ISIN],0),1)</f>
        <v>WALES &amp; WEST 5 07/03/28 EMTN</v>
      </c>
      <c r="F154" s="155" t="str">
        <f>tblGetStaticData[[#This Row],[iPasL2]]&amp; " " &amp; tblGetStaticData[[#This Row],[Tiering]]</f>
        <v>Natural Gas SEN</v>
      </c>
      <c r="G154" s="155" t="s">
        <v>1282</v>
      </c>
      <c r="H154" t="s">
        <v>1326</v>
      </c>
      <c r="I154" t="s">
        <v>1326</v>
      </c>
      <c r="J154" t="s">
        <v>1326</v>
      </c>
      <c r="K154" t="s">
        <v>1247</v>
      </c>
      <c r="L154" t="s">
        <v>1281</v>
      </c>
      <c r="M154" t="s">
        <v>493</v>
      </c>
      <c r="N154" t="s">
        <v>1882</v>
      </c>
      <c r="O154" t="s">
        <v>1360</v>
      </c>
      <c r="P154" t="s">
        <v>1885</v>
      </c>
      <c r="Q154" t="s">
        <v>1886</v>
      </c>
      <c r="R154" t="s">
        <v>1360</v>
      </c>
      <c r="S154" t="s">
        <v>1885</v>
      </c>
      <c r="T154" t="s">
        <v>1886</v>
      </c>
      <c r="U154" t="s">
        <v>1887</v>
      </c>
      <c r="V154" t="s">
        <v>1249</v>
      </c>
      <c r="W154" t="s">
        <v>1247</v>
      </c>
      <c r="X154" t="s">
        <v>1322</v>
      </c>
      <c r="Y154" t="s">
        <v>2042</v>
      </c>
      <c r="Z154" t="s">
        <v>2043</v>
      </c>
      <c r="AA154" t="s">
        <v>493</v>
      </c>
      <c r="AB154" t="s">
        <v>1889</v>
      </c>
      <c r="AC154" t="s">
        <v>1282</v>
      </c>
      <c r="AD154" t="s">
        <v>2146</v>
      </c>
      <c r="AE154" t="s">
        <v>1923</v>
      </c>
      <c r="AF154" t="s">
        <v>2146</v>
      </c>
      <c r="AG154" t="s">
        <v>1923</v>
      </c>
      <c r="AH154" t="s">
        <v>1360</v>
      </c>
      <c r="AI154" t="s">
        <v>1360</v>
      </c>
      <c r="AJ154" t="s">
        <v>1885</v>
      </c>
      <c r="AK154" t="s">
        <v>1886</v>
      </c>
      <c r="AL154" t="s">
        <v>1360</v>
      </c>
      <c r="AM154" t="s">
        <v>1885</v>
      </c>
      <c r="AN154" t="s">
        <v>1886</v>
      </c>
      <c r="AO154" t="s">
        <v>1893</v>
      </c>
      <c r="AP154" t="s">
        <v>1281</v>
      </c>
      <c r="AQ154" t="s">
        <v>1281</v>
      </c>
      <c r="AR154" t="s">
        <v>1281</v>
      </c>
      <c r="AS154" t="s">
        <v>1282</v>
      </c>
      <c r="AT154" t="s">
        <v>1894</v>
      </c>
    </row>
    <row r="155" spans="4:46" x14ac:dyDescent="0.25">
      <c r="D155" t="s">
        <v>1246</v>
      </c>
      <c r="E155" s="177" t="str">
        <f>INDEX(tblBOneExport[[INSTRUMENT]:[ISIN]],MATCH(tblGetStaticData[[#This Row],[ISIN]],tblBOneExport[ISIN],0),1)</f>
        <v>WALES &amp; WEST 4.625 13/12/23 EMTN</v>
      </c>
      <c r="F155" s="155" t="str">
        <f>tblGetStaticData[[#This Row],[iPasL2]]&amp; " " &amp; tblGetStaticData[[#This Row],[Tiering]]</f>
        <v>Natural Gas SEN</v>
      </c>
      <c r="G155" s="155" t="s">
        <v>1282</v>
      </c>
      <c r="H155" t="s">
        <v>1326</v>
      </c>
      <c r="I155" t="s">
        <v>1326</v>
      </c>
      <c r="J155" t="s">
        <v>1326</v>
      </c>
      <c r="K155" t="s">
        <v>1247</v>
      </c>
      <c r="L155" t="s">
        <v>1281</v>
      </c>
      <c r="M155" t="s">
        <v>493</v>
      </c>
      <c r="N155" t="s">
        <v>1882</v>
      </c>
      <c r="O155" t="s">
        <v>1360</v>
      </c>
      <c r="P155" t="s">
        <v>1885</v>
      </c>
      <c r="Q155" t="s">
        <v>1886</v>
      </c>
      <c r="R155" t="s">
        <v>1360</v>
      </c>
      <c r="S155" t="s">
        <v>1885</v>
      </c>
      <c r="T155" t="s">
        <v>1886</v>
      </c>
      <c r="U155" t="s">
        <v>1887</v>
      </c>
      <c r="V155" t="s">
        <v>1246</v>
      </c>
      <c r="W155" t="s">
        <v>1247</v>
      </c>
      <c r="X155" t="s">
        <v>1322</v>
      </c>
      <c r="Y155" t="s">
        <v>2042</v>
      </c>
      <c r="Z155" t="s">
        <v>2043</v>
      </c>
      <c r="AA155" t="s">
        <v>493</v>
      </c>
      <c r="AB155" t="s">
        <v>1889</v>
      </c>
      <c r="AC155" t="s">
        <v>1282</v>
      </c>
      <c r="AD155" t="s">
        <v>2147</v>
      </c>
      <c r="AE155" t="s">
        <v>1955</v>
      </c>
      <c r="AF155" t="s">
        <v>2147</v>
      </c>
      <c r="AG155" t="s">
        <v>1955</v>
      </c>
      <c r="AH155" t="s">
        <v>1360</v>
      </c>
      <c r="AI155" t="s">
        <v>1360</v>
      </c>
      <c r="AJ155" t="s">
        <v>1885</v>
      </c>
      <c r="AK155" t="s">
        <v>1886</v>
      </c>
      <c r="AL155" t="s">
        <v>1360</v>
      </c>
      <c r="AM155" t="s">
        <v>1885</v>
      </c>
      <c r="AN155" t="s">
        <v>1886</v>
      </c>
      <c r="AO155" t="s">
        <v>1893</v>
      </c>
      <c r="AP155" t="s">
        <v>1281</v>
      </c>
      <c r="AQ155" t="s">
        <v>1281</v>
      </c>
      <c r="AR155" t="s">
        <v>1281</v>
      </c>
      <c r="AS155" t="s">
        <v>1282</v>
      </c>
      <c r="AT155" t="s">
        <v>1894</v>
      </c>
    </row>
    <row r="156" spans="4:46" x14ac:dyDescent="0.25">
      <c r="D156" t="s">
        <v>501</v>
      </c>
      <c r="E156" s="177" t="str">
        <f>INDEX(tblBOneExport[[INSTRUMENT]:[ISIN]],MATCH(tblGetStaticData[[#This Row],[ISIN]],tblBOneExport[ISIN],0),1)</f>
        <v>ABP FINANCE PLC 6.25 14/12/26 EMTN</v>
      </c>
      <c r="F156" s="155" t="str">
        <f>tblGetStaticData[[#This Row],[iPasL2]]&amp; " " &amp; tblGetStaticData[[#This Row],[Tiering]]</f>
        <v>Transportation SEN</v>
      </c>
      <c r="G156" s="155" t="s">
        <v>1282</v>
      </c>
      <c r="H156" t="s">
        <v>1348</v>
      </c>
      <c r="I156" t="s">
        <v>1348</v>
      </c>
      <c r="J156" t="s">
        <v>1348</v>
      </c>
      <c r="K156" t="s">
        <v>502</v>
      </c>
      <c r="L156" t="s">
        <v>1315</v>
      </c>
      <c r="M156" t="s">
        <v>493</v>
      </c>
      <c r="N156" t="s">
        <v>1882</v>
      </c>
      <c r="O156" t="s">
        <v>1360</v>
      </c>
      <c r="P156" t="s">
        <v>1885</v>
      </c>
      <c r="Q156" t="s">
        <v>1886</v>
      </c>
      <c r="R156" t="s">
        <v>1360</v>
      </c>
      <c r="S156" t="s">
        <v>1885</v>
      </c>
      <c r="T156" t="s">
        <v>1886</v>
      </c>
      <c r="U156" t="s">
        <v>1887</v>
      </c>
      <c r="V156" t="s">
        <v>501</v>
      </c>
      <c r="W156" t="s">
        <v>502</v>
      </c>
      <c r="X156" t="s">
        <v>1896</v>
      </c>
      <c r="Y156" t="s">
        <v>2027</v>
      </c>
      <c r="Z156" t="s">
        <v>2148</v>
      </c>
      <c r="AA156" t="s">
        <v>493</v>
      </c>
      <c r="AB156" t="s">
        <v>1889</v>
      </c>
      <c r="AC156" t="s">
        <v>1282</v>
      </c>
      <c r="AD156" t="s">
        <v>2149</v>
      </c>
      <c r="AE156" t="s">
        <v>1951</v>
      </c>
      <c r="AF156" t="s">
        <v>2149</v>
      </c>
      <c r="AG156" t="s">
        <v>1951</v>
      </c>
      <c r="AH156" t="s">
        <v>1360</v>
      </c>
      <c r="AI156" t="s">
        <v>1360</v>
      </c>
      <c r="AJ156" t="s">
        <v>1885</v>
      </c>
      <c r="AK156" t="s">
        <v>1886</v>
      </c>
      <c r="AL156" t="s">
        <v>1360</v>
      </c>
      <c r="AM156" t="s">
        <v>1885</v>
      </c>
      <c r="AN156" t="s">
        <v>1886</v>
      </c>
      <c r="AO156" t="s">
        <v>1940</v>
      </c>
      <c r="AP156" t="s">
        <v>1893</v>
      </c>
      <c r="AQ156" t="s">
        <v>1281</v>
      </c>
      <c r="AR156" t="s">
        <v>1315</v>
      </c>
      <c r="AS156" t="s">
        <v>1282</v>
      </c>
      <c r="AT156" t="s">
        <v>1894</v>
      </c>
    </row>
    <row r="157" spans="4:46" x14ac:dyDescent="0.25">
      <c r="D157" t="s">
        <v>671</v>
      </c>
      <c r="E157" s="177" t="str">
        <f>INDEX(tblBOneExport[[INSTRUMENT]:[ISIN]],MATCH(tblGetStaticData[[#This Row],[ISIN]],tblBOneExport[ISIN],0),1)</f>
        <v>DONG A/S 4.875 12/01/32 EMTN</v>
      </c>
      <c r="F157" s="155" t="str">
        <f>tblGetStaticData[[#This Row],[iPasL2]]&amp; " " &amp; tblGetStaticData[[#This Row],[Tiering]]</f>
        <v>Foreign Agency SEN</v>
      </c>
      <c r="G157" s="155" t="s">
        <v>1282</v>
      </c>
      <c r="H157" t="s">
        <v>1331</v>
      </c>
      <c r="I157" t="s">
        <v>1331</v>
      </c>
      <c r="J157" t="s">
        <v>1331</v>
      </c>
      <c r="K157" t="s">
        <v>669</v>
      </c>
      <c r="L157" t="s">
        <v>1315</v>
      </c>
      <c r="M157" t="s">
        <v>493</v>
      </c>
      <c r="N157" t="s">
        <v>1882</v>
      </c>
      <c r="O157" t="s">
        <v>1612</v>
      </c>
      <c r="P157" t="s">
        <v>1611</v>
      </c>
      <c r="Q157" t="s">
        <v>1982</v>
      </c>
      <c r="R157" t="s">
        <v>1612</v>
      </c>
      <c r="S157" t="s">
        <v>1611</v>
      </c>
      <c r="T157" t="s">
        <v>1982</v>
      </c>
      <c r="U157" t="s">
        <v>1887</v>
      </c>
      <c r="V157" t="s">
        <v>671</v>
      </c>
      <c r="W157" t="s">
        <v>669</v>
      </c>
      <c r="X157" t="s">
        <v>1322</v>
      </c>
      <c r="Y157" t="s">
        <v>1358</v>
      </c>
      <c r="Z157" t="s">
        <v>1924</v>
      </c>
      <c r="AA157" t="s">
        <v>493</v>
      </c>
      <c r="AB157" t="s">
        <v>1899</v>
      </c>
      <c r="AC157" t="s">
        <v>1282</v>
      </c>
      <c r="AD157" t="s">
        <v>2150</v>
      </c>
      <c r="AE157" t="s">
        <v>1989</v>
      </c>
      <c r="AF157" t="s">
        <v>2150</v>
      </c>
      <c r="AG157" t="s">
        <v>1989</v>
      </c>
      <c r="AH157" t="s">
        <v>1612</v>
      </c>
      <c r="AI157" t="s">
        <v>1612</v>
      </c>
      <c r="AJ157" t="s">
        <v>1611</v>
      </c>
      <c r="AK157" t="s">
        <v>1982</v>
      </c>
      <c r="AL157" t="s">
        <v>1612</v>
      </c>
      <c r="AM157" t="s">
        <v>1611</v>
      </c>
      <c r="AN157" t="s">
        <v>1982</v>
      </c>
      <c r="AO157" t="s">
        <v>1916</v>
      </c>
      <c r="AP157" t="s">
        <v>1315</v>
      </c>
      <c r="AQ157" t="s">
        <v>1315</v>
      </c>
      <c r="AR157" t="s">
        <v>1315</v>
      </c>
      <c r="AS157" t="s">
        <v>1282</v>
      </c>
      <c r="AT157" t="s">
        <v>1894</v>
      </c>
    </row>
    <row r="158" spans="4:46" x14ac:dyDescent="0.25">
      <c r="D158" t="s">
        <v>1015</v>
      </c>
      <c r="E158" s="177" t="str">
        <f>INDEX(tblBOneExport[[INSTRUMENT]:[ISIN]],MATCH(tblGetStaticData[[#This Row],[ISIN]],tblBOneExport[ISIN],0),1)</f>
        <v>NORTHUMBRIAN WTR 5.125 23/01/42</v>
      </c>
      <c r="F158" s="155" t="str">
        <f>tblGetStaticData[[#This Row],[iPasL2]]&amp; " " &amp; tblGetStaticData[[#This Row],[Tiering]]</f>
        <v>Other Utility SEN</v>
      </c>
      <c r="G158" s="155" t="s">
        <v>1282</v>
      </c>
      <c r="H158" t="s">
        <v>1323</v>
      </c>
      <c r="I158" t="s">
        <v>1323</v>
      </c>
      <c r="J158" t="s">
        <v>1323</v>
      </c>
      <c r="K158" t="s">
        <v>1011</v>
      </c>
      <c r="L158" t="s">
        <v>1315</v>
      </c>
      <c r="M158" t="s">
        <v>493</v>
      </c>
      <c r="N158" t="s">
        <v>1882</v>
      </c>
      <c r="O158" t="s">
        <v>1360</v>
      </c>
      <c r="P158" t="s">
        <v>1885</v>
      </c>
      <c r="Q158" t="s">
        <v>1886</v>
      </c>
      <c r="R158" t="s">
        <v>1360</v>
      </c>
      <c r="S158" t="s">
        <v>1885</v>
      </c>
      <c r="T158" t="s">
        <v>1886</v>
      </c>
      <c r="U158" t="s">
        <v>1887</v>
      </c>
      <c r="V158" t="s">
        <v>1015</v>
      </c>
      <c r="W158" t="s">
        <v>1011</v>
      </c>
      <c r="X158" t="s">
        <v>1322</v>
      </c>
      <c r="Y158" t="s">
        <v>1888</v>
      </c>
      <c r="Z158" t="s">
        <v>1888</v>
      </c>
      <c r="AA158" t="s">
        <v>493</v>
      </c>
      <c r="AB158" t="s">
        <v>1899</v>
      </c>
      <c r="AC158" t="s">
        <v>1282</v>
      </c>
      <c r="AD158" t="s">
        <v>2151</v>
      </c>
      <c r="AE158" t="s">
        <v>1891</v>
      </c>
      <c r="AF158" t="s">
        <v>2151</v>
      </c>
      <c r="AG158" t="s">
        <v>1891</v>
      </c>
      <c r="AH158" t="s">
        <v>1360</v>
      </c>
      <c r="AI158" t="s">
        <v>1360</v>
      </c>
      <c r="AJ158" t="s">
        <v>1885</v>
      </c>
      <c r="AK158" t="s">
        <v>1886</v>
      </c>
      <c r="AL158" t="s">
        <v>1360</v>
      </c>
      <c r="AM158" t="s">
        <v>1885</v>
      </c>
      <c r="AN158" t="s">
        <v>1886</v>
      </c>
      <c r="AO158" t="s">
        <v>1916</v>
      </c>
      <c r="AP158" t="s">
        <v>1315</v>
      </c>
      <c r="AQ158" t="s">
        <v>1953</v>
      </c>
      <c r="AR158" t="s">
        <v>1315</v>
      </c>
      <c r="AS158" t="s">
        <v>1282</v>
      </c>
      <c r="AT158" t="s">
        <v>1894</v>
      </c>
    </row>
    <row r="159" spans="4:46" x14ac:dyDescent="0.25">
      <c r="D159" t="s">
        <v>769</v>
      </c>
      <c r="E159" s="177" t="str">
        <f>INDEX(tblBOneExport[[INSTRUMENT]:[ISIN]],MATCH(tblGetStaticData[[#This Row],[ISIN]],tblBOneExport[ISIN],0),1)</f>
        <v>GATWICK FND LTD 5.25 23/01/24 EMTN</v>
      </c>
      <c r="F159" s="155" t="str">
        <f>tblGetStaticData[[#This Row],[iPasL2]]&amp; " " &amp; tblGetStaticData[[#This Row],[Tiering]]</f>
        <v>Transportation SEN</v>
      </c>
      <c r="G159" s="155" t="s">
        <v>1282</v>
      </c>
      <c r="H159" t="s">
        <v>1348</v>
      </c>
      <c r="I159" t="s">
        <v>1348</v>
      </c>
      <c r="J159" t="s">
        <v>1348</v>
      </c>
      <c r="K159" t="s">
        <v>767</v>
      </c>
      <c r="L159" t="s">
        <v>1315</v>
      </c>
      <c r="M159" t="s">
        <v>493</v>
      </c>
      <c r="N159" t="s">
        <v>1882</v>
      </c>
      <c r="O159" t="s">
        <v>1542</v>
      </c>
      <c r="P159" t="s">
        <v>1541</v>
      </c>
      <c r="Q159" t="s">
        <v>2105</v>
      </c>
      <c r="R159" t="s">
        <v>1360</v>
      </c>
      <c r="S159" t="s">
        <v>1885</v>
      </c>
      <c r="T159" t="s">
        <v>1886</v>
      </c>
      <c r="U159" t="s">
        <v>1887</v>
      </c>
      <c r="V159" t="s">
        <v>769</v>
      </c>
      <c r="W159" t="s">
        <v>767</v>
      </c>
      <c r="X159" t="s">
        <v>1937</v>
      </c>
      <c r="Y159" t="s">
        <v>2067</v>
      </c>
      <c r="Z159" t="s">
        <v>2068</v>
      </c>
      <c r="AA159" t="s">
        <v>493</v>
      </c>
      <c r="AB159" t="s">
        <v>1889</v>
      </c>
      <c r="AC159" t="s">
        <v>1282</v>
      </c>
      <c r="AD159" t="s">
        <v>2152</v>
      </c>
      <c r="AE159" t="s">
        <v>2026</v>
      </c>
      <c r="AF159" t="s">
        <v>2153</v>
      </c>
      <c r="AG159" t="s">
        <v>1951</v>
      </c>
      <c r="AH159" t="s">
        <v>1542</v>
      </c>
      <c r="AI159" t="s">
        <v>1542</v>
      </c>
      <c r="AJ159" t="s">
        <v>1541</v>
      </c>
      <c r="AK159" t="s">
        <v>2105</v>
      </c>
      <c r="AL159" t="s">
        <v>1360</v>
      </c>
      <c r="AM159" t="s">
        <v>1885</v>
      </c>
      <c r="AN159" t="s">
        <v>1886</v>
      </c>
      <c r="AO159" t="s">
        <v>1893</v>
      </c>
      <c r="AP159" t="s">
        <v>1315</v>
      </c>
      <c r="AQ159" t="s">
        <v>1315</v>
      </c>
      <c r="AR159" t="s">
        <v>1315</v>
      </c>
      <c r="AS159" t="s">
        <v>1282</v>
      </c>
      <c r="AT159" t="s">
        <v>1894</v>
      </c>
    </row>
    <row r="160" spans="4:46" x14ac:dyDescent="0.25">
      <c r="D160" t="s">
        <v>1115</v>
      </c>
      <c r="E160" s="177" t="str">
        <f>INDEX(tblBOneExport[[INSTRUMENT]:[ISIN]],MATCH(tblGetStaticData[[#This Row],[ISIN]],tblBOneExport[ISIN],0),1)</f>
        <v>SEVERN TRENT FIN 4.875 24/01/42 EMTN</v>
      </c>
      <c r="F160" s="155" t="str">
        <f>tblGetStaticData[[#This Row],[iPasL2]]&amp; " " &amp; tblGetStaticData[[#This Row],[Tiering]]</f>
        <v>Other Utility SEN</v>
      </c>
      <c r="G160" s="155" t="s">
        <v>1282</v>
      </c>
      <c r="H160" t="s">
        <v>1323</v>
      </c>
      <c r="I160" t="s">
        <v>1323</v>
      </c>
      <c r="J160" t="s">
        <v>1323</v>
      </c>
      <c r="K160" t="s">
        <v>1111</v>
      </c>
      <c r="L160" t="s">
        <v>1315</v>
      </c>
      <c r="M160" t="s">
        <v>493</v>
      </c>
      <c r="N160" t="s">
        <v>1882</v>
      </c>
      <c r="O160" t="s">
        <v>1360</v>
      </c>
      <c r="P160" t="s">
        <v>1885</v>
      </c>
      <c r="Q160" t="s">
        <v>1886</v>
      </c>
      <c r="R160" t="s">
        <v>1360</v>
      </c>
      <c r="S160" t="s">
        <v>1885</v>
      </c>
      <c r="T160" t="s">
        <v>1886</v>
      </c>
      <c r="U160" t="s">
        <v>1887</v>
      </c>
      <c r="V160" t="s">
        <v>1115</v>
      </c>
      <c r="W160" t="s">
        <v>1111</v>
      </c>
      <c r="X160" t="s">
        <v>1322</v>
      </c>
      <c r="Y160" t="s">
        <v>1888</v>
      </c>
      <c r="Z160" t="s">
        <v>1888</v>
      </c>
      <c r="AA160" t="s">
        <v>493</v>
      </c>
      <c r="AB160" t="s">
        <v>1899</v>
      </c>
      <c r="AC160" t="s">
        <v>1282</v>
      </c>
      <c r="AD160" t="s">
        <v>2154</v>
      </c>
      <c r="AE160" t="s">
        <v>1891</v>
      </c>
      <c r="AF160" t="s">
        <v>2154</v>
      </c>
      <c r="AG160" t="s">
        <v>1891</v>
      </c>
      <c r="AH160" t="s">
        <v>1360</v>
      </c>
      <c r="AI160" t="s">
        <v>1360</v>
      </c>
      <c r="AJ160" t="s">
        <v>1885</v>
      </c>
      <c r="AK160" t="s">
        <v>1886</v>
      </c>
      <c r="AL160" t="s">
        <v>1360</v>
      </c>
      <c r="AM160" t="s">
        <v>1885</v>
      </c>
      <c r="AN160" t="s">
        <v>1886</v>
      </c>
      <c r="AO160" t="s">
        <v>1892</v>
      </c>
      <c r="AP160" t="s">
        <v>1315</v>
      </c>
      <c r="AQ160" t="s">
        <v>1893</v>
      </c>
      <c r="AR160" t="s">
        <v>1315</v>
      </c>
      <c r="AS160" t="s">
        <v>1282</v>
      </c>
      <c r="AT160" t="s">
        <v>1894</v>
      </c>
    </row>
    <row r="161" spans="4:46" x14ac:dyDescent="0.25">
      <c r="D161" t="s">
        <v>628</v>
      </c>
      <c r="E161" s="177" t="str">
        <f>INDEX(tblBOneExport[[INSTRUMENT]:[ISIN]],MATCH(tblGetStaticData[[#This Row],[ISIN]],tblBOneExport[ISIN],0),1)</f>
        <v>CENTRICA PLC 4.375 13/03/29 EMTN</v>
      </c>
      <c r="F161" s="155" t="str">
        <f>tblGetStaticData[[#This Row],[iPasL2]]&amp; " " &amp; tblGetStaticData[[#This Row],[Tiering]]</f>
        <v>Natural Gas SEN</v>
      </c>
      <c r="G161" s="155" t="s">
        <v>1282</v>
      </c>
      <c r="H161" t="s">
        <v>1326</v>
      </c>
      <c r="I161" t="s">
        <v>1326</v>
      </c>
      <c r="J161" t="s">
        <v>1326</v>
      </c>
      <c r="K161" t="s">
        <v>629</v>
      </c>
      <c r="L161" t="s">
        <v>1315</v>
      </c>
      <c r="M161" t="s">
        <v>493</v>
      </c>
      <c r="N161" t="s">
        <v>1882</v>
      </c>
      <c r="O161" t="s">
        <v>1360</v>
      </c>
      <c r="P161" t="s">
        <v>1885</v>
      </c>
      <c r="Q161" t="s">
        <v>1886</v>
      </c>
      <c r="R161" t="s">
        <v>1360</v>
      </c>
      <c r="S161" t="s">
        <v>1885</v>
      </c>
      <c r="T161" t="s">
        <v>1886</v>
      </c>
      <c r="U161" t="s">
        <v>1887</v>
      </c>
      <c r="V161" t="s">
        <v>628</v>
      </c>
      <c r="W161" t="s">
        <v>629</v>
      </c>
      <c r="X161" t="s">
        <v>1322</v>
      </c>
      <c r="Y161" t="s">
        <v>2042</v>
      </c>
      <c r="Z161" t="s">
        <v>2043</v>
      </c>
      <c r="AA161" t="s">
        <v>493</v>
      </c>
      <c r="AB161" t="s">
        <v>1899</v>
      </c>
      <c r="AC161" t="s">
        <v>1282</v>
      </c>
      <c r="AD161" t="s">
        <v>2155</v>
      </c>
      <c r="AE161" t="s">
        <v>1978</v>
      </c>
      <c r="AF161" t="s">
        <v>2155</v>
      </c>
      <c r="AG161" t="s">
        <v>1978</v>
      </c>
      <c r="AH161" t="s">
        <v>1360</v>
      </c>
      <c r="AI161" t="s">
        <v>1360</v>
      </c>
      <c r="AJ161" t="s">
        <v>1885</v>
      </c>
      <c r="AK161" t="s">
        <v>1886</v>
      </c>
      <c r="AL161" t="s">
        <v>1360</v>
      </c>
      <c r="AM161" t="s">
        <v>1885</v>
      </c>
      <c r="AN161" t="s">
        <v>1886</v>
      </c>
      <c r="AO161" t="s">
        <v>1916</v>
      </c>
      <c r="AP161" t="s">
        <v>1315</v>
      </c>
      <c r="AQ161" t="s">
        <v>1281</v>
      </c>
      <c r="AR161" t="s">
        <v>1315</v>
      </c>
      <c r="AS161" t="s">
        <v>1282</v>
      </c>
      <c r="AT161" t="s">
        <v>1894</v>
      </c>
    </row>
    <row r="162" spans="4:46" x14ac:dyDescent="0.25">
      <c r="D162" t="s">
        <v>708</v>
      </c>
      <c r="E162" s="177" t="str">
        <f>INDEX(tblBOneExport[[INSTRUMENT]:[ISIN]],MATCH(tblGetStaticData[[#This Row],[ISIN]],tblBOneExport[ISIN],0),1)</f>
        <v>EVERYTH EVERYWH 4.375 28/03/19 EMTN</v>
      </c>
      <c r="F162" s="155" t="str">
        <f>tblGetStaticData[[#This Row],[iPasL2]]&amp; " " &amp; tblGetStaticData[[#This Row],[Tiering]]</f>
        <v>Communications SEN</v>
      </c>
      <c r="G162" s="155" t="s">
        <v>1282</v>
      </c>
      <c r="H162" t="s">
        <v>1312</v>
      </c>
      <c r="I162" t="s">
        <v>1312</v>
      </c>
      <c r="J162" t="s">
        <v>1313</v>
      </c>
      <c r="K162" t="s">
        <v>709</v>
      </c>
      <c r="L162" t="s">
        <v>1315</v>
      </c>
      <c r="M162" t="s">
        <v>493</v>
      </c>
      <c r="N162" t="s">
        <v>1882</v>
      </c>
      <c r="O162" t="s">
        <v>1360</v>
      </c>
      <c r="P162" t="s">
        <v>1885</v>
      </c>
      <c r="Q162" t="s">
        <v>1886</v>
      </c>
      <c r="R162" t="s">
        <v>1360</v>
      </c>
      <c r="S162" t="s">
        <v>1885</v>
      </c>
      <c r="T162" t="s">
        <v>1886</v>
      </c>
      <c r="U162" t="s">
        <v>1887</v>
      </c>
      <c r="V162" t="s">
        <v>708</v>
      </c>
      <c r="W162" t="s">
        <v>709</v>
      </c>
      <c r="X162" t="s">
        <v>1312</v>
      </c>
      <c r="Y162" t="s">
        <v>1313</v>
      </c>
      <c r="Z162" t="s">
        <v>2112</v>
      </c>
      <c r="AA162" t="s">
        <v>493</v>
      </c>
      <c r="AB162" t="s">
        <v>1899</v>
      </c>
      <c r="AC162" t="s">
        <v>1282</v>
      </c>
      <c r="AD162" t="s">
        <v>2156</v>
      </c>
      <c r="AE162" t="s">
        <v>1984</v>
      </c>
      <c r="AF162" t="s">
        <v>2156</v>
      </c>
      <c r="AG162" t="s">
        <v>1984</v>
      </c>
      <c r="AH162" t="s">
        <v>1360</v>
      </c>
      <c r="AI162" t="s">
        <v>1360</v>
      </c>
      <c r="AJ162" t="s">
        <v>1885</v>
      </c>
      <c r="AK162" t="s">
        <v>1886</v>
      </c>
      <c r="AL162" t="s">
        <v>1360</v>
      </c>
      <c r="AM162" t="s">
        <v>1885</v>
      </c>
      <c r="AN162" t="s">
        <v>1886</v>
      </c>
      <c r="AO162" t="s">
        <v>1916</v>
      </c>
      <c r="AP162" t="s">
        <v>1315</v>
      </c>
      <c r="AQ162" t="s">
        <v>1893</v>
      </c>
      <c r="AR162" t="s">
        <v>1315</v>
      </c>
      <c r="AS162" t="s">
        <v>1282</v>
      </c>
      <c r="AT162" t="s">
        <v>1894</v>
      </c>
    </row>
    <row r="163" spans="4:46" x14ac:dyDescent="0.25">
      <c r="D163" t="s">
        <v>536</v>
      </c>
      <c r="E163" s="177" t="str">
        <f>INDEX(tblBOneExport[[INSTRUMENT]:[ISIN]],MATCH(tblGetStaticData[[#This Row],[ISIN]],tblBOneExport[ISIN],0),1)</f>
        <v>ANGLIAN WAT FIN 4.5 05/10/27 EMTN</v>
      </c>
      <c r="F163" s="155" t="str">
        <f>tblGetStaticData[[#This Row],[iPasL2]]&amp; " " &amp; tblGetStaticData[[#This Row],[Tiering]]</f>
        <v>Other Utility SEN</v>
      </c>
      <c r="G163" s="155" t="s">
        <v>1282</v>
      </c>
      <c r="H163" t="s">
        <v>1323</v>
      </c>
      <c r="I163" t="s">
        <v>1323</v>
      </c>
      <c r="J163" t="s">
        <v>1323</v>
      </c>
      <c r="K163" t="s">
        <v>532</v>
      </c>
      <c r="L163" t="s">
        <v>1281</v>
      </c>
      <c r="M163" t="s">
        <v>493</v>
      </c>
      <c r="N163" t="s">
        <v>1882</v>
      </c>
      <c r="O163" t="s">
        <v>1360</v>
      </c>
      <c r="P163" t="s">
        <v>1885</v>
      </c>
      <c r="Q163" t="s">
        <v>1886</v>
      </c>
      <c r="R163" t="s">
        <v>1360</v>
      </c>
      <c r="S163" t="s">
        <v>1885</v>
      </c>
      <c r="T163" t="s">
        <v>1886</v>
      </c>
      <c r="U163" t="s">
        <v>1887</v>
      </c>
      <c r="V163" t="s">
        <v>536</v>
      </c>
      <c r="W163" t="s">
        <v>532</v>
      </c>
      <c r="X163" t="s">
        <v>1322</v>
      </c>
      <c r="Y163" t="s">
        <v>1888</v>
      </c>
      <c r="Z163" t="s">
        <v>1888</v>
      </c>
      <c r="AA163" t="s">
        <v>493</v>
      </c>
      <c r="AB163" t="s">
        <v>1889</v>
      </c>
      <c r="AC163" t="s">
        <v>1282</v>
      </c>
      <c r="AD163" t="s">
        <v>2157</v>
      </c>
      <c r="AE163" t="s">
        <v>2015</v>
      </c>
      <c r="AF163" t="s">
        <v>2157</v>
      </c>
      <c r="AG163" t="s">
        <v>2015</v>
      </c>
      <c r="AH163" t="s">
        <v>1360</v>
      </c>
      <c r="AI163" t="s">
        <v>1360</v>
      </c>
      <c r="AJ163" t="s">
        <v>1885</v>
      </c>
      <c r="AK163" t="s">
        <v>1886</v>
      </c>
      <c r="AL163" t="s">
        <v>1360</v>
      </c>
      <c r="AM163" t="s">
        <v>1885</v>
      </c>
      <c r="AN163" t="s">
        <v>1886</v>
      </c>
      <c r="AO163" t="s">
        <v>1892</v>
      </c>
      <c r="AP163" t="s">
        <v>1281</v>
      </c>
      <c r="AQ163" t="s">
        <v>1332</v>
      </c>
      <c r="AR163" t="s">
        <v>1281</v>
      </c>
      <c r="AS163" t="s">
        <v>1282</v>
      </c>
      <c r="AT163" t="s">
        <v>1894</v>
      </c>
    </row>
    <row r="164" spans="4:46" x14ac:dyDescent="0.25">
      <c r="D164" t="s">
        <v>801</v>
      </c>
      <c r="E164" s="177" t="str">
        <f>INDEX(tblBOneExport[[INSTRUMENT]:[ISIN]],MATCH(tblGetStaticData[[#This Row],[ISIN]],tblBOneExport[ISIN],0),1)</f>
        <v>GLENCORE FINANCE 6 03/04/22</v>
      </c>
      <c r="F164" s="155" t="str">
        <f>tblGetStaticData[[#This Row],[iPasL2]]&amp; " " &amp; tblGetStaticData[[#This Row],[Tiering]]</f>
        <v>Basic SEN</v>
      </c>
      <c r="G164" s="155" t="s">
        <v>1282</v>
      </c>
      <c r="H164" t="s">
        <v>1512</v>
      </c>
      <c r="I164" t="s">
        <v>1512</v>
      </c>
      <c r="J164" t="s">
        <v>1520</v>
      </c>
      <c r="K164" t="s">
        <v>799</v>
      </c>
      <c r="L164" t="s">
        <v>1288</v>
      </c>
      <c r="M164" t="s">
        <v>493</v>
      </c>
      <c r="N164" t="s">
        <v>1882</v>
      </c>
      <c r="O164" t="s">
        <v>1522</v>
      </c>
      <c r="P164" t="s">
        <v>1521</v>
      </c>
      <c r="Q164" t="s">
        <v>1895</v>
      </c>
      <c r="R164" t="s">
        <v>2052</v>
      </c>
      <c r="S164" t="s">
        <v>2053</v>
      </c>
      <c r="T164" t="s">
        <v>1895</v>
      </c>
      <c r="U164" t="s">
        <v>1887</v>
      </c>
      <c r="V164" t="s">
        <v>801</v>
      </c>
      <c r="W164" t="s">
        <v>799</v>
      </c>
      <c r="X164" t="s">
        <v>1905</v>
      </c>
      <c r="Y164" t="s">
        <v>2054</v>
      </c>
      <c r="Z164" t="s">
        <v>2055</v>
      </c>
      <c r="AA164" t="s">
        <v>493</v>
      </c>
      <c r="AB164" t="s">
        <v>1899</v>
      </c>
      <c r="AC164" t="s">
        <v>1282</v>
      </c>
      <c r="AD164" t="s">
        <v>2158</v>
      </c>
      <c r="AE164" t="s">
        <v>1901</v>
      </c>
      <c r="AF164" t="s">
        <v>2158</v>
      </c>
      <c r="AG164" t="s">
        <v>1901</v>
      </c>
      <c r="AH164" t="s">
        <v>1522</v>
      </c>
      <c r="AI164" t="s">
        <v>1522</v>
      </c>
      <c r="AJ164" t="s">
        <v>1521</v>
      </c>
      <c r="AK164" t="s">
        <v>1895</v>
      </c>
      <c r="AL164" t="s">
        <v>2052</v>
      </c>
      <c r="AM164" t="s">
        <v>2053</v>
      </c>
      <c r="AN164" t="s">
        <v>1895</v>
      </c>
      <c r="AO164" t="s">
        <v>1940</v>
      </c>
      <c r="AP164" t="s">
        <v>1288</v>
      </c>
      <c r="AQ164" t="s">
        <v>1893</v>
      </c>
      <c r="AR164" t="s">
        <v>1288</v>
      </c>
      <c r="AS164" t="s">
        <v>1282</v>
      </c>
      <c r="AT164" t="s">
        <v>1894</v>
      </c>
    </row>
    <row r="165" spans="4:46" x14ac:dyDescent="0.25">
      <c r="D165" t="s">
        <v>545</v>
      </c>
      <c r="E165" s="177" t="str">
        <f>INDEX(tblBOneExport[[INSTRUMENT]:[ISIN]],MATCH(tblGetStaticData[[#This Row],[ISIN]],tblBOneExport[ISIN],0),1)</f>
        <v>AT&amp;T INC 4.875 01/06/44</v>
      </c>
      <c r="F165" s="155" t="str">
        <f>tblGetStaticData[[#This Row],[iPasL2]]&amp; " " &amp; tblGetStaticData[[#This Row],[Tiering]]</f>
        <v>Communications SEN</v>
      </c>
      <c r="G165" s="155" t="s">
        <v>1282</v>
      </c>
      <c r="H165" t="s">
        <v>1312</v>
      </c>
      <c r="I165" t="s">
        <v>1312</v>
      </c>
      <c r="J165" t="s">
        <v>1312</v>
      </c>
      <c r="K165" t="s">
        <v>321</v>
      </c>
      <c r="L165" t="s">
        <v>1315</v>
      </c>
      <c r="M165" t="s">
        <v>493</v>
      </c>
      <c r="N165" t="s">
        <v>1882</v>
      </c>
      <c r="O165" t="s">
        <v>1309</v>
      </c>
      <c r="P165" t="s">
        <v>1960</v>
      </c>
      <c r="Q165" t="s">
        <v>1961</v>
      </c>
      <c r="R165" t="s">
        <v>1309</v>
      </c>
      <c r="S165" t="s">
        <v>1960</v>
      </c>
      <c r="T165" t="s">
        <v>1961</v>
      </c>
      <c r="U165" t="s">
        <v>1962</v>
      </c>
      <c r="V165" t="s">
        <v>545</v>
      </c>
      <c r="W165" t="s">
        <v>321</v>
      </c>
      <c r="X165" t="s">
        <v>1312</v>
      </c>
      <c r="Y165" t="s">
        <v>1313</v>
      </c>
      <c r="Z165" t="s">
        <v>1913</v>
      </c>
      <c r="AA165" t="s">
        <v>493</v>
      </c>
      <c r="AB165" t="s">
        <v>1899</v>
      </c>
      <c r="AC165" t="s">
        <v>1282</v>
      </c>
      <c r="AD165" t="s">
        <v>2159</v>
      </c>
      <c r="AE165" t="s">
        <v>2160</v>
      </c>
      <c r="AF165" t="s">
        <v>2159</v>
      </c>
      <c r="AG165" t="s">
        <v>2160</v>
      </c>
      <c r="AH165" t="s">
        <v>1309</v>
      </c>
      <c r="AI165" t="s">
        <v>1309</v>
      </c>
      <c r="AJ165" t="s">
        <v>1960</v>
      </c>
      <c r="AK165" t="s">
        <v>1961</v>
      </c>
      <c r="AL165" t="s">
        <v>1309</v>
      </c>
      <c r="AM165" t="s">
        <v>1960</v>
      </c>
      <c r="AN165" t="s">
        <v>1961</v>
      </c>
      <c r="AO165" t="s">
        <v>1916</v>
      </c>
      <c r="AP165" t="s">
        <v>1315</v>
      </c>
      <c r="AQ165" t="s">
        <v>1281</v>
      </c>
      <c r="AR165" t="s">
        <v>1315</v>
      </c>
      <c r="AS165" t="s">
        <v>1282</v>
      </c>
      <c r="AT165" t="s">
        <v>1894</v>
      </c>
    </row>
    <row r="166" spans="4:46" x14ac:dyDescent="0.25">
      <c r="D166" t="s">
        <v>659</v>
      </c>
      <c r="E166" s="177" t="str">
        <f>INDEX(tblBOneExport[[INSTRUMENT]:[ISIN]],MATCH(tblGetStaticData[[#This Row],[ISIN]],tblBOneExport[ISIN],0),1)</f>
        <v>DEUTSCH BAHN FIN 2.75 20/06/22 EMTN</v>
      </c>
      <c r="F166" s="155" t="str">
        <f>tblGetStaticData[[#This Row],[iPasL2]]&amp; " " &amp; tblGetStaticData[[#This Row],[Tiering]]</f>
        <v>Foreign Agency SEN</v>
      </c>
      <c r="G166" s="155" t="s">
        <v>1282</v>
      </c>
      <c r="H166" t="s">
        <v>1331</v>
      </c>
      <c r="I166" t="s">
        <v>1331</v>
      </c>
      <c r="J166" t="s">
        <v>1331</v>
      </c>
      <c r="K166" t="s">
        <v>657</v>
      </c>
      <c r="L166" t="s">
        <v>1303</v>
      </c>
      <c r="M166" t="s">
        <v>493</v>
      </c>
      <c r="N166" t="s">
        <v>1882</v>
      </c>
      <c r="O166" t="s">
        <v>1295</v>
      </c>
      <c r="P166" t="s">
        <v>1294</v>
      </c>
      <c r="Q166" t="s">
        <v>1895</v>
      </c>
      <c r="R166" t="s">
        <v>1433</v>
      </c>
      <c r="S166" t="s">
        <v>1432</v>
      </c>
      <c r="T166" t="s">
        <v>1895</v>
      </c>
      <c r="U166" t="s">
        <v>1887</v>
      </c>
      <c r="V166" t="s">
        <v>659</v>
      </c>
      <c r="W166" t="s">
        <v>657</v>
      </c>
      <c r="X166" t="s">
        <v>1942</v>
      </c>
      <c r="Y166" t="s">
        <v>182</v>
      </c>
      <c r="Z166" t="s">
        <v>1970</v>
      </c>
      <c r="AA166" t="s">
        <v>493</v>
      </c>
      <c r="AB166" t="s">
        <v>1899</v>
      </c>
      <c r="AC166" t="s">
        <v>1282</v>
      </c>
      <c r="AD166" t="s">
        <v>2161</v>
      </c>
      <c r="AE166" t="s">
        <v>1901</v>
      </c>
      <c r="AF166" t="s">
        <v>2161</v>
      </c>
      <c r="AG166" t="s">
        <v>1901</v>
      </c>
      <c r="AH166" t="s">
        <v>1295</v>
      </c>
      <c r="AI166" t="s">
        <v>1295</v>
      </c>
      <c r="AJ166" t="s">
        <v>1294</v>
      </c>
      <c r="AK166" t="s">
        <v>1895</v>
      </c>
      <c r="AL166" t="s">
        <v>1433</v>
      </c>
      <c r="AM166" t="s">
        <v>1432</v>
      </c>
      <c r="AN166" t="s">
        <v>1895</v>
      </c>
      <c r="AO166" t="s">
        <v>1971</v>
      </c>
      <c r="AP166" t="s">
        <v>1408</v>
      </c>
      <c r="AQ166" t="s">
        <v>1408</v>
      </c>
      <c r="AR166" t="s">
        <v>1303</v>
      </c>
      <c r="AS166" t="s">
        <v>1282</v>
      </c>
      <c r="AT166" t="s">
        <v>1894</v>
      </c>
    </row>
    <row r="167" spans="4:46" x14ac:dyDescent="0.25">
      <c r="D167" t="s">
        <v>1169</v>
      </c>
      <c r="E167" s="177" t="str">
        <f>INDEX(tblBOneExport[[INSTRUMENT]:[ISIN]],MATCH(tblGetStaticData[[#This Row],[ISIN]],tblBOneExport[ISIN],0),1)</f>
        <v>THAMES WATER UTC 4.625 04/06/46 EMTN</v>
      </c>
      <c r="F167" s="155" t="str">
        <f>tblGetStaticData[[#This Row],[iPasL2]]&amp; " " &amp; tblGetStaticData[[#This Row],[Tiering]]</f>
        <v>Other Utility SEN</v>
      </c>
      <c r="G167" s="155" t="s">
        <v>1282</v>
      </c>
      <c r="H167" t="s">
        <v>1323</v>
      </c>
      <c r="I167" t="s">
        <v>1323</v>
      </c>
      <c r="J167" t="s">
        <v>1323</v>
      </c>
      <c r="K167" t="s">
        <v>1165</v>
      </c>
      <c r="L167" t="s">
        <v>1281</v>
      </c>
      <c r="M167" t="s">
        <v>493</v>
      </c>
      <c r="N167" t="s">
        <v>1882</v>
      </c>
      <c r="O167" t="s">
        <v>1419</v>
      </c>
      <c r="P167" t="s">
        <v>1883</v>
      </c>
      <c r="Q167" t="s">
        <v>1884</v>
      </c>
      <c r="R167" t="s">
        <v>1360</v>
      </c>
      <c r="S167" t="s">
        <v>1885</v>
      </c>
      <c r="T167" t="s">
        <v>1886</v>
      </c>
      <c r="U167" t="s">
        <v>1887</v>
      </c>
      <c r="V167" t="s">
        <v>1169</v>
      </c>
      <c r="W167" t="s">
        <v>1165</v>
      </c>
      <c r="X167" t="s">
        <v>1322</v>
      </c>
      <c r="Y167" t="s">
        <v>1888</v>
      </c>
      <c r="Z167" t="s">
        <v>1888</v>
      </c>
      <c r="AA167" t="s">
        <v>493</v>
      </c>
      <c r="AB167" t="s">
        <v>1889</v>
      </c>
      <c r="AC167" t="s">
        <v>1282</v>
      </c>
      <c r="AD167" t="s">
        <v>2162</v>
      </c>
      <c r="AE167" t="s">
        <v>2163</v>
      </c>
      <c r="AF167" t="s">
        <v>2162</v>
      </c>
      <c r="AG167" t="s">
        <v>2163</v>
      </c>
      <c r="AH167" t="s">
        <v>1419</v>
      </c>
      <c r="AI167" t="s">
        <v>1419</v>
      </c>
      <c r="AJ167" t="s">
        <v>1883</v>
      </c>
      <c r="AK167" t="s">
        <v>1884</v>
      </c>
      <c r="AL167" t="s">
        <v>1360</v>
      </c>
      <c r="AM167" t="s">
        <v>1885</v>
      </c>
      <c r="AN167" t="s">
        <v>1886</v>
      </c>
      <c r="AO167" t="s">
        <v>1892</v>
      </c>
      <c r="AP167" t="s">
        <v>1315</v>
      </c>
      <c r="AQ167" t="s">
        <v>1893</v>
      </c>
      <c r="AR167" t="s">
        <v>1315</v>
      </c>
      <c r="AS167" t="s">
        <v>1282</v>
      </c>
      <c r="AT167" t="s">
        <v>1894</v>
      </c>
    </row>
    <row r="168" spans="4:46" x14ac:dyDescent="0.25">
      <c r="D168" t="s">
        <v>1188</v>
      </c>
      <c r="E168" s="177" t="str">
        <f>INDEX(tblBOneExport[[INSTRUMENT]:[ISIN]],MATCH(tblGetStaticData[[#This Row],[ISIN]],tblBOneExport[ISIN],0),1)</f>
        <v>TFL 3.875 23/07/42 EMTN</v>
      </c>
      <c r="F168" s="155" t="str">
        <f>tblGetStaticData[[#This Row],[iPasL2]]&amp; " " &amp; tblGetStaticData[[#This Row],[Tiering]]</f>
        <v>Foreign Agency SEN</v>
      </c>
      <c r="G168" s="155" t="s">
        <v>1282</v>
      </c>
      <c r="H168" t="s">
        <v>1331</v>
      </c>
      <c r="I168" t="s">
        <v>1331</v>
      </c>
      <c r="J168" t="s">
        <v>1331</v>
      </c>
      <c r="K168" t="s">
        <v>1189</v>
      </c>
      <c r="L168" t="s">
        <v>1408</v>
      </c>
      <c r="M168" t="s">
        <v>493</v>
      </c>
      <c r="N168" t="s">
        <v>1882</v>
      </c>
      <c r="O168" t="s">
        <v>1360</v>
      </c>
      <c r="P168" t="s">
        <v>1885</v>
      </c>
      <c r="Q168" t="s">
        <v>1886</v>
      </c>
      <c r="R168" t="s">
        <v>1360</v>
      </c>
      <c r="S168" t="s">
        <v>1885</v>
      </c>
      <c r="T168" t="s">
        <v>1886</v>
      </c>
      <c r="U168" t="s">
        <v>1887</v>
      </c>
      <c r="V168" t="s">
        <v>1188</v>
      </c>
      <c r="W168" t="s">
        <v>1189</v>
      </c>
      <c r="X168" t="s">
        <v>1942</v>
      </c>
      <c r="Y168" t="s">
        <v>2164</v>
      </c>
      <c r="Z168" t="s">
        <v>2165</v>
      </c>
      <c r="AA168" t="s">
        <v>493</v>
      </c>
      <c r="AB168" t="s">
        <v>1899</v>
      </c>
      <c r="AC168" t="s">
        <v>1282</v>
      </c>
      <c r="AD168" t="s">
        <v>2166</v>
      </c>
      <c r="AE168" t="s">
        <v>1891</v>
      </c>
      <c r="AF168" t="s">
        <v>2166</v>
      </c>
      <c r="AG168" t="s">
        <v>1891</v>
      </c>
      <c r="AH168" t="s">
        <v>1360</v>
      </c>
      <c r="AI168" t="s">
        <v>1360</v>
      </c>
      <c r="AJ168" t="s">
        <v>1885</v>
      </c>
      <c r="AK168" t="s">
        <v>1886</v>
      </c>
      <c r="AL168" t="s">
        <v>1360</v>
      </c>
      <c r="AM168" t="s">
        <v>1885</v>
      </c>
      <c r="AN168" t="s">
        <v>1886</v>
      </c>
      <c r="AO168" t="s">
        <v>1999</v>
      </c>
      <c r="AP168" t="s">
        <v>1303</v>
      </c>
      <c r="AQ168" t="s">
        <v>1408</v>
      </c>
      <c r="AR168" t="s">
        <v>1408</v>
      </c>
      <c r="AS168" t="s">
        <v>1282</v>
      </c>
      <c r="AT168" t="s">
        <v>1894</v>
      </c>
    </row>
    <row r="169" spans="4:46" x14ac:dyDescent="0.25">
      <c r="D169" t="s">
        <v>885</v>
      </c>
      <c r="E169" s="177" t="str">
        <f>INDEX(tblBOneExport[[INSTRUMENT]:[ISIN]],MATCH(tblGetStaticData[[#This Row],[ISIN]],tblBOneExport[ISIN],0),1)</f>
        <v>YORKS WATER BRAD 3.625 01/08/29 EMTN</v>
      </c>
      <c r="F169" s="155" t="str">
        <f>tblGetStaticData[[#This Row],[iPasL2]]&amp; " " &amp; tblGetStaticData[[#This Row],[Tiering]]</f>
        <v>Other Utility SEN</v>
      </c>
      <c r="G169" s="155" t="s">
        <v>1282</v>
      </c>
      <c r="H169" t="s">
        <v>1323</v>
      </c>
      <c r="I169" t="s">
        <v>1323</v>
      </c>
      <c r="J169" t="s">
        <v>1323</v>
      </c>
      <c r="K169" t="s">
        <v>879</v>
      </c>
      <c r="L169" t="s">
        <v>1281</v>
      </c>
      <c r="M169" t="s">
        <v>493</v>
      </c>
      <c r="N169" t="s">
        <v>1882</v>
      </c>
      <c r="O169" t="s">
        <v>1360</v>
      </c>
      <c r="P169" t="s">
        <v>1885</v>
      </c>
      <c r="Q169" t="s">
        <v>1886</v>
      </c>
      <c r="R169" t="s">
        <v>1360</v>
      </c>
      <c r="S169" t="s">
        <v>1885</v>
      </c>
      <c r="T169" t="s">
        <v>1886</v>
      </c>
      <c r="U169" t="s">
        <v>1887</v>
      </c>
      <c r="V169" t="s">
        <v>885</v>
      </c>
      <c r="W169" t="s">
        <v>879</v>
      </c>
      <c r="X169" t="s">
        <v>1322</v>
      </c>
      <c r="Y169" t="s">
        <v>1888</v>
      </c>
      <c r="Z169" t="s">
        <v>1888</v>
      </c>
      <c r="AA169" t="s">
        <v>493</v>
      </c>
      <c r="AB169" t="s">
        <v>1889</v>
      </c>
      <c r="AC169" t="s">
        <v>1282</v>
      </c>
      <c r="AD169" t="s">
        <v>2167</v>
      </c>
      <c r="AE169" t="s">
        <v>1978</v>
      </c>
      <c r="AF169" t="s">
        <v>2167</v>
      </c>
      <c r="AG169" t="s">
        <v>1978</v>
      </c>
      <c r="AH169" t="s">
        <v>1419</v>
      </c>
      <c r="AI169" t="s">
        <v>1360</v>
      </c>
      <c r="AJ169" t="s">
        <v>1885</v>
      </c>
      <c r="AK169" t="s">
        <v>1886</v>
      </c>
      <c r="AL169" t="s">
        <v>1360</v>
      </c>
      <c r="AM169" t="s">
        <v>1885</v>
      </c>
      <c r="AN169" t="s">
        <v>1886</v>
      </c>
      <c r="AO169" t="s">
        <v>1916</v>
      </c>
      <c r="AP169" t="s">
        <v>1281</v>
      </c>
      <c r="AQ169" t="s">
        <v>1332</v>
      </c>
      <c r="AR169" t="s">
        <v>1281</v>
      </c>
      <c r="AS169" t="s">
        <v>1282</v>
      </c>
      <c r="AT169" t="s">
        <v>1894</v>
      </c>
    </row>
    <row r="170" spans="4:46" x14ac:dyDescent="0.25">
      <c r="D170" t="s">
        <v>517</v>
      </c>
      <c r="E170" s="177" t="str">
        <f>INDEX(tblBOneExport[[INSTRUMENT]:[ISIN]],MATCH(tblGetStaticData[[#This Row],[ISIN]],tblBOneExport[ISIN],0),1)</f>
        <v>AMERICA MOVIL SA 4.375 07/08/41</v>
      </c>
      <c r="F170" s="155" t="str">
        <f>tblGetStaticData[[#This Row],[iPasL2]]&amp; " " &amp; tblGetStaticData[[#This Row],[Tiering]]</f>
        <v>Communications SEN</v>
      </c>
      <c r="G170" s="155" t="s">
        <v>1282</v>
      </c>
      <c r="H170" t="s">
        <v>1312</v>
      </c>
      <c r="I170" t="s">
        <v>1312</v>
      </c>
      <c r="J170" t="s">
        <v>1312</v>
      </c>
      <c r="K170" t="s">
        <v>518</v>
      </c>
      <c r="L170" t="s">
        <v>1281</v>
      </c>
      <c r="M170" t="s">
        <v>493</v>
      </c>
      <c r="N170" t="s">
        <v>1882</v>
      </c>
      <c r="O170" t="s">
        <v>1620</v>
      </c>
      <c r="P170" t="s">
        <v>1619</v>
      </c>
      <c r="Q170" t="s">
        <v>1884</v>
      </c>
      <c r="R170" t="s">
        <v>1620</v>
      </c>
      <c r="S170" t="s">
        <v>1619</v>
      </c>
      <c r="T170" t="s">
        <v>1884</v>
      </c>
      <c r="U170" t="s">
        <v>1993</v>
      </c>
      <c r="V170" t="s">
        <v>517</v>
      </c>
      <c r="W170" t="s">
        <v>518</v>
      </c>
      <c r="X170" t="s">
        <v>1312</v>
      </c>
      <c r="Y170" t="s">
        <v>1313</v>
      </c>
      <c r="Z170" t="s">
        <v>2112</v>
      </c>
      <c r="AA170" t="s">
        <v>493</v>
      </c>
      <c r="AB170" t="s">
        <v>1899</v>
      </c>
      <c r="AC170" t="s">
        <v>1282</v>
      </c>
      <c r="AD170" t="s">
        <v>2168</v>
      </c>
      <c r="AE170" t="s">
        <v>1929</v>
      </c>
      <c r="AF170" t="s">
        <v>2168</v>
      </c>
      <c r="AG170" t="s">
        <v>1929</v>
      </c>
      <c r="AH170" t="s">
        <v>1620</v>
      </c>
      <c r="AI170" t="s">
        <v>1620</v>
      </c>
      <c r="AJ170" t="s">
        <v>1619</v>
      </c>
      <c r="AK170" t="s">
        <v>1884</v>
      </c>
      <c r="AL170" t="s">
        <v>1620</v>
      </c>
      <c r="AM170" t="s">
        <v>1619</v>
      </c>
      <c r="AN170" t="s">
        <v>1884</v>
      </c>
      <c r="AO170" t="s">
        <v>1892</v>
      </c>
      <c r="AP170" t="s">
        <v>1281</v>
      </c>
      <c r="AQ170" t="s">
        <v>1281</v>
      </c>
      <c r="AR170" t="s">
        <v>1281</v>
      </c>
      <c r="AS170" t="s">
        <v>1282</v>
      </c>
      <c r="AT170" t="s">
        <v>1894</v>
      </c>
    </row>
    <row r="171" spans="4:46" x14ac:dyDescent="0.25">
      <c r="D171" t="s">
        <v>1191</v>
      </c>
      <c r="E171" s="177" t="str">
        <f>INDEX(tblBOneExport[[INSTRUMENT]:[ISIN]],MATCH(tblGetStaticData[[#This Row],[ISIN]],tblBOneExport[ISIN],0),1)</f>
        <v>TFL 2.25 09/08/22 EMTN</v>
      </c>
      <c r="F171" s="155" t="str">
        <f>tblGetStaticData[[#This Row],[iPasL2]]&amp; " " &amp; tblGetStaticData[[#This Row],[Tiering]]</f>
        <v>Foreign Agency SEN</v>
      </c>
      <c r="G171" s="155" t="s">
        <v>1282</v>
      </c>
      <c r="H171" t="s">
        <v>1331</v>
      </c>
      <c r="I171" t="s">
        <v>1331</v>
      </c>
      <c r="J171" t="s">
        <v>1331</v>
      </c>
      <c r="K171" t="s">
        <v>1189</v>
      </c>
      <c r="L171" t="s">
        <v>1408</v>
      </c>
      <c r="M171" t="s">
        <v>493</v>
      </c>
      <c r="N171" t="s">
        <v>1882</v>
      </c>
      <c r="O171" t="s">
        <v>1360</v>
      </c>
      <c r="P171" t="s">
        <v>1885</v>
      </c>
      <c r="Q171" t="s">
        <v>1886</v>
      </c>
      <c r="R171" t="s">
        <v>1360</v>
      </c>
      <c r="S171" t="s">
        <v>1885</v>
      </c>
      <c r="T171" t="s">
        <v>1886</v>
      </c>
      <c r="U171" t="s">
        <v>1887</v>
      </c>
      <c r="V171" t="s">
        <v>1191</v>
      </c>
      <c r="W171" t="s">
        <v>1189</v>
      </c>
      <c r="X171" t="s">
        <v>1942</v>
      </c>
      <c r="Y171" t="s">
        <v>2164</v>
      </c>
      <c r="Z171" t="s">
        <v>2165</v>
      </c>
      <c r="AA171" t="s">
        <v>493</v>
      </c>
      <c r="AB171" t="s">
        <v>1899</v>
      </c>
      <c r="AC171" t="s">
        <v>1282</v>
      </c>
      <c r="AD171" t="s">
        <v>2169</v>
      </c>
      <c r="AE171" t="s">
        <v>1901</v>
      </c>
      <c r="AF171" t="s">
        <v>2169</v>
      </c>
      <c r="AG171" t="s">
        <v>1901</v>
      </c>
      <c r="AH171" t="s">
        <v>1360</v>
      </c>
      <c r="AI171" t="s">
        <v>1360</v>
      </c>
      <c r="AJ171" t="s">
        <v>1885</v>
      </c>
      <c r="AK171" t="s">
        <v>1886</v>
      </c>
      <c r="AL171" t="s">
        <v>1360</v>
      </c>
      <c r="AM171" t="s">
        <v>1885</v>
      </c>
      <c r="AN171" t="s">
        <v>1886</v>
      </c>
      <c r="AO171" t="s">
        <v>1999</v>
      </c>
      <c r="AP171" t="s">
        <v>1303</v>
      </c>
      <c r="AQ171" t="s">
        <v>1408</v>
      </c>
      <c r="AR171" t="s">
        <v>1408</v>
      </c>
      <c r="AS171" t="s">
        <v>1282</v>
      </c>
      <c r="AT171" t="s">
        <v>1894</v>
      </c>
    </row>
    <row r="172" spans="4:46" x14ac:dyDescent="0.25">
      <c r="D172" t="s">
        <v>588</v>
      </c>
      <c r="E172" s="177" t="str">
        <f>INDEX(tblBOneExport[[INSTRUMENT]:[ISIN]],MATCH(tblGetStaticData[[#This Row],[ISIN]],tblBOneExport[ISIN],0),1)</f>
        <v>BHP BILLITON FIN 3.25 25/09/24 EMTN</v>
      </c>
      <c r="F172" s="155" t="str">
        <f>tblGetStaticData[[#This Row],[iPasL2]]&amp; " " &amp; tblGetStaticData[[#This Row],[Tiering]]</f>
        <v>Basic SEN</v>
      </c>
      <c r="G172" s="155" t="s">
        <v>1282</v>
      </c>
      <c r="H172" t="s">
        <v>1512</v>
      </c>
      <c r="I172" t="s">
        <v>1512</v>
      </c>
      <c r="J172" t="s">
        <v>1512</v>
      </c>
      <c r="K172" t="s">
        <v>589</v>
      </c>
      <c r="L172" t="s">
        <v>1281</v>
      </c>
      <c r="M172" t="s">
        <v>493</v>
      </c>
      <c r="N172" t="s">
        <v>1882</v>
      </c>
      <c r="O172" t="s">
        <v>1710</v>
      </c>
      <c r="P172" t="s">
        <v>1709</v>
      </c>
      <c r="Q172" t="s">
        <v>2118</v>
      </c>
      <c r="R172" t="s">
        <v>1710</v>
      </c>
      <c r="S172" t="s">
        <v>1709</v>
      </c>
      <c r="T172" t="s">
        <v>2118</v>
      </c>
      <c r="U172" t="s">
        <v>2118</v>
      </c>
      <c r="V172" t="s">
        <v>588</v>
      </c>
      <c r="W172" t="s">
        <v>589</v>
      </c>
      <c r="X172" t="s">
        <v>1905</v>
      </c>
      <c r="Y172" t="s">
        <v>2054</v>
      </c>
      <c r="Z172" t="s">
        <v>2170</v>
      </c>
      <c r="AA172" t="s">
        <v>493</v>
      </c>
      <c r="AB172" t="s">
        <v>1899</v>
      </c>
      <c r="AC172" t="s">
        <v>1282</v>
      </c>
      <c r="AD172" t="s">
        <v>2171</v>
      </c>
      <c r="AE172" t="s">
        <v>2026</v>
      </c>
      <c r="AF172" t="s">
        <v>2171</v>
      </c>
      <c r="AG172" t="s">
        <v>2026</v>
      </c>
      <c r="AH172" t="s">
        <v>1710</v>
      </c>
      <c r="AI172" t="s">
        <v>1710</v>
      </c>
      <c r="AJ172" t="s">
        <v>1709</v>
      </c>
      <c r="AK172" t="s">
        <v>2118</v>
      </c>
      <c r="AL172" t="s">
        <v>1710</v>
      </c>
      <c r="AM172" t="s">
        <v>1709</v>
      </c>
      <c r="AN172" t="s">
        <v>2118</v>
      </c>
      <c r="AO172" t="s">
        <v>1892</v>
      </c>
      <c r="AP172" t="s">
        <v>1332</v>
      </c>
      <c r="AQ172" t="s">
        <v>1293</v>
      </c>
      <c r="AR172" t="s">
        <v>1281</v>
      </c>
      <c r="AS172" t="s">
        <v>1282</v>
      </c>
      <c r="AT172" t="s">
        <v>1894</v>
      </c>
    </row>
    <row r="173" spans="4:46" x14ac:dyDescent="0.25">
      <c r="D173" t="s">
        <v>591</v>
      </c>
      <c r="E173" s="177" t="str">
        <f>INDEX(tblBOneExport[[INSTRUMENT]:[ISIN]],MATCH(tblGetStaticData[[#This Row],[ISIN]],tblBOneExport[ISIN],0),1)</f>
        <v>BHP BILLITON FIN 4.3 25/09/42 12</v>
      </c>
      <c r="F173" s="155" t="str">
        <f>tblGetStaticData[[#This Row],[iPasL2]]&amp; " " &amp; tblGetStaticData[[#This Row],[Tiering]]</f>
        <v>Basic SEN</v>
      </c>
      <c r="G173" s="155" t="s">
        <v>1282</v>
      </c>
      <c r="H173" t="s">
        <v>1512</v>
      </c>
      <c r="I173" t="s">
        <v>1512</v>
      </c>
      <c r="J173" t="s">
        <v>1512</v>
      </c>
      <c r="K173" t="s">
        <v>589</v>
      </c>
      <c r="L173" t="s">
        <v>1332</v>
      </c>
      <c r="M173" t="s">
        <v>493</v>
      </c>
      <c r="N173" t="s">
        <v>1882</v>
      </c>
      <c r="O173" t="s">
        <v>1710</v>
      </c>
      <c r="P173" t="s">
        <v>1709</v>
      </c>
      <c r="Q173" t="s">
        <v>2118</v>
      </c>
      <c r="R173" t="s">
        <v>1710</v>
      </c>
      <c r="S173" t="s">
        <v>1709</v>
      </c>
      <c r="T173" t="s">
        <v>2118</v>
      </c>
      <c r="U173" t="s">
        <v>2118</v>
      </c>
      <c r="V173" t="s">
        <v>591</v>
      </c>
      <c r="W173" t="s">
        <v>589</v>
      </c>
      <c r="X173" t="s">
        <v>1905</v>
      </c>
      <c r="Y173" t="s">
        <v>2054</v>
      </c>
      <c r="Z173" t="s">
        <v>2170</v>
      </c>
      <c r="AA173" t="s">
        <v>493</v>
      </c>
      <c r="AB173" t="s">
        <v>1899</v>
      </c>
      <c r="AC173" t="s">
        <v>1282</v>
      </c>
      <c r="AD173" t="s">
        <v>2172</v>
      </c>
      <c r="AE173" t="s">
        <v>1891</v>
      </c>
      <c r="AF173" t="s">
        <v>2172</v>
      </c>
      <c r="AG173" t="s">
        <v>1891</v>
      </c>
      <c r="AH173" t="s">
        <v>1710</v>
      </c>
      <c r="AI173" t="s">
        <v>1710</v>
      </c>
      <c r="AJ173" t="s">
        <v>1709</v>
      </c>
      <c r="AK173" t="s">
        <v>2118</v>
      </c>
      <c r="AL173" t="s">
        <v>1710</v>
      </c>
      <c r="AM173" t="s">
        <v>1709</v>
      </c>
      <c r="AN173" t="s">
        <v>2118</v>
      </c>
      <c r="AO173" t="s">
        <v>1892</v>
      </c>
      <c r="AP173" t="s">
        <v>1332</v>
      </c>
      <c r="AQ173" t="s">
        <v>1293</v>
      </c>
      <c r="AR173" t="s">
        <v>1281</v>
      </c>
      <c r="AS173" t="s">
        <v>1282</v>
      </c>
      <c r="AT173" t="s">
        <v>1894</v>
      </c>
    </row>
    <row r="174" spans="4:46" x14ac:dyDescent="0.25">
      <c r="D174" t="s">
        <v>937</v>
      </c>
      <c r="E174" s="177" t="str">
        <f>INDEX(tblBOneExport[[INSTRUMENT]:[ISIN]],MATCH(tblGetStaticData[[#This Row],[ISIN]],tblBOneExport[ISIN],0),1)</f>
        <v>MET LIFE GLOB 3.5 30/09/26 GMTN</v>
      </c>
      <c r="F174" s="155" t="str">
        <f>tblGetStaticData[[#This Row],[iPasL2]]&amp; " " &amp; tblGetStaticData[[#This Row],[Tiering]]</f>
        <v>Insurance SEN</v>
      </c>
      <c r="G174" s="155" t="s">
        <v>1282</v>
      </c>
      <c r="H174" t="s">
        <v>1301</v>
      </c>
      <c r="I174" t="s">
        <v>1301</v>
      </c>
      <c r="J174" t="s">
        <v>1302</v>
      </c>
      <c r="K174" t="s">
        <v>935</v>
      </c>
      <c r="L174" t="s">
        <v>1408</v>
      </c>
      <c r="M174" t="s">
        <v>493</v>
      </c>
      <c r="N174" t="s">
        <v>1882</v>
      </c>
      <c r="O174" t="s">
        <v>1309</v>
      </c>
      <c r="P174" t="s">
        <v>1960</v>
      </c>
      <c r="Q174" t="s">
        <v>1961</v>
      </c>
      <c r="R174" t="s">
        <v>1309</v>
      </c>
      <c r="S174" t="s">
        <v>1960</v>
      </c>
      <c r="T174" t="s">
        <v>1961</v>
      </c>
      <c r="U174" t="s">
        <v>1962</v>
      </c>
      <c r="V174" t="s">
        <v>937</v>
      </c>
      <c r="W174" t="s">
        <v>935</v>
      </c>
      <c r="X174" t="s">
        <v>1967</v>
      </c>
      <c r="Y174" t="s">
        <v>1301</v>
      </c>
      <c r="Z174" t="s">
        <v>2036</v>
      </c>
      <c r="AA174" t="s">
        <v>493</v>
      </c>
      <c r="AB174" t="s">
        <v>1994</v>
      </c>
      <c r="AC174" t="s">
        <v>1282</v>
      </c>
      <c r="AD174" t="s">
        <v>2173</v>
      </c>
      <c r="AE174" t="s">
        <v>1951</v>
      </c>
      <c r="AF174" t="s">
        <v>2173</v>
      </c>
      <c r="AG174" t="s">
        <v>1951</v>
      </c>
      <c r="AH174" t="s">
        <v>1309</v>
      </c>
      <c r="AI174" t="s">
        <v>1309</v>
      </c>
      <c r="AJ174" t="s">
        <v>1960</v>
      </c>
      <c r="AK174" t="s">
        <v>1961</v>
      </c>
      <c r="AL174" t="s">
        <v>1309</v>
      </c>
      <c r="AM174" t="s">
        <v>1960</v>
      </c>
      <c r="AN174" t="s">
        <v>1961</v>
      </c>
      <c r="AO174" t="s">
        <v>1987</v>
      </c>
      <c r="AP174" t="s">
        <v>1408</v>
      </c>
      <c r="AQ174" t="s">
        <v>1408</v>
      </c>
      <c r="AR174" t="s">
        <v>1408</v>
      </c>
      <c r="AS174" t="s">
        <v>1282</v>
      </c>
      <c r="AT174" t="s">
        <v>1894</v>
      </c>
    </row>
    <row r="175" spans="4:46" x14ac:dyDescent="0.25">
      <c r="D175" t="s">
        <v>1210</v>
      </c>
      <c r="E175" s="177" t="str">
        <f>INDEX(tblBOneExport[[INSTRUMENT]:[ISIN]],MATCH(tblGetStaticData[[#This Row],[ISIN]],tblBOneExport[ISIN],0),1)</f>
        <v>UNI OF CAMBRIDGE 3.75 17/10/52</v>
      </c>
      <c r="F175" s="155" t="str">
        <f>tblGetStaticData[[#This Row],[iPasL2]]&amp; " " &amp; tblGetStaticData[[#This Row],[Tiering]]</f>
        <v>Other Industrial SEN</v>
      </c>
      <c r="G175" s="155" t="s">
        <v>1282</v>
      </c>
      <c r="H175" t="s">
        <v>1717</v>
      </c>
      <c r="I175" t="s">
        <v>1717</v>
      </c>
      <c r="J175" t="s">
        <v>1717</v>
      </c>
      <c r="K175" t="s">
        <v>1211</v>
      </c>
      <c r="L175" t="s">
        <v>1353</v>
      </c>
      <c r="M175" t="s">
        <v>493</v>
      </c>
      <c r="N175" t="s">
        <v>1882</v>
      </c>
      <c r="O175" t="s">
        <v>1360</v>
      </c>
      <c r="P175" t="s">
        <v>1885</v>
      </c>
      <c r="Q175" t="s">
        <v>1886</v>
      </c>
      <c r="R175" t="s">
        <v>1360</v>
      </c>
      <c r="S175" t="s">
        <v>1885</v>
      </c>
      <c r="T175" t="s">
        <v>1886</v>
      </c>
      <c r="U175" t="s">
        <v>1887</v>
      </c>
      <c r="V175" t="s">
        <v>1210</v>
      </c>
      <c r="W175" t="s">
        <v>1211</v>
      </c>
      <c r="X175" t="s">
        <v>1896</v>
      </c>
      <c r="Y175" t="s">
        <v>2027</v>
      </c>
      <c r="Z175" t="s">
        <v>2174</v>
      </c>
      <c r="AA175" t="s">
        <v>493</v>
      </c>
      <c r="AB175" t="s">
        <v>1899</v>
      </c>
      <c r="AC175" t="s">
        <v>1282</v>
      </c>
      <c r="AD175" t="s">
        <v>2175</v>
      </c>
      <c r="AE175" t="s">
        <v>1904</v>
      </c>
      <c r="AF175" t="s">
        <v>2175</v>
      </c>
      <c r="AG175" t="s">
        <v>1904</v>
      </c>
      <c r="AH175" t="s">
        <v>1360</v>
      </c>
      <c r="AI175" t="s">
        <v>1360</v>
      </c>
      <c r="AJ175" t="s">
        <v>1885</v>
      </c>
      <c r="AK175" t="s">
        <v>1886</v>
      </c>
      <c r="AL175" t="s">
        <v>1360</v>
      </c>
      <c r="AM175" t="s">
        <v>1885</v>
      </c>
      <c r="AN175" t="s">
        <v>1886</v>
      </c>
      <c r="AO175" t="s">
        <v>1947</v>
      </c>
      <c r="AP175" t="s">
        <v>1893</v>
      </c>
      <c r="AQ175" t="s">
        <v>1893</v>
      </c>
      <c r="AR175" t="s">
        <v>1873</v>
      </c>
      <c r="AS175" t="s">
        <v>1282</v>
      </c>
      <c r="AT175" t="s">
        <v>1894</v>
      </c>
    </row>
    <row r="176" spans="4:46" x14ac:dyDescent="0.25">
      <c r="D176" t="s">
        <v>888</v>
      </c>
      <c r="E176" s="177" t="str">
        <f>INDEX(tblBOneExport[[INSTRUMENT]:[ISIN]],MATCH(tblGetStaticData[[#This Row],[ISIN]],tblBOneExport[ISIN],0),1)</f>
        <v>KFW 1 07/12/17</v>
      </c>
      <c r="F176" s="155" t="str">
        <f>tblGetStaticData[[#This Row],[iPasL2]]&amp; " " &amp; tblGetStaticData[[#This Row],[Tiering]]</f>
        <v>Foreign Agency SEN</v>
      </c>
      <c r="G176" s="155" t="s">
        <v>1282</v>
      </c>
      <c r="H176" t="s">
        <v>1331</v>
      </c>
      <c r="I176" t="s">
        <v>1331</v>
      </c>
      <c r="J176" t="s">
        <v>1331</v>
      </c>
      <c r="K176" t="s">
        <v>889</v>
      </c>
      <c r="L176" t="s">
        <v>1353</v>
      </c>
      <c r="M176" t="s">
        <v>493</v>
      </c>
      <c r="N176" t="s">
        <v>1882</v>
      </c>
      <c r="O176" t="s">
        <v>1433</v>
      </c>
      <c r="P176" t="s">
        <v>1432</v>
      </c>
      <c r="Q176" t="s">
        <v>1895</v>
      </c>
      <c r="R176" t="s">
        <v>1433</v>
      </c>
      <c r="S176" t="s">
        <v>1432</v>
      </c>
      <c r="T176" t="s">
        <v>1895</v>
      </c>
      <c r="U176" t="s">
        <v>1887</v>
      </c>
      <c r="V176" t="s">
        <v>888</v>
      </c>
      <c r="W176" t="s">
        <v>889</v>
      </c>
      <c r="X176" t="s">
        <v>1967</v>
      </c>
      <c r="Y176" t="s">
        <v>1968</v>
      </c>
      <c r="Z176" t="s">
        <v>1969</v>
      </c>
      <c r="AA176" t="s">
        <v>493</v>
      </c>
      <c r="AB176" t="s">
        <v>1899</v>
      </c>
      <c r="AC176" t="s">
        <v>1282</v>
      </c>
      <c r="AD176" t="s">
        <v>2085</v>
      </c>
      <c r="AE176" t="s">
        <v>1936</v>
      </c>
      <c r="AF176" t="s">
        <v>2085</v>
      </c>
      <c r="AG176" t="s">
        <v>1936</v>
      </c>
      <c r="AH176" t="s">
        <v>1433</v>
      </c>
      <c r="AI176" t="s">
        <v>1433</v>
      </c>
      <c r="AJ176" t="s">
        <v>1432</v>
      </c>
      <c r="AK176" t="s">
        <v>1895</v>
      </c>
      <c r="AL176" t="s">
        <v>1433</v>
      </c>
      <c r="AM176" t="s">
        <v>1432</v>
      </c>
      <c r="AN176" t="s">
        <v>1895</v>
      </c>
      <c r="AO176" t="s">
        <v>1947</v>
      </c>
      <c r="AP176" t="s">
        <v>1353</v>
      </c>
      <c r="AQ176" t="s">
        <v>1353</v>
      </c>
      <c r="AR176" t="s">
        <v>1353</v>
      </c>
      <c r="AS176" t="s">
        <v>1282</v>
      </c>
      <c r="AT176" t="s">
        <v>1894</v>
      </c>
    </row>
    <row r="177" spans="4:46" x14ac:dyDescent="0.25">
      <c r="D177" t="s">
        <v>1034</v>
      </c>
      <c r="E177" s="177" t="str">
        <f>INDEX(tblBOneExport[[INSTRUMENT]:[ISIN]],MATCH(tblGetStaticData[[#This Row],[ISIN]],tblBOneExport[ISIN],0),1)</f>
        <v>PEPSICO INC 2.5 01/11/22 EMTN</v>
      </c>
      <c r="F177" s="155" t="str">
        <f>tblGetStaticData[[#This Row],[iPasL2]]&amp; " " &amp; tblGetStaticData[[#This Row],[Tiering]]</f>
        <v>Consumer Noncyclical SEN</v>
      </c>
      <c r="G177" s="155" t="s">
        <v>1282</v>
      </c>
      <c r="H177" t="s">
        <v>1279</v>
      </c>
      <c r="I177" t="s">
        <v>1279</v>
      </c>
      <c r="J177" t="s">
        <v>1280</v>
      </c>
      <c r="K177" t="s">
        <v>1035</v>
      </c>
      <c r="L177" t="s">
        <v>1332</v>
      </c>
      <c r="M177" t="s">
        <v>493</v>
      </c>
      <c r="N177" t="s">
        <v>1882</v>
      </c>
      <c r="O177" t="s">
        <v>1309</v>
      </c>
      <c r="P177" t="s">
        <v>1960</v>
      </c>
      <c r="Q177" t="s">
        <v>1961</v>
      </c>
      <c r="R177" t="s">
        <v>1309</v>
      </c>
      <c r="S177" t="s">
        <v>1960</v>
      </c>
      <c r="T177" t="s">
        <v>1961</v>
      </c>
      <c r="U177" t="s">
        <v>1962</v>
      </c>
      <c r="V177" t="s">
        <v>1034</v>
      </c>
      <c r="W177" t="s">
        <v>1035</v>
      </c>
      <c r="X177" t="s">
        <v>1896</v>
      </c>
      <c r="Y177" t="s">
        <v>2176</v>
      </c>
      <c r="Z177" t="s">
        <v>2177</v>
      </c>
      <c r="AA177" t="s">
        <v>493</v>
      </c>
      <c r="AB177" t="s">
        <v>1899</v>
      </c>
      <c r="AC177" t="s">
        <v>1282</v>
      </c>
      <c r="AD177" t="s">
        <v>2178</v>
      </c>
      <c r="AE177" t="s">
        <v>1901</v>
      </c>
      <c r="AF177" t="s">
        <v>2178</v>
      </c>
      <c r="AG177" t="s">
        <v>1901</v>
      </c>
      <c r="AH177" t="s">
        <v>1309</v>
      </c>
      <c r="AI177" t="s">
        <v>1309</v>
      </c>
      <c r="AJ177" t="s">
        <v>1960</v>
      </c>
      <c r="AK177" t="s">
        <v>1961</v>
      </c>
      <c r="AL177" t="s">
        <v>1309</v>
      </c>
      <c r="AM177" t="s">
        <v>1960</v>
      </c>
      <c r="AN177" t="s">
        <v>1961</v>
      </c>
      <c r="AO177" t="s">
        <v>1909</v>
      </c>
      <c r="AP177" t="s">
        <v>1293</v>
      </c>
      <c r="AQ177" t="s">
        <v>1332</v>
      </c>
      <c r="AR177" t="s">
        <v>1293</v>
      </c>
      <c r="AS177" t="s">
        <v>1282</v>
      </c>
      <c r="AT177" t="s">
        <v>1894</v>
      </c>
    </row>
    <row r="178" spans="4:46" x14ac:dyDescent="0.25">
      <c r="D178" t="s">
        <v>756</v>
      </c>
      <c r="E178" s="177" t="str">
        <f>INDEX(tblBOneExport[[INSTRUMENT]:[ISIN]],MATCH(tblGetStaticData[[#This Row],[ISIN]],tblBOneExport[ISIN],0),1)</f>
        <v>FIRSTGROUP PLC 5.25 29/11/22</v>
      </c>
      <c r="F178" s="155" t="str">
        <f>tblGetStaticData[[#This Row],[iPasL2]]&amp; " " &amp; tblGetStaticData[[#This Row],[Tiering]]</f>
        <v>Transportation SEN</v>
      </c>
      <c r="G178" s="155" t="s">
        <v>1282</v>
      </c>
      <c r="H178" t="s">
        <v>1348</v>
      </c>
      <c r="I178" t="s">
        <v>1348</v>
      </c>
      <c r="J178" t="s">
        <v>1348</v>
      </c>
      <c r="K178" t="s">
        <v>757</v>
      </c>
      <c r="L178" t="s">
        <v>1990</v>
      </c>
      <c r="M178" t="s">
        <v>493</v>
      </c>
      <c r="N178" t="s">
        <v>1882</v>
      </c>
      <c r="O178" t="s">
        <v>1360</v>
      </c>
      <c r="P178" t="s">
        <v>1885</v>
      </c>
      <c r="Q178" t="s">
        <v>1886</v>
      </c>
      <c r="R178" t="s">
        <v>1360</v>
      </c>
      <c r="S178" t="s">
        <v>1885</v>
      </c>
      <c r="T178" t="s">
        <v>1886</v>
      </c>
      <c r="U178" t="s">
        <v>1887</v>
      </c>
      <c r="V178" t="s">
        <v>756</v>
      </c>
      <c r="W178" t="s">
        <v>757</v>
      </c>
      <c r="X178" t="s">
        <v>1937</v>
      </c>
      <c r="Y178" t="s">
        <v>1348</v>
      </c>
      <c r="Z178" t="s">
        <v>1938</v>
      </c>
      <c r="AA178" t="s">
        <v>493</v>
      </c>
      <c r="AB178" t="s">
        <v>1899</v>
      </c>
      <c r="AC178" t="s">
        <v>1282</v>
      </c>
      <c r="AD178" t="s">
        <v>2179</v>
      </c>
      <c r="AE178" t="s">
        <v>1901</v>
      </c>
      <c r="AF178" t="s">
        <v>2179</v>
      </c>
      <c r="AG178" t="s">
        <v>1901</v>
      </c>
      <c r="AH178" t="s">
        <v>1360</v>
      </c>
      <c r="AI178" t="s">
        <v>1360</v>
      </c>
      <c r="AJ178" t="s">
        <v>1885</v>
      </c>
      <c r="AK178" t="s">
        <v>1886</v>
      </c>
      <c r="AL178" t="s">
        <v>1360</v>
      </c>
      <c r="AM178" t="s">
        <v>1885</v>
      </c>
      <c r="AN178" t="s">
        <v>1886</v>
      </c>
      <c r="AO178" t="s">
        <v>1893</v>
      </c>
      <c r="AP178" t="s">
        <v>1990</v>
      </c>
      <c r="AQ178" t="s">
        <v>1990</v>
      </c>
      <c r="AR178" t="s">
        <v>1990</v>
      </c>
      <c r="AS178" t="s">
        <v>1282</v>
      </c>
      <c r="AT178" t="s">
        <v>1894</v>
      </c>
    </row>
    <row r="179" spans="4:46" x14ac:dyDescent="0.25">
      <c r="D179" t="s">
        <v>975</v>
      </c>
      <c r="E179" s="177" t="str">
        <f>INDEX(tblBOneExport[[INSTRUMENT]:[ISIN]],MATCH(tblGetStaticData[[#This Row],[ISIN]],tblBOneExport[ISIN],0),1)</f>
        <v>NESTLE FIN INTL 2.25 30/11/23 EMTN (UK)</v>
      </c>
      <c r="F179" s="155" t="str">
        <f>tblGetStaticData[[#This Row],[iPasL2]]&amp; " " &amp; tblGetStaticData[[#This Row],[Tiering]]</f>
        <v>Consumer Noncyclical SEN</v>
      </c>
      <c r="G179" s="155" t="s">
        <v>1282</v>
      </c>
      <c r="H179" t="s">
        <v>1279</v>
      </c>
      <c r="I179" t="s">
        <v>1279</v>
      </c>
      <c r="J179" t="s">
        <v>1280</v>
      </c>
      <c r="K179" t="s">
        <v>973</v>
      </c>
      <c r="L179" t="s">
        <v>1303</v>
      </c>
      <c r="M179" t="s">
        <v>493</v>
      </c>
      <c r="N179" t="s">
        <v>1882</v>
      </c>
      <c r="O179" t="s">
        <v>1522</v>
      </c>
      <c r="P179" t="s">
        <v>1521</v>
      </c>
      <c r="Q179" t="s">
        <v>1895</v>
      </c>
      <c r="R179" t="s">
        <v>2052</v>
      </c>
      <c r="S179" t="s">
        <v>2053</v>
      </c>
      <c r="T179" t="s">
        <v>1895</v>
      </c>
      <c r="U179" t="s">
        <v>1887</v>
      </c>
      <c r="V179" t="s">
        <v>975</v>
      </c>
      <c r="W179" t="s">
        <v>973</v>
      </c>
      <c r="X179" t="s">
        <v>1896</v>
      </c>
      <c r="Y179" t="s">
        <v>2180</v>
      </c>
      <c r="Z179" t="s">
        <v>2181</v>
      </c>
      <c r="AA179" t="s">
        <v>493</v>
      </c>
      <c r="AB179" t="s">
        <v>1899</v>
      </c>
      <c r="AC179" t="s">
        <v>1282</v>
      </c>
      <c r="AD179" t="s">
        <v>2182</v>
      </c>
      <c r="AE179" t="s">
        <v>1955</v>
      </c>
      <c r="AF179" t="s">
        <v>2182</v>
      </c>
      <c r="AG179" t="s">
        <v>1955</v>
      </c>
      <c r="AH179" t="s">
        <v>1522</v>
      </c>
      <c r="AI179" t="s">
        <v>1522</v>
      </c>
      <c r="AJ179" t="s">
        <v>1521</v>
      </c>
      <c r="AK179" t="s">
        <v>1895</v>
      </c>
      <c r="AL179" t="s">
        <v>2052</v>
      </c>
      <c r="AM179" t="s">
        <v>2053</v>
      </c>
      <c r="AN179" t="s">
        <v>1895</v>
      </c>
      <c r="AO179" t="s">
        <v>1999</v>
      </c>
      <c r="AP179" t="s">
        <v>1893</v>
      </c>
      <c r="AQ179" t="s">
        <v>1408</v>
      </c>
      <c r="AR179" t="s">
        <v>1408</v>
      </c>
      <c r="AS179" t="s">
        <v>1282</v>
      </c>
      <c r="AT179" t="s">
        <v>1894</v>
      </c>
    </row>
    <row r="180" spans="4:46" x14ac:dyDescent="0.25">
      <c r="D180" t="s">
        <v>793</v>
      </c>
      <c r="E180" s="177" t="str">
        <f>INDEX(tblBOneExport[[INSTRUMENT]:[ISIN]],MATCH(tblGetStaticData[[#This Row],[ISIN]],tblBOneExport[ISIN],0),1)</f>
        <v>GLAXOSMITHKLINE 3.375 20/12/27 EMTN</v>
      </c>
      <c r="F180" s="155" t="str">
        <f>tblGetStaticData[[#This Row],[iPasL2]]&amp; " " &amp; tblGetStaticData[[#This Row],[Tiering]]</f>
        <v>Consumer Noncyclical SEN</v>
      </c>
      <c r="G180" s="155" t="s">
        <v>1282</v>
      </c>
      <c r="H180" t="s">
        <v>1279</v>
      </c>
      <c r="I180" t="s">
        <v>1279</v>
      </c>
      <c r="J180" t="s">
        <v>1279</v>
      </c>
      <c r="K180" t="s">
        <v>787</v>
      </c>
      <c r="L180" t="s">
        <v>1332</v>
      </c>
      <c r="M180" t="s">
        <v>493</v>
      </c>
      <c r="N180" t="s">
        <v>1882</v>
      </c>
      <c r="O180" t="s">
        <v>1360</v>
      </c>
      <c r="P180" t="s">
        <v>1885</v>
      </c>
      <c r="Q180" t="s">
        <v>1886</v>
      </c>
      <c r="R180" t="s">
        <v>1360</v>
      </c>
      <c r="S180" t="s">
        <v>1885</v>
      </c>
      <c r="T180" t="s">
        <v>1886</v>
      </c>
      <c r="U180" t="s">
        <v>1887</v>
      </c>
      <c r="V180" t="s">
        <v>793</v>
      </c>
      <c r="W180" t="s">
        <v>787</v>
      </c>
      <c r="X180" t="s">
        <v>1896</v>
      </c>
      <c r="Y180" t="s">
        <v>1442</v>
      </c>
      <c r="Z180" t="s">
        <v>2005</v>
      </c>
      <c r="AA180" t="s">
        <v>493</v>
      </c>
      <c r="AB180" t="s">
        <v>1899</v>
      </c>
      <c r="AC180" t="s">
        <v>1282</v>
      </c>
      <c r="AD180" t="s">
        <v>2014</v>
      </c>
      <c r="AE180" t="s">
        <v>2015</v>
      </c>
      <c r="AF180" t="s">
        <v>2014</v>
      </c>
      <c r="AG180" t="s">
        <v>2015</v>
      </c>
      <c r="AH180" t="s">
        <v>1360</v>
      </c>
      <c r="AI180" t="s">
        <v>1360</v>
      </c>
      <c r="AJ180" t="s">
        <v>1885</v>
      </c>
      <c r="AK180" t="s">
        <v>1886</v>
      </c>
      <c r="AL180" t="s">
        <v>1360</v>
      </c>
      <c r="AM180" t="s">
        <v>1885</v>
      </c>
      <c r="AN180" t="s">
        <v>1886</v>
      </c>
      <c r="AO180" t="s">
        <v>1902</v>
      </c>
      <c r="AP180" t="s">
        <v>1293</v>
      </c>
      <c r="AQ180" t="s">
        <v>1332</v>
      </c>
      <c r="AR180" t="s">
        <v>1332</v>
      </c>
      <c r="AS180" t="s">
        <v>1282</v>
      </c>
      <c r="AT180" t="s">
        <v>1894</v>
      </c>
    </row>
    <row r="181" spans="4:46" x14ac:dyDescent="0.25">
      <c r="D181" t="s">
        <v>791</v>
      </c>
      <c r="E181" s="177" t="str">
        <f>INDEX(tblBOneExport[[INSTRUMENT]:[ISIN]],MATCH(tblGetStaticData[[#This Row],[ISIN]],tblBOneExport[ISIN],0),1)</f>
        <v>GLAXOSMITHKLINE 4.25 18/12/45 EMTN</v>
      </c>
      <c r="F181" s="155" t="str">
        <f>tblGetStaticData[[#This Row],[iPasL2]]&amp; " " &amp; tblGetStaticData[[#This Row],[Tiering]]</f>
        <v>Consumer Noncyclical SEN</v>
      </c>
      <c r="G181" s="155" t="s">
        <v>1282</v>
      </c>
      <c r="H181" t="s">
        <v>1279</v>
      </c>
      <c r="I181" t="s">
        <v>1279</v>
      </c>
      <c r="J181" t="s">
        <v>1442</v>
      </c>
      <c r="K181" t="s">
        <v>787</v>
      </c>
      <c r="L181" t="s">
        <v>1332</v>
      </c>
      <c r="M181" t="s">
        <v>493</v>
      </c>
      <c r="N181" t="s">
        <v>1882</v>
      </c>
      <c r="O181" t="s">
        <v>1360</v>
      </c>
      <c r="P181" t="s">
        <v>1885</v>
      </c>
      <c r="Q181" t="s">
        <v>1886</v>
      </c>
      <c r="R181" t="s">
        <v>1360</v>
      </c>
      <c r="S181" t="s">
        <v>1885</v>
      </c>
      <c r="T181" t="s">
        <v>1886</v>
      </c>
      <c r="U181" t="s">
        <v>1887</v>
      </c>
      <c r="V181" t="s">
        <v>791</v>
      </c>
      <c r="W181" t="s">
        <v>787</v>
      </c>
      <c r="X181" t="s">
        <v>1896</v>
      </c>
      <c r="Y181" t="s">
        <v>1442</v>
      </c>
      <c r="Z181" t="s">
        <v>2005</v>
      </c>
      <c r="AA181" t="s">
        <v>493</v>
      </c>
      <c r="AB181" t="s">
        <v>1899</v>
      </c>
      <c r="AC181" t="s">
        <v>1282</v>
      </c>
      <c r="AD181" t="s">
        <v>2183</v>
      </c>
      <c r="AE181" t="s">
        <v>2184</v>
      </c>
      <c r="AF181" t="s">
        <v>2183</v>
      </c>
      <c r="AG181" t="s">
        <v>2184</v>
      </c>
      <c r="AH181" t="s">
        <v>1360</v>
      </c>
      <c r="AI181" t="s">
        <v>1360</v>
      </c>
      <c r="AJ181" t="s">
        <v>1885</v>
      </c>
      <c r="AK181" t="s">
        <v>1886</v>
      </c>
      <c r="AL181" t="s">
        <v>1360</v>
      </c>
      <c r="AM181" t="s">
        <v>1885</v>
      </c>
      <c r="AN181" t="s">
        <v>1886</v>
      </c>
      <c r="AO181" t="s">
        <v>1902</v>
      </c>
      <c r="AP181" t="s">
        <v>1293</v>
      </c>
      <c r="AQ181" t="s">
        <v>1332</v>
      </c>
      <c r="AR181" t="s">
        <v>1332</v>
      </c>
      <c r="AS181" t="s">
        <v>1282</v>
      </c>
      <c r="AT181" t="s">
        <v>1894</v>
      </c>
    </row>
    <row r="182" spans="4:46" x14ac:dyDescent="0.25">
      <c r="D182" t="s">
        <v>741</v>
      </c>
      <c r="E182" s="177" t="str">
        <f>INDEX(tblBOneExport[[INSTRUMENT]:[ISIN]],MATCH(tblGetStaticData[[#This Row],[ISIN]],tblBOneExport[ISIN],0),1)</f>
        <v>EUROPEAN INVT BK 1.375 15/01/18 EMTN</v>
      </c>
      <c r="F182" s="155" t="str">
        <f>tblGetStaticData[[#This Row],[iPasL2]]&amp; " " &amp; tblGetStaticData[[#This Row],[Tiering]]</f>
        <v>Supranationals SEN</v>
      </c>
      <c r="G182" s="155" t="s">
        <v>1282</v>
      </c>
      <c r="H182" t="s">
        <v>1352</v>
      </c>
      <c r="I182" t="s">
        <v>1352</v>
      </c>
      <c r="J182" t="s">
        <v>1352</v>
      </c>
      <c r="K182" t="s">
        <v>733</v>
      </c>
      <c r="L182" t="s">
        <v>1353</v>
      </c>
      <c r="M182" t="s">
        <v>493</v>
      </c>
      <c r="N182" t="s">
        <v>1882</v>
      </c>
      <c r="O182" t="s">
        <v>1522</v>
      </c>
      <c r="P182" t="s">
        <v>1521</v>
      </c>
      <c r="Q182" t="s">
        <v>1895</v>
      </c>
      <c r="R182" t="s">
        <v>1522</v>
      </c>
      <c r="S182" t="s">
        <v>1521</v>
      </c>
      <c r="T182" t="s">
        <v>1895</v>
      </c>
      <c r="U182" t="s">
        <v>1941</v>
      </c>
      <c r="V182" t="s">
        <v>741</v>
      </c>
      <c r="W182" t="s">
        <v>733</v>
      </c>
      <c r="X182" t="s">
        <v>1942</v>
      </c>
      <c r="Y182" t="s">
        <v>1943</v>
      </c>
      <c r="Z182" t="s">
        <v>1944</v>
      </c>
      <c r="AA182" t="s">
        <v>493</v>
      </c>
      <c r="AB182" t="s">
        <v>1899</v>
      </c>
      <c r="AC182" t="s">
        <v>1282</v>
      </c>
      <c r="AD182" t="s">
        <v>2185</v>
      </c>
      <c r="AE182" t="s">
        <v>1936</v>
      </c>
      <c r="AF182" t="s">
        <v>2185</v>
      </c>
      <c r="AG182" t="s">
        <v>1936</v>
      </c>
      <c r="AH182" t="s">
        <v>1946</v>
      </c>
      <c r="AI182" t="s">
        <v>1522</v>
      </c>
      <c r="AJ182" t="s">
        <v>1521</v>
      </c>
      <c r="AK182" t="s">
        <v>1895</v>
      </c>
      <c r="AL182" t="s">
        <v>1946</v>
      </c>
      <c r="AO182" t="s">
        <v>1947</v>
      </c>
      <c r="AP182" t="s">
        <v>1353</v>
      </c>
      <c r="AQ182" t="s">
        <v>1353</v>
      </c>
      <c r="AR182" t="s">
        <v>1353</v>
      </c>
      <c r="AS182" t="s">
        <v>1282</v>
      </c>
      <c r="AT182" t="s">
        <v>1894</v>
      </c>
    </row>
    <row r="183" spans="4:46" x14ac:dyDescent="0.25">
      <c r="D183" t="s">
        <v>934</v>
      </c>
      <c r="E183" s="177" t="str">
        <f>INDEX(tblBOneExport[[INSTRUMENT]:[ISIN]],MATCH(tblGetStaticData[[#This Row],[ISIN]],tblBOneExport[ISIN],0),1)</f>
        <v>MET LIFE GLOB 2.875 11/01/23 EMTN</v>
      </c>
      <c r="F183" s="155" t="str">
        <f>tblGetStaticData[[#This Row],[iPasL2]]&amp; " " &amp; tblGetStaticData[[#This Row],[Tiering]]</f>
        <v>Insurance SEN</v>
      </c>
      <c r="G183" s="155" t="s">
        <v>1282</v>
      </c>
      <c r="H183" t="s">
        <v>1301</v>
      </c>
      <c r="I183" t="s">
        <v>1301</v>
      </c>
      <c r="J183" t="s">
        <v>1302</v>
      </c>
      <c r="K183" t="s">
        <v>935</v>
      </c>
      <c r="L183" t="s">
        <v>1408</v>
      </c>
      <c r="M183" t="s">
        <v>493</v>
      </c>
      <c r="N183" t="s">
        <v>1882</v>
      </c>
      <c r="O183" t="s">
        <v>1309</v>
      </c>
      <c r="P183" t="s">
        <v>1960</v>
      </c>
      <c r="Q183" t="s">
        <v>1961</v>
      </c>
      <c r="R183" t="s">
        <v>1309</v>
      </c>
      <c r="S183" t="s">
        <v>1960</v>
      </c>
      <c r="T183" t="s">
        <v>1961</v>
      </c>
      <c r="U183" t="s">
        <v>1962</v>
      </c>
      <c r="V183" t="s">
        <v>934</v>
      </c>
      <c r="W183" t="s">
        <v>935</v>
      </c>
      <c r="X183" t="s">
        <v>1967</v>
      </c>
      <c r="Y183" t="s">
        <v>1301</v>
      </c>
      <c r="Z183" t="s">
        <v>2036</v>
      </c>
      <c r="AA183" t="s">
        <v>493</v>
      </c>
      <c r="AB183" t="s">
        <v>1994</v>
      </c>
      <c r="AC183" t="s">
        <v>1282</v>
      </c>
      <c r="AD183" t="s">
        <v>2186</v>
      </c>
      <c r="AE183" t="s">
        <v>1955</v>
      </c>
      <c r="AF183" t="s">
        <v>2186</v>
      </c>
      <c r="AG183" t="s">
        <v>1955</v>
      </c>
      <c r="AH183" t="s">
        <v>1309</v>
      </c>
      <c r="AI183" t="s">
        <v>1309</v>
      </c>
      <c r="AJ183" t="s">
        <v>1960</v>
      </c>
      <c r="AK183" t="s">
        <v>1961</v>
      </c>
      <c r="AL183" t="s">
        <v>1309</v>
      </c>
      <c r="AM183" t="s">
        <v>1960</v>
      </c>
      <c r="AN183" t="s">
        <v>1961</v>
      </c>
      <c r="AO183" t="s">
        <v>1987</v>
      </c>
      <c r="AP183" t="s">
        <v>1408</v>
      </c>
      <c r="AQ183" t="s">
        <v>1408</v>
      </c>
      <c r="AR183" t="s">
        <v>1408</v>
      </c>
      <c r="AS183" t="s">
        <v>1282</v>
      </c>
      <c r="AT183" t="s">
        <v>1894</v>
      </c>
    </row>
    <row r="184" spans="4:46" x14ac:dyDescent="0.25">
      <c r="D184" t="s">
        <v>1113</v>
      </c>
      <c r="E184" s="177" t="str">
        <f>INDEX(tblBOneExport[[INSTRUMENT]:[ISIN]],MATCH(tblGetStaticData[[#This Row],[ISIN]],tblBOneExport[ISIN],0),1)</f>
        <v>SEVERN TRENT FIN 3.625 16/01/26 EMTN</v>
      </c>
      <c r="F184" s="155" t="str">
        <f>tblGetStaticData[[#This Row],[iPasL2]]&amp; " " &amp; tblGetStaticData[[#This Row],[Tiering]]</f>
        <v>Other Utility SEN</v>
      </c>
      <c r="G184" s="155" t="s">
        <v>1282</v>
      </c>
      <c r="H184" t="s">
        <v>1323</v>
      </c>
      <c r="I184" t="s">
        <v>1323</v>
      </c>
      <c r="J184" t="s">
        <v>1323</v>
      </c>
      <c r="K184" t="s">
        <v>1111</v>
      </c>
      <c r="L184" t="s">
        <v>1315</v>
      </c>
      <c r="M184" t="s">
        <v>493</v>
      </c>
      <c r="N184" t="s">
        <v>1882</v>
      </c>
      <c r="O184" t="s">
        <v>1360</v>
      </c>
      <c r="P184" t="s">
        <v>1885</v>
      </c>
      <c r="Q184" t="s">
        <v>1886</v>
      </c>
      <c r="R184" t="s">
        <v>1360</v>
      </c>
      <c r="S184" t="s">
        <v>1885</v>
      </c>
      <c r="T184" t="s">
        <v>1886</v>
      </c>
      <c r="U184" t="s">
        <v>1887</v>
      </c>
      <c r="V184" t="s">
        <v>1113</v>
      </c>
      <c r="W184" t="s">
        <v>1111</v>
      </c>
      <c r="X184" t="s">
        <v>1322</v>
      </c>
      <c r="Y184" t="s">
        <v>1888</v>
      </c>
      <c r="Z184" t="s">
        <v>1888</v>
      </c>
      <c r="AA184" t="s">
        <v>493</v>
      </c>
      <c r="AB184" t="s">
        <v>1899</v>
      </c>
      <c r="AC184" t="s">
        <v>1282</v>
      </c>
      <c r="AD184" t="s">
        <v>2187</v>
      </c>
      <c r="AE184" t="s">
        <v>1951</v>
      </c>
      <c r="AF184" t="s">
        <v>2187</v>
      </c>
      <c r="AG184" t="s">
        <v>1951</v>
      </c>
      <c r="AH184" t="s">
        <v>1360</v>
      </c>
      <c r="AI184" t="s">
        <v>1360</v>
      </c>
      <c r="AJ184" t="s">
        <v>1885</v>
      </c>
      <c r="AK184" t="s">
        <v>1886</v>
      </c>
      <c r="AL184" t="s">
        <v>1360</v>
      </c>
      <c r="AM184" t="s">
        <v>1885</v>
      </c>
      <c r="AN184" t="s">
        <v>1886</v>
      </c>
      <c r="AO184" t="s">
        <v>1892</v>
      </c>
      <c r="AP184" t="s">
        <v>1315</v>
      </c>
      <c r="AQ184" t="s">
        <v>1893</v>
      </c>
      <c r="AR184" t="s">
        <v>1315</v>
      </c>
      <c r="AS184" t="s">
        <v>1282</v>
      </c>
      <c r="AT184" t="s">
        <v>1894</v>
      </c>
    </row>
    <row r="185" spans="4:46" x14ac:dyDescent="0.25">
      <c r="D185" t="s">
        <v>978</v>
      </c>
      <c r="E185" s="177" t="str">
        <f>INDEX(tblBOneExport[[INSTRUMENT]:[ISIN]],MATCH(tblGetStaticData[[#This Row],[ISIN]],tblBOneExport[ISIN],0),1)</f>
        <v>NETWRK RAIL INFR 1 07/12/17 EMTN</v>
      </c>
      <c r="F185" s="155" t="str">
        <f>tblGetStaticData[[#This Row],[iPasL2]]&amp; " " &amp; tblGetStaticData[[#This Row],[Tiering]]</f>
        <v>Foreign Agency SEN</v>
      </c>
      <c r="G185" s="155" t="s">
        <v>1282</v>
      </c>
      <c r="H185" t="s">
        <v>1331</v>
      </c>
      <c r="I185" t="s">
        <v>1331</v>
      </c>
      <c r="J185" t="s">
        <v>1331</v>
      </c>
      <c r="K185" t="s">
        <v>979</v>
      </c>
      <c r="L185" t="s">
        <v>1303</v>
      </c>
      <c r="M185" t="s">
        <v>493</v>
      </c>
      <c r="N185" t="s">
        <v>1882</v>
      </c>
      <c r="O185" t="s">
        <v>1360</v>
      </c>
      <c r="P185" t="s">
        <v>1885</v>
      </c>
      <c r="Q185" t="s">
        <v>1886</v>
      </c>
      <c r="R185" t="s">
        <v>1360</v>
      </c>
      <c r="S185" t="s">
        <v>1885</v>
      </c>
      <c r="T185" t="s">
        <v>1886</v>
      </c>
      <c r="U185" t="s">
        <v>1887</v>
      </c>
      <c r="V185" t="s">
        <v>978</v>
      </c>
      <c r="W185" t="s">
        <v>979</v>
      </c>
      <c r="X185" t="s">
        <v>1937</v>
      </c>
      <c r="Y185" t="s">
        <v>1348</v>
      </c>
      <c r="Z185" t="s">
        <v>2034</v>
      </c>
      <c r="AA185" t="s">
        <v>493</v>
      </c>
      <c r="AB185" t="s">
        <v>1889</v>
      </c>
      <c r="AC185" t="s">
        <v>1282</v>
      </c>
      <c r="AD185" t="s">
        <v>2085</v>
      </c>
      <c r="AE185" t="s">
        <v>1936</v>
      </c>
      <c r="AF185" t="s">
        <v>2085</v>
      </c>
      <c r="AG185" t="s">
        <v>1936</v>
      </c>
      <c r="AH185" t="s">
        <v>1360</v>
      </c>
      <c r="AI185" t="s">
        <v>1360</v>
      </c>
      <c r="AJ185" t="s">
        <v>1885</v>
      </c>
      <c r="AK185" t="s">
        <v>1886</v>
      </c>
      <c r="AL185" t="s">
        <v>1360</v>
      </c>
      <c r="AM185" t="s">
        <v>1885</v>
      </c>
      <c r="AN185" t="s">
        <v>1886</v>
      </c>
      <c r="AO185" t="s">
        <v>1971</v>
      </c>
      <c r="AP185" t="s">
        <v>1303</v>
      </c>
      <c r="AQ185" t="s">
        <v>1303</v>
      </c>
      <c r="AR185" t="s">
        <v>1303</v>
      </c>
      <c r="AS185" t="s">
        <v>1282</v>
      </c>
      <c r="AT185" t="s">
        <v>1894</v>
      </c>
    </row>
    <row r="186" spans="4:46" x14ac:dyDescent="0.25">
      <c r="D186" t="s">
        <v>898</v>
      </c>
      <c r="E186" s="177" t="str">
        <f>INDEX(tblBOneExport[[INSTRUMENT]:[ISIN]],MATCH(tblGetStaticData[[#This Row],[ISIN]],tblBOneExport[ISIN],0),1)</f>
        <v>RENTENBANK 1 15/12/17 EMTN</v>
      </c>
      <c r="F186" s="155" t="str">
        <f>tblGetStaticData[[#This Row],[iPasL2]]&amp; " " &amp; tblGetStaticData[[#This Row],[Tiering]]</f>
        <v>Foreign Agency SEN</v>
      </c>
      <c r="G186" s="155" t="s">
        <v>1282</v>
      </c>
      <c r="H186" t="s">
        <v>1331</v>
      </c>
      <c r="I186" t="s">
        <v>1331</v>
      </c>
      <c r="J186" t="s">
        <v>1331</v>
      </c>
      <c r="K186" t="s">
        <v>899</v>
      </c>
      <c r="L186" t="s">
        <v>1353</v>
      </c>
      <c r="M186" t="s">
        <v>493</v>
      </c>
      <c r="N186" t="s">
        <v>1882</v>
      </c>
      <c r="O186" t="s">
        <v>1433</v>
      </c>
      <c r="P186" t="s">
        <v>1432</v>
      </c>
      <c r="Q186" t="s">
        <v>1895</v>
      </c>
      <c r="R186" t="s">
        <v>1433</v>
      </c>
      <c r="S186" t="s">
        <v>1432</v>
      </c>
      <c r="T186" t="s">
        <v>1895</v>
      </c>
      <c r="U186" t="s">
        <v>1887</v>
      </c>
      <c r="V186" t="s">
        <v>898</v>
      </c>
      <c r="W186" t="s">
        <v>899</v>
      </c>
      <c r="X186" t="s">
        <v>1967</v>
      </c>
      <c r="Y186" t="s">
        <v>1968</v>
      </c>
      <c r="Z186" t="s">
        <v>1969</v>
      </c>
      <c r="AA186" t="s">
        <v>493</v>
      </c>
      <c r="AB186" t="s">
        <v>1899</v>
      </c>
      <c r="AC186" t="s">
        <v>1282</v>
      </c>
      <c r="AD186" t="s">
        <v>2188</v>
      </c>
      <c r="AE186" t="s">
        <v>1936</v>
      </c>
      <c r="AF186" t="s">
        <v>2188</v>
      </c>
      <c r="AG186" t="s">
        <v>1936</v>
      </c>
      <c r="AH186" t="s">
        <v>1433</v>
      </c>
      <c r="AI186" t="s">
        <v>1433</v>
      </c>
      <c r="AJ186" t="s">
        <v>1432</v>
      </c>
      <c r="AK186" t="s">
        <v>1895</v>
      </c>
      <c r="AL186" t="s">
        <v>1433</v>
      </c>
      <c r="AM186" t="s">
        <v>1432</v>
      </c>
      <c r="AN186" t="s">
        <v>1895</v>
      </c>
      <c r="AO186" t="s">
        <v>1947</v>
      </c>
      <c r="AP186" t="s">
        <v>1353</v>
      </c>
      <c r="AQ186" t="s">
        <v>1353</v>
      </c>
      <c r="AR186" t="s">
        <v>1353</v>
      </c>
      <c r="AS186" t="s">
        <v>1282</v>
      </c>
      <c r="AT186" t="s">
        <v>1894</v>
      </c>
    </row>
    <row r="187" spans="4:46" x14ac:dyDescent="0.25">
      <c r="D187" t="s">
        <v>902</v>
      </c>
      <c r="E187" s="177" t="str">
        <f>INDEX(tblBOneExport[[INSTRUMENT]:[ISIN]],MATCH(tblGetStaticData[[#This Row],[ISIN]],tblBOneExport[ISIN],0),1)</f>
        <v>L BANK FOERDERBK 0.875 15/12/17 EMTN</v>
      </c>
      <c r="F187" s="155" t="str">
        <f>tblGetStaticData[[#This Row],[iPasL2]]&amp; " " &amp; tblGetStaticData[[#This Row],[Tiering]]</f>
        <v>Foreign Local Govt SEN</v>
      </c>
      <c r="G187" s="155" t="s">
        <v>1282</v>
      </c>
      <c r="H187" t="s">
        <v>1742</v>
      </c>
      <c r="I187" t="s">
        <v>1742</v>
      </c>
      <c r="J187" t="s">
        <v>1742</v>
      </c>
      <c r="K187" t="s">
        <v>903</v>
      </c>
      <c r="L187" t="s">
        <v>1353</v>
      </c>
      <c r="M187" t="s">
        <v>493</v>
      </c>
      <c r="N187" t="s">
        <v>1882</v>
      </c>
      <c r="O187" t="s">
        <v>1433</v>
      </c>
      <c r="P187" t="s">
        <v>1432</v>
      </c>
      <c r="Q187" t="s">
        <v>1895</v>
      </c>
      <c r="R187" t="s">
        <v>1433</v>
      </c>
      <c r="S187" t="s">
        <v>1432</v>
      </c>
      <c r="T187" t="s">
        <v>1895</v>
      </c>
      <c r="U187" t="s">
        <v>1887</v>
      </c>
      <c r="V187" t="s">
        <v>902</v>
      </c>
      <c r="W187" t="s">
        <v>903</v>
      </c>
      <c r="X187" t="s">
        <v>1967</v>
      </c>
      <c r="Y187" t="s">
        <v>1968</v>
      </c>
      <c r="Z187" t="s">
        <v>1969</v>
      </c>
      <c r="AA187" t="s">
        <v>493</v>
      </c>
      <c r="AB187" t="s">
        <v>1899</v>
      </c>
      <c r="AC187" t="s">
        <v>1282</v>
      </c>
      <c r="AD187" t="s">
        <v>2188</v>
      </c>
      <c r="AE187" t="s">
        <v>1936</v>
      </c>
      <c r="AF187" t="s">
        <v>2188</v>
      </c>
      <c r="AG187" t="s">
        <v>1936</v>
      </c>
      <c r="AH187" t="s">
        <v>1433</v>
      </c>
      <c r="AI187" t="s">
        <v>1433</v>
      </c>
      <c r="AJ187" t="s">
        <v>1432</v>
      </c>
      <c r="AK187" t="s">
        <v>1895</v>
      </c>
      <c r="AL187" t="s">
        <v>1433</v>
      </c>
      <c r="AM187" t="s">
        <v>1432</v>
      </c>
      <c r="AN187" t="s">
        <v>1895</v>
      </c>
      <c r="AO187" t="s">
        <v>1947</v>
      </c>
      <c r="AP187" t="s">
        <v>1353</v>
      </c>
      <c r="AQ187" t="s">
        <v>1893</v>
      </c>
      <c r="AR187" t="s">
        <v>1353</v>
      </c>
      <c r="AS187" t="s">
        <v>1282</v>
      </c>
      <c r="AT187" t="s">
        <v>1894</v>
      </c>
    </row>
    <row r="188" spans="4:46" x14ac:dyDescent="0.25">
      <c r="D188" t="s">
        <v>1018</v>
      </c>
      <c r="E188" s="177" t="str">
        <f>INDEX(tblBOneExport[[INSTRUMENT]:[ISIN]],MATCH(tblGetStaticData[[#This Row],[ISIN]],tblBOneExport[ISIN],0),1)</f>
        <v>NRW.BANK 0.875 15/12/17 524</v>
      </c>
      <c r="F188" s="155" t="str">
        <f>tblGetStaticData[[#This Row],[iPasL2]]&amp; " " &amp; tblGetStaticData[[#This Row],[Tiering]]</f>
        <v>Foreign Local Govt SEN</v>
      </c>
      <c r="G188" s="155" t="s">
        <v>1282</v>
      </c>
      <c r="H188" t="s">
        <v>1742</v>
      </c>
      <c r="I188" t="s">
        <v>1742</v>
      </c>
      <c r="J188" t="s">
        <v>1742</v>
      </c>
      <c r="K188" t="s">
        <v>1019</v>
      </c>
      <c r="L188" t="s">
        <v>1303</v>
      </c>
      <c r="M188" t="s">
        <v>493</v>
      </c>
      <c r="N188" t="s">
        <v>1882</v>
      </c>
      <c r="O188" t="s">
        <v>1433</v>
      </c>
      <c r="P188" t="s">
        <v>1432</v>
      </c>
      <c r="Q188" t="s">
        <v>1895</v>
      </c>
      <c r="R188" t="s">
        <v>1433</v>
      </c>
      <c r="S188" t="s">
        <v>1432</v>
      </c>
      <c r="T188" t="s">
        <v>1895</v>
      </c>
      <c r="U188" t="s">
        <v>1887</v>
      </c>
      <c r="V188" t="s">
        <v>1018</v>
      </c>
      <c r="W188" t="s">
        <v>1019</v>
      </c>
      <c r="X188" t="s">
        <v>1967</v>
      </c>
      <c r="Y188" t="s">
        <v>1968</v>
      </c>
      <c r="Z188" t="s">
        <v>1969</v>
      </c>
      <c r="AA188" t="s">
        <v>493</v>
      </c>
      <c r="AB188" t="s">
        <v>1899</v>
      </c>
      <c r="AC188" t="s">
        <v>1282</v>
      </c>
      <c r="AD188" t="s">
        <v>2188</v>
      </c>
      <c r="AE188" t="s">
        <v>1936</v>
      </c>
      <c r="AF188" t="s">
        <v>2188</v>
      </c>
      <c r="AG188" t="s">
        <v>1936</v>
      </c>
      <c r="AH188" t="s">
        <v>1433</v>
      </c>
      <c r="AI188" t="s">
        <v>1433</v>
      </c>
      <c r="AJ188" t="s">
        <v>1432</v>
      </c>
      <c r="AK188" t="s">
        <v>1895</v>
      </c>
      <c r="AL188" t="s">
        <v>1433</v>
      </c>
      <c r="AM188" t="s">
        <v>1432</v>
      </c>
      <c r="AN188" t="s">
        <v>1895</v>
      </c>
      <c r="AO188" t="s">
        <v>1971</v>
      </c>
      <c r="AP188" t="s">
        <v>1408</v>
      </c>
      <c r="AQ188" t="s">
        <v>1353</v>
      </c>
      <c r="AR188" t="s">
        <v>1303</v>
      </c>
      <c r="AS188" t="s">
        <v>1282</v>
      </c>
      <c r="AT188" t="s">
        <v>1894</v>
      </c>
    </row>
    <row r="189" spans="4:46" x14ac:dyDescent="0.25">
      <c r="D189" t="s">
        <v>1195</v>
      </c>
      <c r="E189" s="177" t="str">
        <f>INDEX(tblBOneExport[[INSTRUMENT]:[ISIN]],MATCH(tblGetStaticData[[#This Row],[ISIN]],tblBOneExport[ISIN],0),1)</f>
        <v>TFL 3.625 15/05/45 EMTN</v>
      </c>
      <c r="F189" s="155" t="str">
        <f>tblGetStaticData[[#This Row],[iPasL2]]&amp; " " &amp; tblGetStaticData[[#This Row],[Tiering]]</f>
        <v>Foreign Agency SEN</v>
      </c>
      <c r="G189" s="155" t="s">
        <v>1282</v>
      </c>
      <c r="H189" t="s">
        <v>1331</v>
      </c>
      <c r="I189" t="s">
        <v>1331</v>
      </c>
      <c r="J189" t="s">
        <v>1331</v>
      </c>
      <c r="K189" t="s">
        <v>1189</v>
      </c>
      <c r="L189" t="s">
        <v>1408</v>
      </c>
      <c r="M189" t="s">
        <v>493</v>
      </c>
      <c r="N189" t="s">
        <v>1882</v>
      </c>
      <c r="O189" t="s">
        <v>1360</v>
      </c>
      <c r="P189" t="s">
        <v>1885</v>
      </c>
      <c r="Q189" t="s">
        <v>1886</v>
      </c>
      <c r="R189" t="s">
        <v>1360</v>
      </c>
      <c r="S189" t="s">
        <v>1885</v>
      </c>
      <c r="T189" t="s">
        <v>1886</v>
      </c>
      <c r="U189" t="s">
        <v>1887</v>
      </c>
      <c r="V189" t="s">
        <v>1195</v>
      </c>
      <c r="W189" t="s">
        <v>1189</v>
      </c>
      <c r="X189" t="s">
        <v>1942</v>
      </c>
      <c r="Y189" t="s">
        <v>2164</v>
      </c>
      <c r="Z189" t="s">
        <v>2165</v>
      </c>
      <c r="AA189" t="s">
        <v>493</v>
      </c>
      <c r="AB189" t="s">
        <v>1899</v>
      </c>
      <c r="AC189" t="s">
        <v>1282</v>
      </c>
      <c r="AD189" t="s">
        <v>2189</v>
      </c>
      <c r="AE189" t="s">
        <v>2184</v>
      </c>
      <c r="AF189" t="s">
        <v>2189</v>
      </c>
      <c r="AG189" t="s">
        <v>2184</v>
      </c>
      <c r="AH189" t="s">
        <v>1360</v>
      </c>
      <c r="AI189" t="s">
        <v>1360</v>
      </c>
      <c r="AJ189" t="s">
        <v>1885</v>
      </c>
      <c r="AK189" t="s">
        <v>1886</v>
      </c>
      <c r="AL189" t="s">
        <v>1360</v>
      </c>
      <c r="AM189" t="s">
        <v>1885</v>
      </c>
      <c r="AN189" t="s">
        <v>1886</v>
      </c>
      <c r="AO189" t="s">
        <v>1999</v>
      </c>
      <c r="AP189" t="s">
        <v>1303</v>
      </c>
      <c r="AQ189" t="s">
        <v>1408</v>
      </c>
      <c r="AR189" t="s">
        <v>1408</v>
      </c>
      <c r="AS189" t="s">
        <v>1282</v>
      </c>
      <c r="AT189" t="s">
        <v>1894</v>
      </c>
    </row>
    <row r="190" spans="4:46" x14ac:dyDescent="0.25">
      <c r="D190" t="s">
        <v>1085</v>
      </c>
      <c r="E190" s="177" t="str">
        <f>INDEX(tblBOneExport[[INSTRUMENT]:[ISIN]],MATCH(tblGetStaticData[[#This Row],[ISIN]],tblBOneExport[ISIN],0),1)</f>
        <v>ROLLS ROYCE PLC 3.375 18/06/26 EMTN</v>
      </c>
      <c r="F190" s="155" t="str">
        <f>tblGetStaticData[[#This Row],[iPasL2]]&amp; " " &amp; tblGetStaticData[[#This Row],[Tiering]]</f>
        <v>Capital Goods SEN</v>
      </c>
      <c r="G190" s="155" t="s">
        <v>1282</v>
      </c>
      <c r="H190" t="s">
        <v>1291</v>
      </c>
      <c r="I190" t="s">
        <v>1291</v>
      </c>
      <c r="J190" t="s">
        <v>1413</v>
      </c>
      <c r="K190" t="s">
        <v>1083</v>
      </c>
      <c r="L190" t="s">
        <v>1315</v>
      </c>
      <c r="M190" t="s">
        <v>493</v>
      </c>
      <c r="N190" t="s">
        <v>1882</v>
      </c>
      <c r="O190" t="s">
        <v>1360</v>
      </c>
      <c r="P190" t="s">
        <v>1885</v>
      </c>
      <c r="Q190" t="s">
        <v>1886</v>
      </c>
      <c r="R190" t="s">
        <v>1360</v>
      </c>
      <c r="S190" t="s">
        <v>1885</v>
      </c>
      <c r="T190" t="s">
        <v>1886</v>
      </c>
      <c r="U190" t="s">
        <v>1887</v>
      </c>
      <c r="V190" t="s">
        <v>1085</v>
      </c>
      <c r="W190" t="s">
        <v>1083</v>
      </c>
      <c r="X190" t="s">
        <v>1937</v>
      </c>
      <c r="Y190" t="s">
        <v>1413</v>
      </c>
      <c r="Z190" t="s">
        <v>1413</v>
      </c>
      <c r="AA190" t="s">
        <v>493</v>
      </c>
      <c r="AB190" t="s">
        <v>1899</v>
      </c>
      <c r="AC190" t="s">
        <v>1282</v>
      </c>
      <c r="AD190" t="s">
        <v>2190</v>
      </c>
      <c r="AE190" t="s">
        <v>1951</v>
      </c>
      <c r="AF190" t="s">
        <v>2190</v>
      </c>
      <c r="AG190" t="s">
        <v>1951</v>
      </c>
      <c r="AH190" t="s">
        <v>1360</v>
      </c>
      <c r="AI190" t="s">
        <v>1360</v>
      </c>
      <c r="AJ190" t="s">
        <v>1885</v>
      </c>
      <c r="AK190" t="s">
        <v>1886</v>
      </c>
      <c r="AL190" t="s">
        <v>1360</v>
      </c>
      <c r="AM190" t="s">
        <v>1885</v>
      </c>
      <c r="AN190" t="s">
        <v>1886</v>
      </c>
      <c r="AO190" t="s">
        <v>1892</v>
      </c>
      <c r="AP190" t="s">
        <v>1315</v>
      </c>
      <c r="AQ190" t="s">
        <v>1281</v>
      </c>
      <c r="AR190" t="s">
        <v>1315</v>
      </c>
      <c r="AS190" t="s">
        <v>1282</v>
      </c>
      <c r="AT190" t="s">
        <v>1894</v>
      </c>
    </row>
    <row r="191" spans="4:46" x14ac:dyDescent="0.25">
      <c r="D191" t="s">
        <v>1218</v>
      </c>
      <c r="E191" s="177" t="str">
        <f>INDEX(tblBOneExport[[INSTRUMENT]:[ISIN]],MATCH(tblGetStaticData[[#This Row],[ISIN]],tblBOneExport[ISIN],0),1)</f>
        <v>UNIV OF MANCHEST 4.25 04/07/53</v>
      </c>
      <c r="F191" s="155" t="str">
        <f>tblGetStaticData[[#This Row],[iPasL2]]&amp; " " &amp; tblGetStaticData[[#This Row],[Tiering]]</f>
        <v>Other Industrial SEN</v>
      </c>
      <c r="G191" s="155" t="s">
        <v>1282</v>
      </c>
      <c r="H191" t="s">
        <v>1717</v>
      </c>
      <c r="I191" t="s">
        <v>1717</v>
      </c>
      <c r="J191" t="s">
        <v>1717</v>
      </c>
      <c r="K191" t="s">
        <v>1219</v>
      </c>
      <c r="L191" t="s">
        <v>1303</v>
      </c>
      <c r="M191" t="s">
        <v>493</v>
      </c>
      <c r="N191" t="s">
        <v>1882</v>
      </c>
      <c r="O191" t="s">
        <v>1360</v>
      </c>
      <c r="P191" t="s">
        <v>1885</v>
      </c>
      <c r="Q191" t="s">
        <v>1886</v>
      </c>
      <c r="R191" t="s">
        <v>1360</v>
      </c>
      <c r="S191" t="s">
        <v>1885</v>
      </c>
      <c r="T191" t="s">
        <v>1886</v>
      </c>
      <c r="U191" t="s">
        <v>1887</v>
      </c>
      <c r="V191" t="s">
        <v>1218</v>
      </c>
      <c r="W191" t="s">
        <v>1219</v>
      </c>
      <c r="X191" t="s">
        <v>1896</v>
      </c>
      <c r="Y191" t="s">
        <v>2027</v>
      </c>
      <c r="Z191" t="s">
        <v>2174</v>
      </c>
      <c r="AA191" t="s">
        <v>493</v>
      </c>
      <c r="AB191" t="s">
        <v>1899</v>
      </c>
      <c r="AC191" t="s">
        <v>1282</v>
      </c>
      <c r="AD191" t="s">
        <v>2191</v>
      </c>
      <c r="AE191" t="s">
        <v>1904</v>
      </c>
      <c r="AF191" t="s">
        <v>2191</v>
      </c>
      <c r="AG191" t="s">
        <v>1904</v>
      </c>
      <c r="AH191" t="s">
        <v>1360</v>
      </c>
      <c r="AI191" t="s">
        <v>1360</v>
      </c>
      <c r="AJ191" t="s">
        <v>1885</v>
      </c>
      <c r="AK191" t="s">
        <v>1886</v>
      </c>
      <c r="AL191" t="s">
        <v>1360</v>
      </c>
      <c r="AM191" t="s">
        <v>1885</v>
      </c>
      <c r="AN191" t="s">
        <v>1886</v>
      </c>
      <c r="AO191" t="s">
        <v>1971</v>
      </c>
      <c r="AP191" t="s">
        <v>1893</v>
      </c>
      <c r="AQ191" t="s">
        <v>1893</v>
      </c>
      <c r="AR191" t="s">
        <v>1873</v>
      </c>
      <c r="AS191" t="s">
        <v>1282</v>
      </c>
      <c r="AT191" t="s">
        <v>1894</v>
      </c>
    </row>
    <row r="192" spans="4:46" x14ac:dyDescent="0.25">
      <c r="D192" t="s">
        <v>656</v>
      </c>
      <c r="E192" s="177" t="str">
        <f>INDEX(tblBOneExport[[INSTRUMENT]:[ISIN]],MATCH(tblGetStaticData[[#This Row],[ISIN]],tblBOneExport[ISIN],0),1)</f>
        <v>DEUTSCH BAHN FIN 3.125 24/07/26 EMTN</v>
      </c>
      <c r="F192" s="155" t="str">
        <f>tblGetStaticData[[#This Row],[iPasL2]]&amp; " " &amp; tblGetStaticData[[#This Row],[Tiering]]</f>
        <v>Transportation SEN</v>
      </c>
      <c r="G192" s="155" t="s">
        <v>1282</v>
      </c>
      <c r="H192" t="s">
        <v>1348</v>
      </c>
      <c r="I192" t="s">
        <v>1348</v>
      </c>
      <c r="J192" t="s">
        <v>1349</v>
      </c>
      <c r="K192" t="s">
        <v>657</v>
      </c>
      <c r="L192" t="s">
        <v>1303</v>
      </c>
      <c r="M192" t="s">
        <v>493</v>
      </c>
      <c r="N192" t="s">
        <v>1882</v>
      </c>
      <c r="O192" t="s">
        <v>1295</v>
      </c>
      <c r="P192" t="s">
        <v>1294</v>
      </c>
      <c r="Q192" t="s">
        <v>1895</v>
      </c>
      <c r="R192" t="s">
        <v>1433</v>
      </c>
      <c r="S192" t="s">
        <v>1432</v>
      </c>
      <c r="T192" t="s">
        <v>1895</v>
      </c>
      <c r="U192" t="s">
        <v>1887</v>
      </c>
      <c r="V192" t="s">
        <v>656</v>
      </c>
      <c r="W192" t="s">
        <v>657</v>
      </c>
      <c r="X192" t="s">
        <v>1942</v>
      </c>
      <c r="Y192" t="s">
        <v>182</v>
      </c>
      <c r="Z192" t="s">
        <v>1970</v>
      </c>
      <c r="AA192" t="s">
        <v>493</v>
      </c>
      <c r="AB192" t="s">
        <v>1899</v>
      </c>
      <c r="AC192" t="s">
        <v>1282</v>
      </c>
      <c r="AD192" t="s">
        <v>2192</v>
      </c>
      <c r="AE192" t="s">
        <v>1951</v>
      </c>
      <c r="AF192" t="s">
        <v>2192</v>
      </c>
      <c r="AG192" t="s">
        <v>1951</v>
      </c>
      <c r="AH192" t="s">
        <v>1295</v>
      </c>
      <c r="AI192" t="s">
        <v>1295</v>
      </c>
      <c r="AJ192" t="s">
        <v>1294</v>
      </c>
      <c r="AK192" t="s">
        <v>1895</v>
      </c>
      <c r="AL192" t="s">
        <v>1433</v>
      </c>
      <c r="AM192" t="s">
        <v>1432</v>
      </c>
      <c r="AN192" t="s">
        <v>1895</v>
      </c>
      <c r="AO192" t="s">
        <v>1971</v>
      </c>
      <c r="AP192" t="s">
        <v>1408</v>
      </c>
      <c r="AQ192" t="s">
        <v>1408</v>
      </c>
      <c r="AR192" t="s">
        <v>1303</v>
      </c>
      <c r="AS192" t="s">
        <v>1282</v>
      </c>
      <c r="AT192" t="s">
        <v>1894</v>
      </c>
    </row>
    <row r="193" spans="4:46" x14ac:dyDescent="0.25">
      <c r="D193" t="s">
        <v>1240</v>
      </c>
      <c r="E193" s="177" t="str">
        <f>INDEX(tblBOneExport[[INSTRUMENT]:[ISIN]],MATCH(tblGetStaticData[[#This Row],[ISIN]],tblBOneExport[ISIN],0),1)</f>
        <v>VOLKSWAGEN FIN 1.75 21/08/17 EMTN</v>
      </c>
      <c r="F193" s="155" t="str">
        <f>tblGetStaticData[[#This Row],[iPasL2]]&amp; " " &amp; tblGetStaticData[[#This Row],[Tiering]]</f>
        <v>Consumer Cyclical SEN</v>
      </c>
      <c r="G193" s="155" t="s">
        <v>1282</v>
      </c>
      <c r="H193" t="s">
        <v>1306</v>
      </c>
      <c r="I193" t="s">
        <v>1306</v>
      </c>
      <c r="J193" t="s">
        <v>1307</v>
      </c>
      <c r="K193" t="s">
        <v>1241</v>
      </c>
      <c r="L193" t="s">
        <v>1281</v>
      </c>
      <c r="M193" t="s">
        <v>493</v>
      </c>
      <c r="N193" t="s">
        <v>1882</v>
      </c>
      <c r="O193" t="s">
        <v>1295</v>
      </c>
      <c r="P193" t="s">
        <v>1294</v>
      </c>
      <c r="Q193" t="s">
        <v>1895</v>
      </c>
      <c r="R193" t="s">
        <v>1433</v>
      </c>
      <c r="S193" t="s">
        <v>1432</v>
      </c>
      <c r="T193" t="s">
        <v>1895</v>
      </c>
      <c r="U193" t="s">
        <v>1887</v>
      </c>
      <c r="V193" t="s">
        <v>1240</v>
      </c>
      <c r="W193" t="s">
        <v>1241</v>
      </c>
      <c r="X193" t="s">
        <v>1932</v>
      </c>
      <c r="Y193" t="s">
        <v>2095</v>
      </c>
      <c r="Z193" t="s">
        <v>2096</v>
      </c>
      <c r="AA193" t="s">
        <v>493</v>
      </c>
      <c r="AB193" t="s">
        <v>1899</v>
      </c>
      <c r="AC193" t="s">
        <v>1282</v>
      </c>
      <c r="AD193" t="s">
        <v>2193</v>
      </c>
      <c r="AE193" t="s">
        <v>1936</v>
      </c>
      <c r="AF193" t="s">
        <v>2193</v>
      </c>
      <c r="AG193" t="s">
        <v>1936</v>
      </c>
      <c r="AH193" t="s">
        <v>1295</v>
      </c>
      <c r="AI193" t="s">
        <v>1295</v>
      </c>
      <c r="AJ193" t="s">
        <v>1294</v>
      </c>
      <c r="AK193" t="s">
        <v>1895</v>
      </c>
      <c r="AL193" t="s">
        <v>1433</v>
      </c>
      <c r="AM193" t="s">
        <v>1432</v>
      </c>
      <c r="AN193" t="s">
        <v>1895</v>
      </c>
      <c r="AO193" t="s">
        <v>1902</v>
      </c>
      <c r="AP193" t="s">
        <v>1315</v>
      </c>
      <c r="AQ193" t="s">
        <v>1893</v>
      </c>
      <c r="AR193" t="s">
        <v>1281</v>
      </c>
      <c r="AS193" t="s">
        <v>1282</v>
      </c>
      <c r="AT193" t="s">
        <v>1894</v>
      </c>
    </row>
    <row r="194" spans="4:46" x14ac:dyDescent="0.25">
      <c r="D194" t="s">
        <v>1193</v>
      </c>
      <c r="E194" s="177" t="str">
        <f>INDEX(tblBOneExport[[INSTRUMENT]:[ISIN]],MATCH(tblGetStaticData[[#This Row],[ISIN]],tblBOneExport[ISIN],0),1)</f>
        <v>TFL 4 12/09/33 EMTN</v>
      </c>
      <c r="F194" s="155" t="str">
        <f>tblGetStaticData[[#This Row],[iPasL2]]&amp; " " &amp; tblGetStaticData[[#This Row],[Tiering]]</f>
        <v>Foreign Agency SEN</v>
      </c>
      <c r="G194" s="155" t="s">
        <v>1282</v>
      </c>
      <c r="H194" t="s">
        <v>1331</v>
      </c>
      <c r="I194" t="s">
        <v>1331</v>
      </c>
      <c r="J194" t="s">
        <v>1331</v>
      </c>
      <c r="K194" t="s">
        <v>1189</v>
      </c>
      <c r="L194" t="s">
        <v>1408</v>
      </c>
      <c r="M194" t="s">
        <v>493</v>
      </c>
      <c r="N194" t="s">
        <v>1882</v>
      </c>
      <c r="O194" t="s">
        <v>1360</v>
      </c>
      <c r="P194" t="s">
        <v>1885</v>
      </c>
      <c r="Q194" t="s">
        <v>1886</v>
      </c>
      <c r="R194" t="s">
        <v>1360</v>
      </c>
      <c r="S194" t="s">
        <v>1885</v>
      </c>
      <c r="T194" t="s">
        <v>1886</v>
      </c>
      <c r="U194" t="s">
        <v>1887</v>
      </c>
      <c r="V194" t="s">
        <v>1193</v>
      </c>
      <c r="W194" t="s">
        <v>1189</v>
      </c>
      <c r="X194" t="s">
        <v>1942</v>
      </c>
      <c r="Y194" t="s">
        <v>2164</v>
      </c>
      <c r="Z194" t="s">
        <v>2165</v>
      </c>
      <c r="AA194" t="s">
        <v>493</v>
      </c>
      <c r="AB194" t="s">
        <v>1899</v>
      </c>
      <c r="AC194" t="s">
        <v>1282</v>
      </c>
      <c r="AD194" t="s">
        <v>2194</v>
      </c>
      <c r="AE194" t="s">
        <v>2007</v>
      </c>
      <c r="AF194" t="s">
        <v>2194</v>
      </c>
      <c r="AG194" t="s">
        <v>2007</v>
      </c>
      <c r="AH194" t="s">
        <v>1360</v>
      </c>
      <c r="AI194" t="s">
        <v>1360</v>
      </c>
      <c r="AJ194" t="s">
        <v>1885</v>
      </c>
      <c r="AK194" t="s">
        <v>1886</v>
      </c>
      <c r="AL194" t="s">
        <v>1360</v>
      </c>
      <c r="AM194" t="s">
        <v>1885</v>
      </c>
      <c r="AN194" t="s">
        <v>1886</v>
      </c>
      <c r="AO194" t="s">
        <v>1999</v>
      </c>
      <c r="AP194" t="s">
        <v>1303</v>
      </c>
      <c r="AQ194" t="s">
        <v>1408</v>
      </c>
      <c r="AR194" t="s">
        <v>1408</v>
      </c>
      <c r="AS194" t="s">
        <v>1282</v>
      </c>
      <c r="AT194" t="s">
        <v>1894</v>
      </c>
    </row>
    <row r="195" spans="4:46" x14ac:dyDescent="0.25">
      <c r="D195" t="s">
        <v>858</v>
      </c>
      <c r="E195" s="177" t="str">
        <f>INDEX(tblBOneExport[[INSTRUMENT]:[ISIN]],MATCH(tblGetStaticData[[#This Row],[ISIN]],tblBOneExport[ISIN],0),1)</f>
        <v>INT BK RECON&amp;DEV 1.25 02/10/17 EMTN</v>
      </c>
      <c r="F195" s="155" t="str">
        <f>tblGetStaticData[[#This Row],[iPasL2]]&amp; " " &amp; tblGetStaticData[[#This Row],[Tiering]]</f>
        <v>Supranationals SEN</v>
      </c>
      <c r="G195" s="155" t="s">
        <v>1282</v>
      </c>
      <c r="H195" t="s">
        <v>1352</v>
      </c>
      <c r="I195" t="s">
        <v>1352</v>
      </c>
      <c r="J195" t="s">
        <v>1352</v>
      </c>
      <c r="K195" t="s">
        <v>859</v>
      </c>
      <c r="L195" t="s">
        <v>1353</v>
      </c>
      <c r="M195" t="s">
        <v>493</v>
      </c>
      <c r="N195" t="s">
        <v>1882</v>
      </c>
      <c r="O195" t="s">
        <v>1309</v>
      </c>
      <c r="P195" t="s">
        <v>1960</v>
      </c>
      <c r="Q195" t="s">
        <v>1961</v>
      </c>
      <c r="R195" t="s">
        <v>1309</v>
      </c>
      <c r="S195" t="s">
        <v>1960</v>
      </c>
      <c r="T195" t="s">
        <v>1961</v>
      </c>
      <c r="U195" t="s">
        <v>1962</v>
      </c>
      <c r="V195" t="s">
        <v>858</v>
      </c>
      <c r="W195" t="s">
        <v>859</v>
      </c>
      <c r="X195" t="s">
        <v>1942</v>
      </c>
      <c r="Y195" t="s">
        <v>1943</v>
      </c>
      <c r="Z195" t="s">
        <v>1944</v>
      </c>
      <c r="AA195" t="s">
        <v>493</v>
      </c>
      <c r="AB195" t="s">
        <v>1899</v>
      </c>
      <c r="AC195" t="s">
        <v>1282</v>
      </c>
      <c r="AD195" t="s">
        <v>2097</v>
      </c>
      <c r="AE195" t="s">
        <v>1936</v>
      </c>
      <c r="AF195" t="s">
        <v>2097</v>
      </c>
      <c r="AG195" t="s">
        <v>1936</v>
      </c>
      <c r="AH195" t="s">
        <v>1946</v>
      </c>
      <c r="AI195" t="s">
        <v>1309</v>
      </c>
      <c r="AJ195" t="s">
        <v>1960</v>
      </c>
      <c r="AK195" t="s">
        <v>1961</v>
      </c>
      <c r="AL195" t="s">
        <v>1946</v>
      </c>
      <c r="AO195" t="s">
        <v>1947</v>
      </c>
      <c r="AP195" t="s">
        <v>1353</v>
      </c>
      <c r="AQ195" t="s">
        <v>1353</v>
      </c>
      <c r="AR195" t="s">
        <v>1353</v>
      </c>
      <c r="AS195" t="s">
        <v>1282</v>
      </c>
      <c r="AT195" t="s">
        <v>1894</v>
      </c>
    </row>
    <row r="196" spans="4:46" x14ac:dyDescent="0.25">
      <c r="D196" t="s">
        <v>995</v>
      </c>
      <c r="E196" s="177" t="str">
        <f>INDEX(tblBOneExport[[INSTRUMENT]:[ISIN]],MATCH(tblGetStaticData[[#This Row],[ISIN]],tblBOneExport[ISIN],0),1)</f>
        <v>NEXT PLC 4.375 02/10/26</v>
      </c>
      <c r="F196" s="155" t="str">
        <f>tblGetStaticData[[#This Row],[iPasL2]]&amp; " " &amp; tblGetStaticData[[#This Row],[Tiering]]</f>
        <v>Consumer Cyclical SEN</v>
      </c>
      <c r="G196" s="155" t="s">
        <v>1282</v>
      </c>
      <c r="H196" t="s">
        <v>1306</v>
      </c>
      <c r="I196" t="s">
        <v>1306</v>
      </c>
      <c r="J196" t="s">
        <v>1306</v>
      </c>
      <c r="K196" t="s">
        <v>993</v>
      </c>
      <c r="L196" t="s">
        <v>1288</v>
      </c>
      <c r="M196" t="s">
        <v>493</v>
      </c>
      <c r="N196" t="s">
        <v>1882</v>
      </c>
      <c r="O196" t="s">
        <v>1360</v>
      </c>
      <c r="P196" t="s">
        <v>1885</v>
      </c>
      <c r="Q196" t="s">
        <v>1886</v>
      </c>
      <c r="R196" t="s">
        <v>1360</v>
      </c>
      <c r="S196" t="s">
        <v>1885</v>
      </c>
      <c r="T196" t="s">
        <v>1886</v>
      </c>
      <c r="U196" t="s">
        <v>1887</v>
      </c>
      <c r="V196" t="s">
        <v>995</v>
      </c>
      <c r="W196" t="s">
        <v>993</v>
      </c>
      <c r="X196" t="s">
        <v>1932</v>
      </c>
      <c r="Y196" t="s">
        <v>1996</v>
      </c>
      <c r="Z196" t="s">
        <v>2140</v>
      </c>
      <c r="AA196" t="s">
        <v>493</v>
      </c>
      <c r="AB196" t="s">
        <v>1899</v>
      </c>
      <c r="AC196" t="s">
        <v>1282</v>
      </c>
      <c r="AD196" t="s">
        <v>2195</v>
      </c>
      <c r="AE196" t="s">
        <v>1951</v>
      </c>
      <c r="AF196" t="s">
        <v>2195</v>
      </c>
      <c r="AG196" t="s">
        <v>1951</v>
      </c>
      <c r="AH196" t="s">
        <v>1360</v>
      </c>
      <c r="AI196" t="s">
        <v>1360</v>
      </c>
      <c r="AJ196" t="s">
        <v>1885</v>
      </c>
      <c r="AK196" t="s">
        <v>1886</v>
      </c>
      <c r="AL196" t="s">
        <v>1360</v>
      </c>
      <c r="AM196" t="s">
        <v>1885</v>
      </c>
      <c r="AN196" t="s">
        <v>1886</v>
      </c>
      <c r="AO196" t="s">
        <v>1940</v>
      </c>
      <c r="AP196" t="s">
        <v>1288</v>
      </c>
      <c r="AQ196" t="s">
        <v>1893</v>
      </c>
      <c r="AR196" t="s">
        <v>1288</v>
      </c>
      <c r="AS196" t="s">
        <v>1282</v>
      </c>
      <c r="AT196" t="s">
        <v>1894</v>
      </c>
    </row>
    <row r="197" spans="4:46" x14ac:dyDescent="0.25">
      <c r="D197" t="s">
        <v>836</v>
      </c>
      <c r="E197" s="177" t="str">
        <f>INDEX(tblBOneExport[[INSTRUMENT]:[ISIN]],MATCH(tblGetStaticData[[#This Row],[ISIN]],tblBOneExport[ISIN],0),1)</f>
        <v>HEATHROW FNDG 4.625 31/10/46</v>
      </c>
      <c r="F197" s="155" t="str">
        <f>tblGetStaticData[[#This Row],[iPasL2]]&amp; " " &amp; tblGetStaticData[[#This Row],[Tiering]]</f>
        <v>Transportation SEN</v>
      </c>
      <c r="G197" s="155" t="s">
        <v>1282</v>
      </c>
      <c r="H197" t="s">
        <v>1348</v>
      </c>
      <c r="I197" t="s">
        <v>1348</v>
      </c>
      <c r="J197" t="s">
        <v>1349</v>
      </c>
      <c r="K197" t="s">
        <v>828</v>
      </c>
      <c r="L197" t="s">
        <v>1281</v>
      </c>
      <c r="M197" t="s">
        <v>493</v>
      </c>
      <c r="N197" t="s">
        <v>1882</v>
      </c>
      <c r="O197" t="s">
        <v>1360</v>
      </c>
      <c r="P197" t="s">
        <v>1885</v>
      </c>
      <c r="Q197" t="s">
        <v>1886</v>
      </c>
      <c r="R197" t="s">
        <v>1360</v>
      </c>
      <c r="S197" t="s">
        <v>1885</v>
      </c>
      <c r="T197" t="s">
        <v>1886</v>
      </c>
      <c r="U197" t="s">
        <v>1887</v>
      </c>
      <c r="V197" t="s">
        <v>836</v>
      </c>
      <c r="W197" t="s">
        <v>828</v>
      </c>
      <c r="X197" t="s">
        <v>1937</v>
      </c>
      <c r="Y197" t="s">
        <v>2067</v>
      </c>
      <c r="Z197" t="s">
        <v>2068</v>
      </c>
      <c r="AA197" t="s">
        <v>493</v>
      </c>
      <c r="AB197" t="s">
        <v>1889</v>
      </c>
      <c r="AC197" t="s">
        <v>1282</v>
      </c>
      <c r="AD197" t="s">
        <v>2196</v>
      </c>
      <c r="AE197" t="s">
        <v>2163</v>
      </c>
      <c r="AF197" t="s">
        <v>2196</v>
      </c>
      <c r="AG197" t="s">
        <v>2163</v>
      </c>
      <c r="AH197" t="s">
        <v>1542</v>
      </c>
      <c r="AI197" t="s">
        <v>1360</v>
      </c>
      <c r="AJ197" t="s">
        <v>1885</v>
      </c>
      <c r="AK197" t="s">
        <v>1886</v>
      </c>
      <c r="AL197" t="s">
        <v>1360</v>
      </c>
      <c r="AM197" t="s">
        <v>1885</v>
      </c>
      <c r="AN197" t="s">
        <v>1886</v>
      </c>
      <c r="AO197" t="s">
        <v>1893</v>
      </c>
      <c r="AP197" t="s">
        <v>1281</v>
      </c>
      <c r="AQ197" t="s">
        <v>1281</v>
      </c>
      <c r="AR197" t="s">
        <v>1281</v>
      </c>
      <c r="AS197" t="s">
        <v>1282</v>
      </c>
      <c r="AT197" t="s">
        <v>1894</v>
      </c>
    </row>
    <row r="198" spans="4:46" x14ac:dyDescent="0.25">
      <c r="D198" t="s">
        <v>649</v>
      </c>
      <c r="E198" s="177" t="str">
        <f>INDEX(tblBOneExport[[INSTRUMENT]:[ISIN]],MATCH(tblGetStaticData[[#This Row],[ISIN]],tblBOneExport[ISIN],0),1)</f>
        <v>DAIMLER AG 1.75 08/11/17 EMTN</v>
      </c>
      <c r="F198" s="155" t="str">
        <f>tblGetStaticData[[#This Row],[iPasL2]]&amp; " " &amp; tblGetStaticData[[#This Row],[Tiering]]</f>
        <v>Consumer Cyclical SEN</v>
      </c>
      <c r="G198" s="155" t="s">
        <v>1282</v>
      </c>
      <c r="H198" t="s">
        <v>1306</v>
      </c>
      <c r="I198" t="s">
        <v>1306</v>
      </c>
      <c r="J198" t="s">
        <v>1307</v>
      </c>
      <c r="K198" t="s">
        <v>645</v>
      </c>
      <c r="L198" t="s">
        <v>1281</v>
      </c>
      <c r="M198" t="s">
        <v>493</v>
      </c>
      <c r="N198" t="s">
        <v>1882</v>
      </c>
      <c r="O198" t="s">
        <v>1433</v>
      </c>
      <c r="P198" t="s">
        <v>1432</v>
      </c>
      <c r="Q198" t="s">
        <v>1895</v>
      </c>
      <c r="R198" t="s">
        <v>1433</v>
      </c>
      <c r="S198" t="s">
        <v>1432</v>
      </c>
      <c r="T198" t="s">
        <v>1895</v>
      </c>
      <c r="U198" t="s">
        <v>1887</v>
      </c>
      <c r="V198" t="s">
        <v>649</v>
      </c>
      <c r="W198" t="s">
        <v>645</v>
      </c>
      <c r="X198" t="s">
        <v>1932</v>
      </c>
      <c r="Y198" t="s">
        <v>2095</v>
      </c>
      <c r="Z198" t="s">
        <v>2096</v>
      </c>
      <c r="AA198" t="s">
        <v>493</v>
      </c>
      <c r="AB198" t="s">
        <v>1899</v>
      </c>
      <c r="AC198" t="s">
        <v>1282</v>
      </c>
      <c r="AD198" t="s">
        <v>2197</v>
      </c>
      <c r="AE198" t="s">
        <v>1936</v>
      </c>
      <c r="AF198" t="s">
        <v>2197</v>
      </c>
      <c r="AG198" t="s">
        <v>1936</v>
      </c>
      <c r="AH198" t="s">
        <v>1433</v>
      </c>
      <c r="AI198" t="s">
        <v>1433</v>
      </c>
      <c r="AJ198" t="s">
        <v>1432</v>
      </c>
      <c r="AK198" t="s">
        <v>1895</v>
      </c>
      <c r="AL198" t="s">
        <v>1433</v>
      </c>
      <c r="AM198" t="s">
        <v>1432</v>
      </c>
      <c r="AN198" t="s">
        <v>1895</v>
      </c>
      <c r="AO198" t="s">
        <v>1902</v>
      </c>
      <c r="AP198" t="s">
        <v>1332</v>
      </c>
      <c r="AQ198" t="s">
        <v>1281</v>
      </c>
      <c r="AR198" t="s">
        <v>1281</v>
      </c>
      <c r="AS198" t="s">
        <v>1282</v>
      </c>
      <c r="AT198" t="s">
        <v>1894</v>
      </c>
    </row>
    <row r="199" spans="4:46" x14ac:dyDescent="0.25">
      <c r="D199" t="s">
        <v>854</v>
      </c>
      <c r="E199" s="177" t="str">
        <f>INDEX(tblBOneExport[[INSTRUMENT]:[ISIN]],MATCH(tblGetStaticData[[#This Row],[ISIN]],tblBOneExport[ISIN],0),1)</f>
        <v>INTERAMER DEV BK 1.25 15/12/17 GDIF</v>
      </c>
      <c r="F199" s="155" t="str">
        <f>tblGetStaticData[[#This Row],[iPasL2]]&amp; " " &amp; tblGetStaticData[[#This Row],[Tiering]]</f>
        <v>Supranationals SEN</v>
      </c>
      <c r="G199" s="155" t="s">
        <v>1282</v>
      </c>
      <c r="H199" t="s">
        <v>1352</v>
      </c>
      <c r="I199" t="s">
        <v>1352</v>
      </c>
      <c r="J199" t="s">
        <v>1352</v>
      </c>
      <c r="K199" t="s">
        <v>855</v>
      </c>
      <c r="L199" t="s">
        <v>1353</v>
      </c>
      <c r="M199" t="s">
        <v>493</v>
      </c>
      <c r="N199" t="s">
        <v>1882</v>
      </c>
      <c r="O199" t="s">
        <v>1309</v>
      </c>
      <c r="P199" t="s">
        <v>1960</v>
      </c>
      <c r="Q199" t="s">
        <v>1961</v>
      </c>
      <c r="R199" t="s">
        <v>1309</v>
      </c>
      <c r="S199" t="s">
        <v>1960</v>
      </c>
      <c r="T199" t="s">
        <v>1961</v>
      </c>
      <c r="U199" t="s">
        <v>1962</v>
      </c>
      <c r="V199" t="s">
        <v>854</v>
      </c>
      <c r="W199" t="s">
        <v>855</v>
      </c>
      <c r="X199" t="s">
        <v>1942</v>
      </c>
      <c r="Y199" t="s">
        <v>1943</v>
      </c>
      <c r="Z199" t="s">
        <v>1944</v>
      </c>
      <c r="AA199" t="s">
        <v>493</v>
      </c>
      <c r="AB199" t="s">
        <v>1899</v>
      </c>
      <c r="AC199" t="s">
        <v>1282</v>
      </c>
      <c r="AD199" t="s">
        <v>2188</v>
      </c>
      <c r="AE199" t="s">
        <v>1936</v>
      </c>
      <c r="AF199" t="s">
        <v>2188</v>
      </c>
      <c r="AG199" t="s">
        <v>1936</v>
      </c>
      <c r="AH199" t="s">
        <v>1946</v>
      </c>
      <c r="AI199" t="s">
        <v>1309</v>
      </c>
      <c r="AJ199" t="s">
        <v>1960</v>
      </c>
      <c r="AK199" t="s">
        <v>1961</v>
      </c>
      <c r="AL199" t="s">
        <v>1946</v>
      </c>
      <c r="AO199" t="s">
        <v>1947</v>
      </c>
      <c r="AP199" t="s">
        <v>1353</v>
      </c>
      <c r="AQ199" t="s">
        <v>1353</v>
      </c>
      <c r="AR199" t="s">
        <v>1353</v>
      </c>
      <c r="AS199" t="s">
        <v>1282</v>
      </c>
      <c r="AT199" t="s">
        <v>1894</v>
      </c>
    </row>
    <row r="200" spans="4:46" x14ac:dyDescent="0.25">
      <c r="D200" t="s">
        <v>850</v>
      </c>
      <c r="E200" s="177" t="str">
        <f>INDEX(tblBOneExport[[INSTRUMENT]:[ISIN]],MATCH(tblGetStaticData[[#This Row],[ISIN]],tblBOneExport[ISIN],0),1)</f>
        <v>IBM CORP 2.75 21/12/20 EMTN</v>
      </c>
      <c r="F200" s="155" t="str">
        <f>tblGetStaticData[[#This Row],[iPasL2]]&amp; " " &amp; tblGetStaticData[[#This Row],[Tiering]]</f>
        <v>Technology SEN</v>
      </c>
      <c r="G200" s="155" t="s">
        <v>1282</v>
      </c>
      <c r="H200" t="s">
        <v>1769</v>
      </c>
      <c r="I200" t="s">
        <v>1769</v>
      </c>
      <c r="J200" t="s">
        <v>1769</v>
      </c>
      <c r="K200" t="s">
        <v>851</v>
      </c>
      <c r="L200" t="s">
        <v>1293</v>
      </c>
      <c r="M200" t="s">
        <v>493</v>
      </c>
      <c r="N200" t="s">
        <v>1882</v>
      </c>
      <c r="O200" t="s">
        <v>1309</v>
      </c>
      <c r="P200" t="s">
        <v>1960</v>
      </c>
      <c r="Q200" t="s">
        <v>1961</v>
      </c>
      <c r="R200" t="s">
        <v>1309</v>
      </c>
      <c r="S200" t="s">
        <v>1960</v>
      </c>
      <c r="T200" t="s">
        <v>1961</v>
      </c>
      <c r="U200" t="s">
        <v>1962</v>
      </c>
      <c r="V200" t="s">
        <v>850</v>
      </c>
      <c r="W200" t="s">
        <v>851</v>
      </c>
      <c r="X200" t="s">
        <v>1769</v>
      </c>
      <c r="Y200" t="s">
        <v>2198</v>
      </c>
      <c r="Z200" t="s">
        <v>2199</v>
      </c>
      <c r="AA200" t="s">
        <v>493</v>
      </c>
      <c r="AB200" t="s">
        <v>1899</v>
      </c>
      <c r="AC200" t="s">
        <v>1282</v>
      </c>
      <c r="AD200" t="s">
        <v>2200</v>
      </c>
      <c r="AE200" t="s">
        <v>1915</v>
      </c>
      <c r="AF200" t="s">
        <v>2200</v>
      </c>
      <c r="AG200" t="s">
        <v>1915</v>
      </c>
      <c r="AH200" t="s">
        <v>1309</v>
      </c>
      <c r="AI200" t="s">
        <v>1309</v>
      </c>
      <c r="AJ200" t="s">
        <v>1960</v>
      </c>
      <c r="AK200" t="s">
        <v>1961</v>
      </c>
      <c r="AL200" t="s">
        <v>1309</v>
      </c>
      <c r="AM200" t="s">
        <v>1960</v>
      </c>
      <c r="AN200" t="s">
        <v>1961</v>
      </c>
      <c r="AO200" t="s">
        <v>1909</v>
      </c>
      <c r="AP200" t="s">
        <v>1293</v>
      </c>
      <c r="AQ200" t="s">
        <v>1293</v>
      </c>
      <c r="AR200" t="s">
        <v>1293</v>
      </c>
      <c r="AS200" t="s">
        <v>1282</v>
      </c>
      <c r="AT200" t="s">
        <v>1894</v>
      </c>
    </row>
    <row r="201" spans="4:46" x14ac:dyDescent="0.25">
      <c r="D201" t="s">
        <v>644</v>
      </c>
      <c r="E201" s="177" t="str">
        <f>INDEX(tblBOneExport[[INSTRUMENT]:[ISIN]],MATCH(tblGetStaticData[[#This Row],[ISIN]],tblBOneExport[ISIN],0),1)</f>
        <v>DAIMLER AG 2.375 16/07/18 EMTN</v>
      </c>
      <c r="F201" s="155" t="str">
        <f>tblGetStaticData[[#This Row],[iPasL2]]&amp; " " &amp; tblGetStaticData[[#This Row],[Tiering]]</f>
        <v>Consumer Cyclical SEN</v>
      </c>
      <c r="G201" s="155" t="s">
        <v>1282</v>
      </c>
      <c r="H201" t="s">
        <v>1306</v>
      </c>
      <c r="I201" t="s">
        <v>1306</v>
      </c>
      <c r="J201" t="s">
        <v>1307</v>
      </c>
      <c r="K201" t="s">
        <v>645</v>
      </c>
      <c r="L201" t="s">
        <v>1281</v>
      </c>
      <c r="M201" t="s">
        <v>493</v>
      </c>
      <c r="N201" t="s">
        <v>1882</v>
      </c>
      <c r="O201" t="s">
        <v>1433</v>
      </c>
      <c r="P201" t="s">
        <v>1432</v>
      </c>
      <c r="Q201" t="s">
        <v>1895</v>
      </c>
      <c r="R201" t="s">
        <v>1433</v>
      </c>
      <c r="S201" t="s">
        <v>1432</v>
      </c>
      <c r="T201" t="s">
        <v>1895</v>
      </c>
      <c r="U201" t="s">
        <v>1887</v>
      </c>
      <c r="V201" t="s">
        <v>644</v>
      </c>
      <c r="W201" t="s">
        <v>645</v>
      </c>
      <c r="X201" t="s">
        <v>1932</v>
      </c>
      <c r="Y201" t="s">
        <v>2095</v>
      </c>
      <c r="Z201" t="s">
        <v>2096</v>
      </c>
      <c r="AA201" t="s">
        <v>493</v>
      </c>
      <c r="AB201" t="s">
        <v>1899</v>
      </c>
      <c r="AC201" t="s">
        <v>1282</v>
      </c>
      <c r="AD201" t="s">
        <v>2201</v>
      </c>
      <c r="AE201" t="s">
        <v>1936</v>
      </c>
      <c r="AF201" t="s">
        <v>2201</v>
      </c>
      <c r="AG201" t="s">
        <v>1936</v>
      </c>
      <c r="AH201" t="s">
        <v>1433</v>
      </c>
      <c r="AI201" t="s">
        <v>1433</v>
      </c>
      <c r="AJ201" t="s">
        <v>1432</v>
      </c>
      <c r="AK201" t="s">
        <v>1895</v>
      </c>
      <c r="AL201" t="s">
        <v>1433</v>
      </c>
      <c r="AM201" t="s">
        <v>1432</v>
      </c>
      <c r="AN201" t="s">
        <v>1895</v>
      </c>
      <c r="AO201" t="s">
        <v>1902</v>
      </c>
      <c r="AP201" t="s">
        <v>1332</v>
      </c>
      <c r="AQ201" t="s">
        <v>1281</v>
      </c>
      <c r="AR201" t="s">
        <v>1281</v>
      </c>
      <c r="AS201" t="s">
        <v>1282</v>
      </c>
      <c r="AT201" t="s">
        <v>1894</v>
      </c>
    </row>
    <row r="202" spans="4:46" x14ac:dyDescent="0.25">
      <c r="D202" t="s">
        <v>1243</v>
      </c>
      <c r="E202" s="177" t="str">
        <f>INDEX(tblBOneExport[[INSTRUMENT]:[ISIN]],MATCH(tblGetStaticData[[#This Row],[ISIN]],tblBOneExport[ISIN],0),1)</f>
        <v>VOLKSWAGEN FIN 2.625 22/07/19 EMTN</v>
      </c>
      <c r="F202" s="155" t="str">
        <f>tblGetStaticData[[#This Row],[iPasL2]]&amp; " " &amp; tblGetStaticData[[#This Row],[Tiering]]</f>
        <v>Consumer Cyclical SEN</v>
      </c>
      <c r="G202" s="155" t="s">
        <v>1282</v>
      </c>
      <c r="H202" t="s">
        <v>1306</v>
      </c>
      <c r="I202" t="s">
        <v>1306</v>
      </c>
      <c r="J202" t="s">
        <v>1307</v>
      </c>
      <c r="K202" t="s">
        <v>1241</v>
      </c>
      <c r="L202" t="s">
        <v>1281</v>
      </c>
      <c r="M202" t="s">
        <v>493</v>
      </c>
      <c r="N202" t="s">
        <v>1882</v>
      </c>
      <c r="O202" t="s">
        <v>1295</v>
      </c>
      <c r="P202" t="s">
        <v>1294</v>
      </c>
      <c r="Q202" t="s">
        <v>1895</v>
      </c>
      <c r="R202" t="s">
        <v>1433</v>
      </c>
      <c r="S202" t="s">
        <v>1432</v>
      </c>
      <c r="T202" t="s">
        <v>1895</v>
      </c>
      <c r="U202" t="s">
        <v>1887</v>
      </c>
      <c r="V202" t="s">
        <v>1243</v>
      </c>
      <c r="W202" t="s">
        <v>1241</v>
      </c>
      <c r="X202" t="s">
        <v>1932</v>
      </c>
      <c r="Y202" t="s">
        <v>2095</v>
      </c>
      <c r="Z202" t="s">
        <v>2096</v>
      </c>
      <c r="AA202" t="s">
        <v>493</v>
      </c>
      <c r="AB202" t="s">
        <v>1899</v>
      </c>
      <c r="AC202" t="s">
        <v>1282</v>
      </c>
      <c r="AD202" t="s">
        <v>2202</v>
      </c>
      <c r="AE202" t="s">
        <v>1984</v>
      </c>
      <c r="AF202" t="s">
        <v>2202</v>
      </c>
      <c r="AG202" t="s">
        <v>1984</v>
      </c>
      <c r="AH202" t="s">
        <v>1295</v>
      </c>
      <c r="AI202" t="s">
        <v>1295</v>
      </c>
      <c r="AJ202" t="s">
        <v>1294</v>
      </c>
      <c r="AK202" t="s">
        <v>1895</v>
      </c>
      <c r="AL202" t="s">
        <v>1433</v>
      </c>
      <c r="AM202" t="s">
        <v>1432</v>
      </c>
      <c r="AN202" t="s">
        <v>1895</v>
      </c>
      <c r="AO202" t="s">
        <v>1892</v>
      </c>
      <c r="AP202" t="s">
        <v>1315</v>
      </c>
      <c r="AQ202" t="s">
        <v>1893</v>
      </c>
      <c r="AR202" t="s">
        <v>1315</v>
      </c>
      <c r="AS202" t="s">
        <v>1282</v>
      </c>
      <c r="AT202" t="s">
        <v>1894</v>
      </c>
    </row>
    <row r="203" spans="4:46" x14ac:dyDescent="0.25">
      <c r="D203" t="s">
        <v>752</v>
      </c>
      <c r="E203" s="177" t="str">
        <f>INDEX(tblBOneExport[[INSTRUMENT]:[ISIN]],MATCH(tblGetStaticData[[#This Row],[ISIN]],tblBOneExport[ISIN],0),1)</f>
        <v>EXPORT DEV CAN 1.875 17/12/18 EMTN</v>
      </c>
      <c r="F203" s="155" t="str">
        <f>tblGetStaticData[[#This Row],[iPasL2]]&amp; " " &amp; tblGetStaticData[[#This Row],[Tiering]]</f>
        <v>Foreign Agency SEN</v>
      </c>
      <c r="G203" s="155" t="s">
        <v>1282</v>
      </c>
      <c r="H203" t="s">
        <v>1331</v>
      </c>
      <c r="I203" t="s">
        <v>1331</v>
      </c>
      <c r="J203" t="s">
        <v>1331</v>
      </c>
      <c r="K203" t="s">
        <v>753</v>
      </c>
      <c r="L203" t="s">
        <v>1353</v>
      </c>
      <c r="M203" t="s">
        <v>493</v>
      </c>
      <c r="N203" t="s">
        <v>1882</v>
      </c>
      <c r="O203" t="s">
        <v>1777</v>
      </c>
      <c r="P203" t="s">
        <v>1776</v>
      </c>
      <c r="Q203" t="s">
        <v>1961</v>
      </c>
      <c r="R203" t="s">
        <v>1777</v>
      </c>
      <c r="S203" t="s">
        <v>1776</v>
      </c>
      <c r="T203" t="s">
        <v>1961</v>
      </c>
      <c r="U203" t="s">
        <v>1962</v>
      </c>
      <c r="V203" t="s">
        <v>752</v>
      </c>
      <c r="W203" t="s">
        <v>753</v>
      </c>
      <c r="X203" t="s">
        <v>1942</v>
      </c>
      <c r="Y203" t="s">
        <v>182</v>
      </c>
      <c r="Z203" t="s">
        <v>1970</v>
      </c>
      <c r="AA203" t="s">
        <v>493</v>
      </c>
      <c r="AB203" t="s">
        <v>1899</v>
      </c>
      <c r="AC203" t="s">
        <v>1282</v>
      </c>
      <c r="AD203" t="s">
        <v>2203</v>
      </c>
      <c r="AE203" t="s">
        <v>1936</v>
      </c>
      <c r="AF203" t="s">
        <v>2203</v>
      </c>
      <c r="AG203" t="s">
        <v>1936</v>
      </c>
      <c r="AH203" t="s">
        <v>1777</v>
      </c>
      <c r="AI203" t="s">
        <v>1777</v>
      </c>
      <c r="AJ203" t="s">
        <v>1776</v>
      </c>
      <c r="AK203" t="s">
        <v>1961</v>
      </c>
      <c r="AL203" t="s">
        <v>1777</v>
      </c>
      <c r="AM203" t="s">
        <v>1776</v>
      </c>
      <c r="AN203" t="s">
        <v>1961</v>
      </c>
      <c r="AO203" t="s">
        <v>1947</v>
      </c>
      <c r="AP203" t="s">
        <v>1353</v>
      </c>
      <c r="AQ203" t="s">
        <v>1893</v>
      </c>
      <c r="AR203" t="s">
        <v>1353</v>
      </c>
      <c r="AS203" t="s">
        <v>1282</v>
      </c>
      <c r="AT203" t="s">
        <v>1894</v>
      </c>
    </row>
    <row r="204" spans="4:46" x14ac:dyDescent="0.25">
      <c r="D204" t="s">
        <v>640</v>
      </c>
      <c r="E204" s="177" t="str">
        <f>INDEX(tblBOneExport[[INSTRUMENT]:[ISIN]],MATCH(tblGetStaticData[[#This Row],[ISIN]],tblBOneExport[ISIN],0),1)</f>
        <v>COUNCIL OF EUROP 1.875 22/12/18 EMTN</v>
      </c>
      <c r="F204" s="155" t="str">
        <f>tblGetStaticData[[#This Row],[iPasL2]]&amp; " " &amp; tblGetStaticData[[#This Row],[Tiering]]</f>
        <v>Supranationals SEN</v>
      </c>
      <c r="G204" s="155" t="s">
        <v>1282</v>
      </c>
      <c r="H204" t="s">
        <v>1352</v>
      </c>
      <c r="I204" t="s">
        <v>1352</v>
      </c>
      <c r="J204" t="s">
        <v>1352</v>
      </c>
      <c r="K204" t="s">
        <v>641</v>
      </c>
      <c r="L204" t="s">
        <v>1780</v>
      </c>
      <c r="M204" t="s">
        <v>493</v>
      </c>
      <c r="N204" t="s">
        <v>1882</v>
      </c>
      <c r="O204" t="s">
        <v>1317</v>
      </c>
      <c r="P204" t="s">
        <v>1316</v>
      </c>
      <c r="Q204" t="s">
        <v>1895</v>
      </c>
      <c r="R204" t="s">
        <v>1317</v>
      </c>
      <c r="S204" t="s">
        <v>1316</v>
      </c>
      <c r="T204" t="s">
        <v>1895</v>
      </c>
      <c r="U204" t="s">
        <v>1887</v>
      </c>
      <c r="V204" t="s">
        <v>640</v>
      </c>
      <c r="W204" t="s">
        <v>641</v>
      </c>
      <c r="X204" t="s">
        <v>1942</v>
      </c>
      <c r="Y204" t="s">
        <v>1943</v>
      </c>
      <c r="Z204" t="s">
        <v>1944</v>
      </c>
      <c r="AA204" t="s">
        <v>493</v>
      </c>
      <c r="AB204" t="s">
        <v>1899</v>
      </c>
      <c r="AC204" t="s">
        <v>1282</v>
      </c>
      <c r="AD204" t="s">
        <v>2204</v>
      </c>
      <c r="AE204" t="s">
        <v>1936</v>
      </c>
      <c r="AF204" t="s">
        <v>2204</v>
      </c>
      <c r="AG204" t="s">
        <v>1936</v>
      </c>
      <c r="AH204" t="s">
        <v>1946</v>
      </c>
      <c r="AI204" t="s">
        <v>1317</v>
      </c>
      <c r="AJ204" t="s">
        <v>1316</v>
      </c>
      <c r="AK204" t="s">
        <v>1895</v>
      </c>
      <c r="AL204" t="s">
        <v>1946</v>
      </c>
      <c r="AO204" t="s">
        <v>1971</v>
      </c>
      <c r="AP204" t="s">
        <v>1780</v>
      </c>
      <c r="AQ204" t="s">
        <v>1780</v>
      </c>
      <c r="AR204" t="s">
        <v>1780</v>
      </c>
      <c r="AS204" t="s">
        <v>1282</v>
      </c>
      <c r="AT204" t="s">
        <v>1894</v>
      </c>
    </row>
    <row r="205" spans="4:46" x14ac:dyDescent="0.25">
      <c r="D205" t="s">
        <v>1232</v>
      </c>
      <c r="E205" s="177" t="str">
        <f>INDEX(tblBOneExport[[INSTRUMENT]:[ISIN]],MATCH(tblGetStaticData[[#This Row],[ISIN]],tblBOneExport[ISIN],0),1)</f>
        <v>VERIZON COMM INC 4.75 17/02/34 EMTN</v>
      </c>
      <c r="F205" s="155" t="str">
        <f>tblGetStaticData[[#This Row],[iPasL2]]&amp; " " &amp; tblGetStaticData[[#This Row],[Tiering]]</f>
        <v>Communications SEN</v>
      </c>
      <c r="G205" s="155" t="s">
        <v>1282</v>
      </c>
      <c r="H205" t="s">
        <v>1312</v>
      </c>
      <c r="I205" t="s">
        <v>1312</v>
      </c>
      <c r="J205" t="s">
        <v>1313</v>
      </c>
      <c r="K205" t="s">
        <v>1233</v>
      </c>
      <c r="L205" t="s">
        <v>1315</v>
      </c>
      <c r="M205" t="s">
        <v>493</v>
      </c>
      <c r="N205" t="s">
        <v>1882</v>
      </c>
      <c r="O205" t="s">
        <v>1309</v>
      </c>
      <c r="P205" t="s">
        <v>1960</v>
      </c>
      <c r="Q205" t="s">
        <v>1961</v>
      </c>
      <c r="R205" t="s">
        <v>1309</v>
      </c>
      <c r="S205" t="s">
        <v>1960</v>
      </c>
      <c r="T205" t="s">
        <v>1961</v>
      </c>
      <c r="U205" t="s">
        <v>1962</v>
      </c>
      <c r="V205" t="s">
        <v>1232</v>
      </c>
      <c r="W205" t="s">
        <v>1233</v>
      </c>
      <c r="X205" t="s">
        <v>1312</v>
      </c>
      <c r="Y205" t="s">
        <v>1313</v>
      </c>
      <c r="Z205" t="s">
        <v>1913</v>
      </c>
      <c r="AA205" t="s">
        <v>493</v>
      </c>
      <c r="AB205" t="s">
        <v>1899</v>
      </c>
      <c r="AC205" t="s">
        <v>1282</v>
      </c>
      <c r="AD205" t="s">
        <v>2205</v>
      </c>
      <c r="AE205" t="s">
        <v>1918</v>
      </c>
      <c r="AF205" t="s">
        <v>2205</v>
      </c>
      <c r="AG205" t="s">
        <v>1918</v>
      </c>
      <c r="AH205" t="s">
        <v>1309</v>
      </c>
      <c r="AI205" t="s">
        <v>1309</v>
      </c>
      <c r="AJ205" t="s">
        <v>1960</v>
      </c>
      <c r="AK205" t="s">
        <v>1961</v>
      </c>
      <c r="AL205" t="s">
        <v>1309</v>
      </c>
      <c r="AM205" t="s">
        <v>1960</v>
      </c>
      <c r="AN205" t="s">
        <v>1961</v>
      </c>
      <c r="AO205" t="s">
        <v>1916</v>
      </c>
      <c r="AP205" t="s">
        <v>1315</v>
      </c>
      <c r="AQ205" t="s">
        <v>1281</v>
      </c>
      <c r="AR205" t="s">
        <v>1315</v>
      </c>
      <c r="AS205" t="s">
        <v>1282</v>
      </c>
      <c r="AT205" t="s">
        <v>1894</v>
      </c>
    </row>
    <row r="206" spans="4:46" x14ac:dyDescent="0.25">
      <c r="D206" t="s">
        <v>749</v>
      </c>
      <c r="E206" s="177" t="str">
        <f>INDEX(tblBOneExport[[INSTRUMENT]:[ISIN]],MATCH(tblGetStaticData[[#This Row],[ISIN]],tblBOneExport[ISIN],0),1)</f>
        <v>EXPERIAN FINANCE 3.5 15/10/21 EMTN</v>
      </c>
      <c r="F206" s="155" t="str">
        <f>tblGetStaticData[[#This Row],[iPasL2]]&amp; " " &amp; tblGetStaticData[[#This Row],[Tiering]]</f>
        <v>Consumer Cyclical SEN</v>
      </c>
      <c r="G206" s="155" t="s">
        <v>1282</v>
      </c>
      <c r="H206" t="s">
        <v>1306</v>
      </c>
      <c r="I206" t="s">
        <v>1306</v>
      </c>
      <c r="J206" t="s">
        <v>1349</v>
      </c>
      <c r="K206" t="s">
        <v>747</v>
      </c>
      <c r="L206" t="s">
        <v>1315</v>
      </c>
      <c r="M206" t="s">
        <v>493</v>
      </c>
      <c r="N206" t="s">
        <v>1882</v>
      </c>
      <c r="O206" t="s">
        <v>1360</v>
      </c>
      <c r="P206" t="s">
        <v>1885</v>
      </c>
      <c r="Q206" t="s">
        <v>1886</v>
      </c>
      <c r="R206" t="s">
        <v>1360</v>
      </c>
      <c r="S206" t="s">
        <v>1885</v>
      </c>
      <c r="T206" t="s">
        <v>1886</v>
      </c>
      <c r="U206" t="s">
        <v>1887</v>
      </c>
      <c r="V206" t="s">
        <v>749</v>
      </c>
      <c r="W206" t="s">
        <v>747</v>
      </c>
      <c r="X206" t="s">
        <v>1896</v>
      </c>
      <c r="Y206" t="s">
        <v>2027</v>
      </c>
      <c r="Z206" t="s">
        <v>2126</v>
      </c>
      <c r="AA206" t="s">
        <v>493</v>
      </c>
      <c r="AB206" t="s">
        <v>1899</v>
      </c>
      <c r="AC206" t="s">
        <v>1282</v>
      </c>
      <c r="AD206" t="s">
        <v>2206</v>
      </c>
      <c r="AE206" t="s">
        <v>1966</v>
      </c>
      <c r="AF206" t="s">
        <v>2206</v>
      </c>
      <c r="AG206" t="s">
        <v>1966</v>
      </c>
      <c r="AH206" t="s">
        <v>1360</v>
      </c>
      <c r="AI206" t="s">
        <v>1360</v>
      </c>
      <c r="AJ206" t="s">
        <v>1885</v>
      </c>
      <c r="AK206" t="s">
        <v>1886</v>
      </c>
      <c r="AL206" t="s">
        <v>1360</v>
      </c>
      <c r="AM206" t="s">
        <v>1885</v>
      </c>
      <c r="AN206" t="s">
        <v>1886</v>
      </c>
      <c r="AO206" t="s">
        <v>1916</v>
      </c>
      <c r="AP206" t="s">
        <v>1281</v>
      </c>
      <c r="AQ206" t="s">
        <v>1893</v>
      </c>
      <c r="AR206" t="s">
        <v>1315</v>
      </c>
      <c r="AS206" t="s">
        <v>1282</v>
      </c>
      <c r="AT206" t="s">
        <v>1894</v>
      </c>
    </row>
    <row r="207" spans="4:46" x14ac:dyDescent="0.25">
      <c r="D207" t="s">
        <v>1152</v>
      </c>
      <c r="E207" s="177" t="str">
        <f>INDEX(tblBOneExport[[INSTRUMENT]:[ISIN]],MATCH(tblGetStaticData[[#This Row],[ISIN]],tblBOneExport[ISIN],0),1)</f>
        <v>SWEDISH EXP CRED 1.875 21/12/18 EMTN</v>
      </c>
      <c r="F207" s="155" t="str">
        <f>tblGetStaticData[[#This Row],[iPasL2]]&amp; " " &amp; tblGetStaticData[[#This Row],[Tiering]]</f>
        <v>Foreign Agency SEN</v>
      </c>
      <c r="G207" s="155" t="s">
        <v>1282</v>
      </c>
      <c r="H207" t="s">
        <v>1331</v>
      </c>
      <c r="I207" t="s">
        <v>1331</v>
      </c>
      <c r="J207" t="s">
        <v>1331</v>
      </c>
      <c r="K207" t="s">
        <v>1153</v>
      </c>
      <c r="L207" t="s">
        <v>1780</v>
      </c>
      <c r="M207" t="s">
        <v>493</v>
      </c>
      <c r="N207" t="s">
        <v>1882</v>
      </c>
      <c r="O207" t="s">
        <v>1564</v>
      </c>
      <c r="P207" t="s">
        <v>1563</v>
      </c>
      <c r="Q207" t="s">
        <v>1982</v>
      </c>
      <c r="R207" t="s">
        <v>1564</v>
      </c>
      <c r="S207" t="s">
        <v>1563</v>
      </c>
      <c r="T207" t="s">
        <v>1982</v>
      </c>
      <c r="U207" t="s">
        <v>1887</v>
      </c>
      <c r="V207" t="s">
        <v>1152</v>
      </c>
      <c r="W207" t="s">
        <v>1153</v>
      </c>
      <c r="X207" t="s">
        <v>1942</v>
      </c>
      <c r="Y207" t="s">
        <v>182</v>
      </c>
      <c r="Z207" t="s">
        <v>2207</v>
      </c>
      <c r="AA207" t="s">
        <v>493</v>
      </c>
      <c r="AB207" t="s">
        <v>1899</v>
      </c>
      <c r="AC207" t="s">
        <v>1282</v>
      </c>
      <c r="AD207" t="s">
        <v>2208</v>
      </c>
      <c r="AE207" t="s">
        <v>1936</v>
      </c>
      <c r="AF207" t="s">
        <v>2208</v>
      </c>
      <c r="AG207" t="s">
        <v>1936</v>
      </c>
      <c r="AH207" t="s">
        <v>1564</v>
      </c>
      <c r="AI207" t="s">
        <v>1564</v>
      </c>
      <c r="AJ207" t="s">
        <v>1563</v>
      </c>
      <c r="AK207" t="s">
        <v>1982</v>
      </c>
      <c r="AL207" t="s">
        <v>1564</v>
      </c>
      <c r="AM207" t="s">
        <v>1563</v>
      </c>
      <c r="AN207" t="s">
        <v>1982</v>
      </c>
      <c r="AO207" t="s">
        <v>1971</v>
      </c>
      <c r="AP207" t="s">
        <v>1780</v>
      </c>
      <c r="AQ207" t="s">
        <v>1893</v>
      </c>
      <c r="AR207" t="s">
        <v>1780</v>
      </c>
      <c r="AS207" t="s">
        <v>1282</v>
      </c>
      <c r="AT207" t="s">
        <v>1894</v>
      </c>
    </row>
    <row r="208" spans="4:46" x14ac:dyDescent="0.25">
      <c r="D208" t="s">
        <v>927</v>
      </c>
      <c r="E208" s="177" t="str">
        <f>INDEX(tblBOneExport[[INSTRUMENT]:[ISIN]],MATCH(tblGetStaticData[[#This Row],[ISIN]],tblBOneExport[ISIN],0),1)</f>
        <v>MANCHESTER AGF 4.75 31/03/34 EMTN</v>
      </c>
      <c r="F208" s="155" t="str">
        <f>tblGetStaticData[[#This Row],[iPasL2]]&amp; " " &amp; tblGetStaticData[[#This Row],[Tiering]]</f>
        <v>Transportation SEN</v>
      </c>
      <c r="G208" s="155" t="s">
        <v>1282</v>
      </c>
      <c r="H208" t="s">
        <v>1348</v>
      </c>
      <c r="I208" t="s">
        <v>1348</v>
      </c>
      <c r="J208" t="s">
        <v>1349</v>
      </c>
      <c r="K208" t="s">
        <v>925</v>
      </c>
      <c r="L208" t="s">
        <v>1315</v>
      </c>
      <c r="M208" t="s">
        <v>493</v>
      </c>
      <c r="N208" t="s">
        <v>1882</v>
      </c>
      <c r="O208" t="s">
        <v>1360</v>
      </c>
      <c r="P208" t="s">
        <v>1885</v>
      </c>
      <c r="Q208" t="s">
        <v>1886</v>
      </c>
      <c r="R208" t="s">
        <v>1360</v>
      </c>
      <c r="S208" t="s">
        <v>1885</v>
      </c>
      <c r="T208" t="s">
        <v>1886</v>
      </c>
      <c r="U208" t="s">
        <v>1887</v>
      </c>
      <c r="V208" t="s">
        <v>927</v>
      </c>
      <c r="W208" t="s">
        <v>925</v>
      </c>
      <c r="X208" t="s">
        <v>1932</v>
      </c>
      <c r="Y208" t="s">
        <v>2209</v>
      </c>
      <c r="Z208" t="s">
        <v>2209</v>
      </c>
      <c r="AA208" t="s">
        <v>493</v>
      </c>
      <c r="AB208" t="s">
        <v>1994</v>
      </c>
      <c r="AC208" t="s">
        <v>1282</v>
      </c>
      <c r="AD208" t="s">
        <v>2210</v>
      </c>
      <c r="AE208" t="s">
        <v>1918</v>
      </c>
      <c r="AF208" t="s">
        <v>2210</v>
      </c>
      <c r="AG208" t="s">
        <v>1918</v>
      </c>
      <c r="AH208" t="s">
        <v>1360</v>
      </c>
      <c r="AI208" t="s">
        <v>1360</v>
      </c>
      <c r="AJ208" t="s">
        <v>1885</v>
      </c>
      <c r="AK208" t="s">
        <v>1886</v>
      </c>
      <c r="AL208" t="s">
        <v>1360</v>
      </c>
      <c r="AM208" t="s">
        <v>1885</v>
      </c>
      <c r="AN208" t="s">
        <v>1886</v>
      </c>
      <c r="AO208" t="s">
        <v>1916</v>
      </c>
      <c r="AP208" t="s">
        <v>1893</v>
      </c>
      <c r="AQ208" t="s">
        <v>1315</v>
      </c>
      <c r="AR208" t="s">
        <v>1315</v>
      </c>
      <c r="AS208" t="s">
        <v>1282</v>
      </c>
      <c r="AT208" t="s">
        <v>1894</v>
      </c>
    </row>
    <row r="209" spans="4:46" x14ac:dyDescent="0.25">
      <c r="D209" t="s">
        <v>1197</v>
      </c>
      <c r="E209" s="177" t="str">
        <f>INDEX(tblBOneExport[[INSTRUMENT]:[ISIN]],MATCH(tblGetStaticData[[#This Row],[ISIN]],tblBOneExport[ISIN],0),1)</f>
        <v>TFL 4 07/04/64 EMTN</v>
      </c>
      <c r="F209" s="155" t="str">
        <f>tblGetStaticData[[#This Row],[iPasL2]]&amp; " " &amp; tblGetStaticData[[#This Row],[Tiering]]</f>
        <v>Foreign Agency SEN</v>
      </c>
      <c r="G209" s="155" t="s">
        <v>1282</v>
      </c>
      <c r="H209" t="s">
        <v>1331</v>
      </c>
      <c r="I209" t="s">
        <v>1331</v>
      </c>
      <c r="J209" t="s">
        <v>1331</v>
      </c>
      <c r="K209" t="s">
        <v>1189</v>
      </c>
      <c r="L209" t="s">
        <v>1408</v>
      </c>
      <c r="M209" t="s">
        <v>493</v>
      </c>
      <c r="N209" t="s">
        <v>1882</v>
      </c>
      <c r="O209" t="s">
        <v>1360</v>
      </c>
      <c r="P209" t="s">
        <v>1885</v>
      </c>
      <c r="Q209" t="s">
        <v>1886</v>
      </c>
      <c r="R209" t="s">
        <v>1360</v>
      </c>
      <c r="S209" t="s">
        <v>1885</v>
      </c>
      <c r="T209" t="s">
        <v>1886</v>
      </c>
      <c r="U209" t="s">
        <v>1887</v>
      </c>
      <c r="V209" t="s">
        <v>1197</v>
      </c>
      <c r="W209" t="s">
        <v>1189</v>
      </c>
      <c r="X209" t="s">
        <v>1942</v>
      </c>
      <c r="Y209" t="s">
        <v>2164</v>
      </c>
      <c r="Z209" t="s">
        <v>2165</v>
      </c>
      <c r="AA209" t="s">
        <v>493</v>
      </c>
      <c r="AB209" t="s">
        <v>1899</v>
      </c>
      <c r="AC209" t="s">
        <v>1282</v>
      </c>
      <c r="AD209" t="s">
        <v>2211</v>
      </c>
      <c r="AE209" t="s">
        <v>1904</v>
      </c>
      <c r="AF209" t="s">
        <v>2211</v>
      </c>
      <c r="AG209" t="s">
        <v>1904</v>
      </c>
      <c r="AH209" t="s">
        <v>1360</v>
      </c>
      <c r="AI209" t="s">
        <v>1360</v>
      </c>
      <c r="AJ209" t="s">
        <v>1885</v>
      </c>
      <c r="AK209" t="s">
        <v>1886</v>
      </c>
      <c r="AL209" t="s">
        <v>1360</v>
      </c>
      <c r="AM209" t="s">
        <v>1885</v>
      </c>
      <c r="AN209" t="s">
        <v>1886</v>
      </c>
      <c r="AO209" t="s">
        <v>1999</v>
      </c>
      <c r="AP209" t="s">
        <v>1303</v>
      </c>
      <c r="AQ209" t="s">
        <v>1408</v>
      </c>
      <c r="AR209" t="s">
        <v>1408</v>
      </c>
      <c r="AS209" t="s">
        <v>1282</v>
      </c>
      <c r="AT209" t="s">
        <v>1894</v>
      </c>
    </row>
    <row r="210" spans="4:46" x14ac:dyDescent="0.25">
      <c r="D210" t="s">
        <v>771</v>
      </c>
      <c r="E210" s="177" t="str">
        <f>INDEX(tblBOneExport[[INSTRUMENT]:[ISIN]],MATCH(tblGetStaticData[[#This Row],[ISIN]],tblBOneExport[ISIN],0),1)</f>
        <v>GATWICK FND LTD 4.625 27/03/34 EMTN</v>
      </c>
      <c r="F210" s="155" t="str">
        <f>tblGetStaticData[[#This Row],[iPasL2]]&amp; " " &amp; tblGetStaticData[[#This Row],[Tiering]]</f>
        <v>Transportation SEN</v>
      </c>
      <c r="G210" s="155" t="s">
        <v>1282</v>
      </c>
      <c r="H210" t="s">
        <v>1348</v>
      </c>
      <c r="I210" t="s">
        <v>1348</v>
      </c>
      <c r="J210" t="s">
        <v>1349</v>
      </c>
      <c r="K210" t="s">
        <v>767</v>
      </c>
      <c r="L210" t="s">
        <v>1315</v>
      </c>
      <c r="M210" t="s">
        <v>493</v>
      </c>
      <c r="N210" t="s">
        <v>1882</v>
      </c>
      <c r="O210" t="s">
        <v>1542</v>
      </c>
      <c r="P210" t="s">
        <v>1541</v>
      </c>
      <c r="Q210" t="s">
        <v>2105</v>
      </c>
      <c r="R210" t="s">
        <v>1360</v>
      </c>
      <c r="S210" t="s">
        <v>1885</v>
      </c>
      <c r="T210" t="s">
        <v>1886</v>
      </c>
      <c r="U210" t="s">
        <v>1887</v>
      </c>
      <c r="V210" t="s">
        <v>771</v>
      </c>
      <c r="W210" t="s">
        <v>767</v>
      </c>
      <c r="X210" t="s">
        <v>1937</v>
      </c>
      <c r="Y210" t="s">
        <v>2067</v>
      </c>
      <c r="Z210" t="s">
        <v>2068</v>
      </c>
      <c r="AA210" t="s">
        <v>493</v>
      </c>
      <c r="AB210" t="s">
        <v>1889</v>
      </c>
      <c r="AC210" t="s">
        <v>1282</v>
      </c>
      <c r="AD210" t="s">
        <v>2212</v>
      </c>
      <c r="AE210" t="s">
        <v>1918</v>
      </c>
      <c r="AF210" t="s">
        <v>2213</v>
      </c>
      <c r="AG210" t="s">
        <v>2004</v>
      </c>
      <c r="AH210" t="s">
        <v>1542</v>
      </c>
      <c r="AI210" t="s">
        <v>1542</v>
      </c>
      <c r="AJ210" t="s">
        <v>1541</v>
      </c>
      <c r="AK210" t="s">
        <v>2105</v>
      </c>
      <c r="AL210" t="s">
        <v>1360</v>
      </c>
      <c r="AM210" t="s">
        <v>1885</v>
      </c>
      <c r="AN210" t="s">
        <v>1886</v>
      </c>
      <c r="AO210" t="s">
        <v>1893</v>
      </c>
      <c r="AP210" t="s">
        <v>1315</v>
      </c>
      <c r="AQ210" t="s">
        <v>1315</v>
      </c>
      <c r="AR210" t="s">
        <v>1315</v>
      </c>
      <c r="AS210" t="s">
        <v>1282</v>
      </c>
      <c r="AT210" t="s">
        <v>1894</v>
      </c>
    </row>
    <row r="211" spans="4:46" x14ac:dyDescent="0.25">
      <c r="D211" t="s">
        <v>1047</v>
      </c>
      <c r="E211" s="177" t="str">
        <f>INDEX(tblBOneExport[[INSTRUMENT]:[ISIN]],MATCH(tblGetStaticData[[#This Row],[ISIN]],tblBOneExport[ISIN],0),1)</f>
        <v>PORTERBROOK RAIL 4.625 04/04/29 EMTN</v>
      </c>
      <c r="F211" s="155" t="str">
        <f>tblGetStaticData[[#This Row],[iPasL2]]&amp; " " &amp; tblGetStaticData[[#This Row],[Tiering]]</f>
        <v>Transportation SEN</v>
      </c>
      <c r="G211" s="155" t="s">
        <v>1282</v>
      </c>
      <c r="H211" t="s">
        <v>1348</v>
      </c>
      <c r="I211" t="s">
        <v>1348</v>
      </c>
      <c r="J211" t="s">
        <v>1615</v>
      </c>
      <c r="K211" t="s">
        <v>1043</v>
      </c>
      <c r="L211" t="s">
        <v>1288</v>
      </c>
      <c r="M211" t="s">
        <v>493</v>
      </c>
      <c r="N211" t="s">
        <v>1882</v>
      </c>
      <c r="O211" t="s">
        <v>1542</v>
      </c>
      <c r="P211" t="s">
        <v>1541</v>
      </c>
      <c r="Q211" t="s">
        <v>2105</v>
      </c>
      <c r="R211" t="s">
        <v>1360</v>
      </c>
      <c r="S211" t="s">
        <v>1885</v>
      </c>
      <c r="T211" t="s">
        <v>1886</v>
      </c>
      <c r="U211" t="s">
        <v>1887</v>
      </c>
      <c r="V211" t="s">
        <v>1047</v>
      </c>
      <c r="W211" t="s">
        <v>1043</v>
      </c>
      <c r="X211" t="s">
        <v>1937</v>
      </c>
      <c r="Y211" t="s">
        <v>1348</v>
      </c>
      <c r="Z211" t="s">
        <v>2034</v>
      </c>
      <c r="AA211" t="s">
        <v>493</v>
      </c>
      <c r="AB211" t="s">
        <v>1889</v>
      </c>
      <c r="AC211" t="s">
        <v>1282</v>
      </c>
      <c r="AD211" t="s">
        <v>2214</v>
      </c>
      <c r="AE211" t="s">
        <v>1978</v>
      </c>
      <c r="AF211" t="s">
        <v>2214</v>
      </c>
      <c r="AG211" t="s">
        <v>1978</v>
      </c>
      <c r="AH211" t="s">
        <v>1542</v>
      </c>
      <c r="AI211" t="s">
        <v>1542</v>
      </c>
      <c r="AJ211" t="s">
        <v>1541</v>
      </c>
      <c r="AK211" t="s">
        <v>2105</v>
      </c>
      <c r="AL211" t="s">
        <v>1360</v>
      </c>
      <c r="AM211" t="s">
        <v>1885</v>
      </c>
      <c r="AN211" t="s">
        <v>1886</v>
      </c>
      <c r="AO211" t="s">
        <v>1893</v>
      </c>
      <c r="AP211" t="s">
        <v>1288</v>
      </c>
      <c r="AQ211" t="s">
        <v>1893</v>
      </c>
      <c r="AR211" t="s">
        <v>1873</v>
      </c>
      <c r="AS211" t="s">
        <v>1282</v>
      </c>
      <c r="AT211" t="s">
        <v>1894</v>
      </c>
    </row>
    <row r="212" spans="4:46" x14ac:dyDescent="0.25">
      <c r="D212" t="s">
        <v>924</v>
      </c>
      <c r="E212" s="177" t="str">
        <f>INDEX(tblBOneExport[[INSTRUMENT]:[ISIN]],MATCH(tblGetStaticData[[#This Row],[ISIN]],tblBOneExport[ISIN],0),1)</f>
        <v>MANCHESTER AGF 4.125 02/04/24 EMTN</v>
      </c>
      <c r="F212" s="155" t="str">
        <f>tblGetStaticData[[#This Row],[iPasL2]]&amp; " " &amp; tblGetStaticData[[#This Row],[Tiering]]</f>
        <v>Transportation SEN</v>
      </c>
      <c r="G212" s="155" t="s">
        <v>1282</v>
      </c>
      <c r="H212" t="s">
        <v>1348</v>
      </c>
      <c r="I212" t="s">
        <v>1348</v>
      </c>
      <c r="J212" t="s">
        <v>1348</v>
      </c>
      <c r="K212" t="s">
        <v>925</v>
      </c>
      <c r="L212" t="s">
        <v>1315</v>
      </c>
      <c r="M212" t="s">
        <v>493</v>
      </c>
      <c r="N212" t="s">
        <v>1882</v>
      </c>
      <c r="O212" t="s">
        <v>1360</v>
      </c>
      <c r="P212" t="s">
        <v>1885</v>
      </c>
      <c r="Q212" t="s">
        <v>1886</v>
      </c>
      <c r="R212" t="s">
        <v>1360</v>
      </c>
      <c r="S212" t="s">
        <v>1885</v>
      </c>
      <c r="T212" t="s">
        <v>1886</v>
      </c>
      <c r="U212" t="s">
        <v>1887</v>
      </c>
      <c r="V212" t="s">
        <v>924</v>
      </c>
      <c r="W212" t="s">
        <v>925</v>
      </c>
      <c r="X212" t="s">
        <v>1932</v>
      </c>
      <c r="Y212" t="s">
        <v>2209</v>
      </c>
      <c r="Z212" t="s">
        <v>2209</v>
      </c>
      <c r="AA212" t="s">
        <v>493</v>
      </c>
      <c r="AB212" t="s">
        <v>1994</v>
      </c>
      <c r="AC212" t="s">
        <v>1282</v>
      </c>
      <c r="AD212" t="s">
        <v>2215</v>
      </c>
      <c r="AE212" t="s">
        <v>2026</v>
      </c>
      <c r="AF212" t="s">
        <v>2215</v>
      </c>
      <c r="AG212" t="s">
        <v>2026</v>
      </c>
      <c r="AH212" t="s">
        <v>1360</v>
      </c>
      <c r="AI212" t="s">
        <v>1360</v>
      </c>
      <c r="AJ212" t="s">
        <v>1885</v>
      </c>
      <c r="AK212" t="s">
        <v>1886</v>
      </c>
      <c r="AL212" t="s">
        <v>1360</v>
      </c>
      <c r="AM212" t="s">
        <v>1885</v>
      </c>
      <c r="AN212" t="s">
        <v>1886</v>
      </c>
      <c r="AO212" t="s">
        <v>1916</v>
      </c>
      <c r="AP212" t="s">
        <v>1893</v>
      </c>
      <c r="AQ212" t="s">
        <v>1315</v>
      </c>
      <c r="AR212" t="s">
        <v>1315</v>
      </c>
      <c r="AS212" t="s">
        <v>1282</v>
      </c>
      <c r="AT212" t="s">
        <v>1894</v>
      </c>
    </row>
    <row r="213" spans="4:46" x14ac:dyDescent="0.25">
      <c r="D213" t="s">
        <v>762</v>
      </c>
      <c r="E213" s="177" t="str">
        <f>INDEX(tblBOneExport[[INSTRUMENT]:[ISIN]],MATCH(tblGetStaticData[[#This Row],[ISIN]],tblBOneExport[ISIN],0),1)</f>
        <v>FCE BANK PLC 2.625 20/11/18 EMTN</v>
      </c>
      <c r="F213" s="155" t="str">
        <f>tblGetStaticData[[#This Row],[iPasL2]]&amp; " " &amp; tblGetStaticData[[#This Row],[Tiering]]</f>
        <v>Consumer Cyclical SEN</v>
      </c>
      <c r="G213" s="155" t="s">
        <v>1282</v>
      </c>
      <c r="H213" t="s">
        <v>1306</v>
      </c>
      <c r="I213" t="s">
        <v>1306</v>
      </c>
      <c r="J213" t="s">
        <v>1307</v>
      </c>
      <c r="K213" t="s">
        <v>763</v>
      </c>
      <c r="L213" t="s">
        <v>1288</v>
      </c>
      <c r="M213" t="s">
        <v>493</v>
      </c>
      <c r="N213" t="s">
        <v>1882</v>
      </c>
      <c r="O213" t="s">
        <v>1360</v>
      </c>
      <c r="P213" t="s">
        <v>1885</v>
      </c>
      <c r="Q213" t="s">
        <v>1886</v>
      </c>
      <c r="R213" t="s">
        <v>1360</v>
      </c>
      <c r="S213" t="s">
        <v>1885</v>
      </c>
      <c r="T213" t="s">
        <v>1886</v>
      </c>
      <c r="U213" t="s">
        <v>1887</v>
      </c>
      <c r="V213" t="s">
        <v>762</v>
      </c>
      <c r="W213" t="s">
        <v>763</v>
      </c>
      <c r="X213" t="s">
        <v>1932</v>
      </c>
      <c r="Y213" t="s">
        <v>2095</v>
      </c>
      <c r="Z213" t="s">
        <v>2096</v>
      </c>
      <c r="AA213" t="s">
        <v>493</v>
      </c>
      <c r="AB213" t="s">
        <v>1899</v>
      </c>
      <c r="AC213" t="s">
        <v>1282</v>
      </c>
      <c r="AD213" t="s">
        <v>2216</v>
      </c>
      <c r="AE213" t="s">
        <v>1936</v>
      </c>
      <c r="AF213" t="s">
        <v>2216</v>
      </c>
      <c r="AG213" t="s">
        <v>1936</v>
      </c>
      <c r="AH213" t="s">
        <v>1360</v>
      </c>
      <c r="AI213" t="s">
        <v>1360</v>
      </c>
      <c r="AJ213" t="s">
        <v>1885</v>
      </c>
      <c r="AK213" t="s">
        <v>1886</v>
      </c>
      <c r="AL213" t="s">
        <v>1360</v>
      </c>
      <c r="AM213" t="s">
        <v>1885</v>
      </c>
      <c r="AN213" t="s">
        <v>1886</v>
      </c>
      <c r="AO213" t="s">
        <v>1940</v>
      </c>
      <c r="AP213" t="s">
        <v>1288</v>
      </c>
      <c r="AQ213" t="s">
        <v>1288</v>
      </c>
      <c r="AR213" t="s">
        <v>1288</v>
      </c>
      <c r="AS213" t="s">
        <v>1282</v>
      </c>
      <c r="AT213" t="s">
        <v>1894</v>
      </c>
    </row>
    <row r="214" spans="4:46" x14ac:dyDescent="0.25">
      <c r="D214" t="s">
        <v>606</v>
      </c>
      <c r="E214" s="177" t="str">
        <f>INDEX(tblBOneExport[[INSTRUMENT]:[ISIN]],MATCH(tblGetStaticData[[#This Row],[ISIN]],tblBOneExport[ISIN],0),1)</f>
        <v>BUPA FINANCE 3.375 17/06/21</v>
      </c>
      <c r="F214" s="155" t="str">
        <f>tblGetStaticData[[#This Row],[iPasL2]]&amp; " " &amp; tblGetStaticData[[#This Row],[Tiering]]</f>
        <v>Insurance SEN</v>
      </c>
      <c r="G214" s="155" t="s">
        <v>1282</v>
      </c>
      <c r="H214" t="s">
        <v>1301</v>
      </c>
      <c r="I214" t="s">
        <v>1301</v>
      </c>
      <c r="J214" t="s">
        <v>1301</v>
      </c>
      <c r="K214" t="s">
        <v>2217</v>
      </c>
      <c r="L214" t="s">
        <v>1315</v>
      </c>
      <c r="M214" t="s">
        <v>493</v>
      </c>
      <c r="N214" t="s">
        <v>1882</v>
      </c>
      <c r="O214" t="s">
        <v>1360</v>
      </c>
      <c r="P214" t="s">
        <v>1885</v>
      </c>
      <c r="Q214" t="s">
        <v>1886</v>
      </c>
      <c r="R214" t="s">
        <v>1360</v>
      </c>
      <c r="S214" t="s">
        <v>1885</v>
      </c>
      <c r="T214" t="s">
        <v>1886</v>
      </c>
      <c r="U214" t="s">
        <v>1887</v>
      </c>
      <c r="V214" t="s">
        <v>606</v>
      </c>
      <c r="W214" t="s">
        <v>607</v>
      </c>
      <c r="X214" t="s">
        <v>1896</v>
      </c>
      <c r="Y214" t="s">
        <v>2218</v>
      </c>
      <c r="Z214" t="s">
        <v>2219</v>
      </c>
      <c r="AA214" t="s">
        <v>493</v>
      </c>
      <c r="AB214" t="s">
        <v>1899</v>
      </c>
      <c r="AC214" t="s">
        <v>1282</v>
      </c>
      <c r="AD214" t="s">
        <v>2220</v>
      </c>
      <c r="AE214" t="s">
        <v>1966</v>
      </c>
      <c r="AF214" t="s">
        <v>2220</v>
      </c>
      <c r="AG214" t="s">
        <v>1966</v>
      </c>
      <c r="AH214" t="s">
        <v>1360</v>
      </c>
      <c r="AI214" t="s">
        <v>1360</v>
      </c>
      <c r="AJ214" t="s">
        <v>1885</v>
      </c>
      <c r="AK214" t="s">
        <v>1886</v>
      </c>
      <c r="AL214" t="s">
        <v>1360</v>
      </c>
      <c r="AM214" t="s">
        <v>1885</v>
      </c>
      <c r="AN214" t="s">
        <v>1886</v>
      </c>
      <c r="AO214" t="s">
        <v>1916</v>
      </c>
      <c r="AP214" t="s">
        <v>1893</v>
      </c>
      <c r="AQ214" t="s">
        <v>1281</v>
      </c>
      <c r="AR214" t="s">
        <v>1315</v>
      </c>
      <c r="AS214" t="s">
        <v>1282</v>
      </c>
      <c r="AT214" t="s">
        <v>1894</v>
      </c>
    </row>
    <row r="215" spans="4:46" x14ac:dyDescent="0.25">
      <c r="D215" t="s">
        <v>647</v>
      </c>
      <c r="E215" s="177" t="str">
        <f>INDEX(tblBOneExport[[INSTRUMENT]:[ISIN]],MATCH(tblGetStaticData[[#This Row],[ISIN]],tblBOneExport[ISIN],0),1)</f>
        <v>DAIMLER AG 2.75 04/12/20 EMTN</v>
      </c>
      <c r="F215" s="155" t="str">
        <f>tblGetStaticData[[#This Row],[iPasL2]]&amp; " " &amp; tblGetStaticData[[#This Row],[Tiering]]</f>
        <v>Consumer Cyclical SEN</v>
      </c>
      <c r="G215" s="155" t="s">
        <v>1282</v>
      </c>
      <c r="H215" t="s">
        <v>1306</v>
      </c>
      <c r="I215" t="s">
        <v>1306</v>
      </c>
      <c r="J215" t="s">
        <v>1306</v>
      </c>
      <c r="K215" t="s">
        <v>645</v>
      </c>
      <c r="L215" t="s">
        <v>1281</v>
      </c>
      <c r="M215" t="s">
        <v>493</v>
      </c>
      <c r="N215" t="s">
        <v>1882</v>
      </c>
      <c r="O215" t="s">
        <v>1433</v>
      </c>
      <c r="P215" t="s">
        <v>1432</v>
      </c>
      <c r="Q215" t="s">
        <v>1895</v>
      </c>
      <c r="R215" t="s">
        <v>1433</v>
      </c>
      <c r="S215" t="s">
        <v>1432</v>
      </c>
      <c r="T215" t="s">
        <v>1895</v>
      </c>
      <c r="U215" t="s">
        <v>1887</v>
      </c>
      <c r="V215" t="s">
        <v>647</v>
      </c>
      <c r="W215" t="s">
        <v>645</v>
      </c>
      <c r="X215" t="s">
        <v>1932</v>
      </c>
      <c r="Y215" t="s">
        <v>2095</v>
      </c>
      <c r="Z215" t="s">
        <v>2096</v>
      </c>
      <c r="AA215" t="s">
        <v>493</v>
      </c>
      <c r="AB215" t="s">
        <v>1899</v>
      </c>
      <c r="AC215" t="s">
        <v>1282</v>
      </c>
      <c r="AD215" t="s">
        <v>2221</v>
      </c>
      <c r="AE215" t="s">
        <v>1915</v>
      </c>
      <c r="AF215" t="s">
        <v>2221</v>
      </c>
      <c r="AG215" t="s">
        <v>1915</v>
      </c>
      <c r="AH215" t="s">
        <v>1433</v>
      </c>
      <c r="AI215" t="s">
        <v>1433</v>
      </c>
      <c r="AJ215" t="s">
        <v>1432</v>
      </c>
      <c r="AK215" t="s">
        <v>1895</v>
      </c>
      <c r="AL215" t="s">
        <v>1433</v>
      </c>
      <c r="AM215" t="s">
        <v>1432</v>
      </c>
      <c r="AN215" t="s">
        <v>1895</v>
      </c>
      <c r="AO215" t="s">
        <v>1902</v>
      </c>
      <c r="AP215" t="s">
        <v>1332</v>
      </c>
      <c r="AQ215" t="s">
        <v>1281</v>
      </c>
      <c r="AR215" t="s">
        <v>1281</v>
      </c>
      <c r="AS215" t="s">
        <v>1282</v>
      </c>
      <c r="AT215" t="s">
        <v>1894</v>
      </c>
    </row>
    <row r="216" spans="4:46" x14ac:dyDescent="0.25">
      <c r="D216" t="s">
        <v>966</v>
      </c>
      <c r="E216" s="177" t="str">
        <f>INDEX(tblBOneExport[[INSTRUMENT]:[ISIN]],MATCH(tblGetStaticData[[#This Row],[ISIN]],tblBOneExport[ISIN],0),1)</f>
        <v>NED WATERSCHAPBK 2 28/12/18 EMTN</v>
      </c>
      <c r="F216" s="155" t="str">
        <f>tblGetStaticData[[#This Row],[iPasL2]]&amp; " " &amp; tblGetStaticData[[#This Row],[Tiering]]</f>
        <v>Foreign Agency SEN</v>
      </c>
      <c r="G216" s="155" t="s">
        <v>1282</v>
      </c>
      <c r="H216" t="s">
        <v>1331</v>
      </c>
      <c r="I216" t="s">
        <v>1331</v>
      </c>
      <c r="J216" t="s">
        <v>1331</v>
      </c>
      <c r="K216" t="s">
        <v>967</v>
      </c>
      <c r="L216" t="s">
        <v>1353</v>
      </c>
      <c r="M216" t="s">
        <v>493</v>
      </c>
      <c r="N216" t="s">
        <v>1882</v>
      </c>
      <c r="O216" t="s">
        <v>1295</v>
      </c>
      <c r="P216" t="s">
        <v>1294</v>
      </c>
      <c r="Q216" t="s">
        <v>1895</v>
      </c>
      <c r="R216" t="s">
        <v>1295</v>
      </c>
      <c r="S216" t="s">
        <v>1294</v>
      </c>
      <c r="T216" t="s">
        <v>1895</v>
      </c>
      <c r="U216" t="s">
        <v>1887</v>
      </c>
      <c r="V216" t="s">
        <v>966</v>
      </c>
      <c r="W216" t="s">
        <v>967</v>
      </c>
      <c r="X216" t="s">
        <v>1967</v>
      </c>
      <c r="Y216" t="s">
        <v>1968</v>
      </c>
      <c r="Z216" t="s">
        <v>1969</v>
      </c>
      <c r="AA216" t="s">
        <v>493</v>
      </c>
      <c r="AB216" t="s">
        <v>1899</v>
      </c>
      <c r="AC216" t="s">
        <v>1282</v>
      </c>
      <c r="AD216" t="s">
        <v>2222</v>
      </c>
      <c r="AE216" t="s">
        <v>1936</v>
      </c>
      <c r="AF216" t="s">
        <v>2222</v>
      </c>
      <c r="AG216" t="s">
        <v>1936</v>
      </c>
      <c r="AH216" t="s">
        <v>1295</v>
      </c>
      <c r="AI216" t="s">
        <v>1295</v>
      </c>
      <c r="AJ216" t="s">
        <v>1294</v>
      </c>
      <c r="AK216" t="s">
        <v>1895</v>
      </c>
      <c r="AL216" t="s">
        <v>1295</v>
      </c>
      <c r="AM216" t="s">
        <v>1294</v>
      </c>
      <c r="AN216" t="s">
        <v>1895</v>
      </c>
      <c r="AO216" t="s">
        <v>1947</v>
      </c>
      <c r="AP216" t="s">
        <v>1353</v>
      </c>
      <c r="AQ216" t="s">
        <v>1893</v>
      </c>
      <c r="AR216" t="s">
        <v>1353</v>
      </c>
      <c r="AS216" t="s">
        <v>1282</v>
      </c>
      <c r="AT216" t="s">
        <v>1894</v>
      </c>
    </row>
    <row r="217" spans="4:46" x14ac:dyDescent="0.25">
      <c r="D217" t="s">
        <v>634</v>
      </c>
      <c r="E217" s="177" t="str">
        <f>INDEX(tblBOneExport[[INSTRUMENT]:[ISIN]],MATCH(tblGetStaticData[[#This Row],[ISIN]],tblBOneExport[ISIN],0),1)</f>
        <v>COMPASS GROUP 3.85 26/06/26 EMTN</v>
      </c>
      <c r="F217" s="155" t="str">
        <f>tblGetStaticData[[#This Row],[iPasL2]]&amp; " " &amp; tblGetStaticData[[#This Row],[Tiering]]</f>
        <v>Consumer Cyclical SEN</v>
      </c>
      <c r="G217" s="155" t="s">
        <v>1282</v>
      </c>
      <c r="H217" t="s">
        <v>1306</v>
      </c>
      <c r="I217" t="s">
        <v>1306</v>
      </c>
      <c r="J217" t="s">
        <v>1349</v>
      </c>
      <c r="K217" t="s">
        <v>635</v>
      </c>
      <c r="L217" t="s">
        <v>1281</v>
      </c>
      <c r="M217" t="s">
        <v>493</v>
      </c>
      <c r="N217" t="s">
        <v>1882</v>
      </c>
      <c r="O217" t="s">
        <v>1360</v>
      </c>
      <c r="P217" t="s">
        <v>1885</v>
      </c>
      <c r="Q217" t="s">
        <v>1886</v>
      </c>
      <c r="R217" t="s">
        <v>1360</v>
      </c>
      <c r="S217" t="s">
        <v>1885</v>
      </c>
      <c r="T217" t="s">
        <v>1886</v>
      </c>
      <c r="U217" t="s">
        <v>1887</v>
      </c>
      <c r="V217" t="s">
        <v>634</v>
      </c>
      <c r="W217" t="s">
        <v>635</v>
      </c>
      <c r="X217" t="s">
        <v>1932</v>
      </c>
      <c r="Y217" t="s">
        <v>2223</v>
      </c>
      <c r="Z217" t="s">
        <v>2224</v>
      </c>
      <c r="AA217" t="s">
        <v>493</v>
      </c>
      <c r="AB217" t="s">
        <v>1899</v>
      </c>
      <c r="AC217" t="s">
        <v>1282</v>
      </c>
      <c r="AD217" t="s">
        <v>2225</v>
      </c>
      <c r="AE217" t="s">
        <v>1951</v>
      </c>
      <c r="AF217" t="s">
        <v>2225</v>
      </c>
      <c r="AG217" t="s">
        <v>1951</v>
      </c>
      <c r="AH217" t="s">
        <v>1360</v>
      </c>
      <c r="AI217" t="s">
        <v>1360</v>
      </c>
      <c r="AJ217" t="s">
        <v>1885</v>
      </c>
      <c r="AK217" t="s">
        <v>1886</v>
      </c>
      <c r="AL217" t="s">
        <v>1360</v>
      </c>
      <c r="AM217" t="s">
        <v>1885</v>
      </c>
      <c r="AN217" t="s">
        <v>1886</v>
      </c>
      <c r="AO217" t="s">
        <v>1892</v>
      </c>
      <c r="AP217" t="s">
        <v>1332</v>
      </c>
      <c r="AQ217" t="s">
        <v>1281</v>
      </c>
      <c r="AR217" t="s">
        <v>1281</v>
      </c>
      <c r="AS217" t="s">
        <v>1282</v>
      </c>
      <c r="AT217" t="s">
        <v>1894</v>
      </c>
    </row>
    <row r="218" spans="4:46" x14ac:dyDescent="0.25">
      <c r="D218" t="s">
        <v>951</v>
      </c>
      <c r="E218" s="177" t="str">
        <f>INDEX(tblBOneExport[[INSTRUMENT]:[ISIN]],MATCH(tblGetStaticData[[#This Row],[ISIN]],tblBOneExport[ISIN],0),1)</f>
        <v>MOTABILITY OPS 3.75 16/07/26 EMTN</v>
      </c>
      <c r="F218" s="155" t="str">
        <f>tblGetStaticData[[#This Row],[iPasL2]]&amp; " " &amp; tblGetStaticData[[#This Row],[Tiering]]</f>
        <v>Consumer Cyclical SEN</v>
      </c>
      <c r="G218" s="155" t="s">
        <v>1282</v>
      </c>
      <c r="H218" t="s">
        <v>1306</v>
      </c>
      <c r="I218" t="s">
        <v>1306</v>
      </c>
      <c r="J218" t="s">
        <v>1306</v>
      </c>
      <c r="K218" t="s">
        <v>947</v>
      </c>
      <c r="L218" t="s">
        <v>1293</v>
      </c>
      <c r="M218" t="s">
        <v>493</v>
      </c>
      <c r="N218" t="s">
        <v>1882</v>
      </c>
      <c r="O218" t="s">
        <v>1360</v>
      </c>
      <c r="P218" t="s">
        <v>1885</v>
      </c>
      <c r="Q218" t="s">
        <v>1886</v>
      </c>
      <c r="R218" t="s">
        <v>1360</v>
      </c>
      <c r="S218" t="s">
        <v>1885</v>
      </c>
      <c r="T218" t="s">
        <v>1886</v>
      </c>
      <c r="U218" t="s">
        <v>1887</v>
      </c>
      <c r="V218" t="s">
        <v>951</v>
      </c>
      <c r="W218" t="s">
        <v>947</v>
      </c>
      <c r="X218" t="s">
        <v>1383</v>
      </c>
      <c r="Y218" t="s">
        <v>2102</v>
      </c>
      <c r="Z218" t="s">
        <v>2103</v>
      </c>
      <c r="AA218" t="s">
        <v>493</v>
      </c>
      <c r="AB218" t="s">
        <v>1899</v>
      </c>
      <c r="AC218" t="s">
        <v>1282</v>
      </c>
      <c r="AD218" t="s">
        <v>2226</v>
      </c>
      <c r="AE218" t="s">
        <v>1951</v>
      </c>
      <c r="AF218" t="s">
        <v>2226</v>
      </c>
      <c r="AG218" t="s">
        <v>1951</v>
      </c>
      <c r="AH218" t="s">
        <v>1360</v>
      </c>
      <c r="AI218" t="s">
        <v>1360</v>
      </c>
      <c r="AJ218" t="s">
        <v>1885</v>
      </c>
      <c r="AK218" t="s">
        <v>1886</v>
      </c>
      <c r="AL218" t="s">
        <v>1360</v>
      </c>
      <c r="AM218" t="s">
        <v>1885</v>
      </c>
      <c r="AN218" t="s">
        <v>1886</v>
      </c>
      <c r="AO218" t="s">
        <v>1909</v>
      </c>
      <c r="AP218" t="s">
        <v>1293</v>
      </c>
      <c r="AQ218" t="s">
        <v>1893</v>
      </c>
      <c r="AR218" t="s">
        <v>1293</v>
      </c>
      <c r="AS218" t="s">
        <v>1282</v>
      </c>
      <c r="AT218" t="s">
        <v>1894</v>
      </c>
    </row>
    <row r="219" spans="4:46" x14ac:dyDescent="0.25">
      <c r="D219" t="s">
        <v>1088</v>
      </c>
      <c r="E219" s="177" t="str">
        <f>INDEX(tblBOneExport[[INSTRUMENT]:[ISIN]],MATCH(tblGetStaticData[[#This Row],[ISIN]],tblBOneExport[ISIN],0),1)</f>
        <v>SHELL INTL FIN 2 20/12/19 EMTN</v>
      </c>
      <c r="F219" s="155" t="str">
        <f>tblGetStaticData[[#This Row],[iPasL2]]&amp; " " &amp; tblGetStaticData[[#This Row],[Tiering]]</f>
        <v>Energy SEN</v>
      </c>
      <c r="G219" s="155" t="s">
        <v>1282</v>
      </c>
      <c r="H219" t="s">
        <v>1635</v>
      </c>
      <c r="I219" t="s">
        <v>1635</v>
      </c>
      <c r="J219" t="s">
        <v>1636</v>
      </c>
      <c r="K219" t="s">
        <v>1089</v>
      </c>
      <c r="L219" t="s">
        <v>1293</v>
      </c>
      <c r="M219" t="s">
        <v>493</v>
      </c>
      <c r="N219" t="s">
        <v>1882</v>
      </c>
      <c r="O219" t="s">
        <v>1295</v>
      </c>
      <c r="P219" t="s">
        <v>1294</v>
      </c>
      <c r="Q219" t="s">
        <v>1895</v>
      </c>
      <c r="R219" t="s">
        <v>1295</v>
      </c>
      <c r="S219" t="s">
        <v>1294</v>
      </c>
      <c r="T219" t="s">
        <v>1895</v>
      </c>
      <c r="U219" t="s">
        <v>1887</v>
      </c>
      <c r="V219" t="s">
        <v>1088</v>
      </c>
      <c r="W219" t="s">
        <v>1089</v>
      </c>
      <c r="X219" t="s">
        <v>1635</v>
      </c>
      <c r="Y219" t="s">
        <v>2078</v>
      </c>
      <c r="Z219" t="s">
        <v>2079</v>
      </c>
      <c r="AA219" t="s">
        <v>493</v>
      </c>
      <c r="AB219" t="s">
        <v>1899</v>
      </c>
      <c r="AC219" t="s">
        <v>1282</v>
      </c>
      <c r="AD219" t="s">
        <v>2227</v>
      </c>
      <c r="AE219" t="s">
        <v>1984</v>
      </c>
      <c r="AF219" t="s">
        <v>2227</v>
      </c>
      <c r="AG219" t="s">
        <v>1984</v>
      </c>
      <c r="AH219" t="s">
        <v>1295</v>
      </c>
      <c r="AI219" t="s">
        <v>1295</v>
      </c>
      <c r="AJ219" t="s">
        <v>1294</v>
      </c>
      <c r="AK219" t="s">
        <v>1895</v>
      </c>
      <c r="AL219" t="s">
        <v>1295</v>
      </c>
      <c r="AM219" t="s">
        <v>1294</v>
      </c>
      <c r="AN219" t="s">
        <v>1895</v>
      </c>
      <c r="AO219" t="s">
        <v>1999</v>
      </c>
      <c r="AP219" t="s">
        <v>1332</v>
      </c>
      <c r="AQ219" t="s">
        <v>1408</v>
      </c>
      <c r="AR219" t="s">
        <v>1293</v>
      </c>
      <c r="AS219" t="s">
        <v>1282</v>
      </c>
      <c r="AT219" t="s">
        <v>1894</v>
      </c>
    </row>
    <row r="220" spans="4:46" x14ac:dyDescent="0.25">
      <c r="D220" t="s">
        <v>871</v>
      </c>
      <c r="E220" s="177" t="str">
        <f>INDEX(tblBOneExport[[INSTRUMENT]:[ISIN]],MATCH(tblGetStaticData[[#This Row],[ISIN]],tblBOneExport[ISIN],0),1)</f>
        <v>JOHN LEWIS 4.25 18/12/34</v>
      </c>
      <c r="F220" s="155" t="str">
        <f>tblGetStaticData[[#This Row],[iPasL2]]&amp; " " &amp; tblGetStaticData[[#This Row],[Tiering]]</f>
        <v>Consumer Cyclical SEN</v>
      </c>
      <c r="G220" s="155" t="s">
        <v>1282</v>
      </c>
      <c r="H220" t="s">
        <v>1306</v>
      </c>
      <c r="I220" t="s">
        <v>1306</v>
      </c>
      <c r="J220" t="s">
        <v>1422</v>
      </c>
      <c r="K220" t="s">
        <v>869</v>
      </c>
      <c r="L220" t="s">
        <v>1288</v>
      </c>
      <c r="M220" t="s">
        <v>493</v>
      </c>
      <c r="N220" t="s">
        <v>1882</v>
      </c>
      <c r="O220" t="s">
        <v>1360</v>
      </c>
      <c r="P220" t="s">
        <v>1885</v>
      </c>
      <c r="Q220" t="s">
        <v>1886</v>
      </c>
      <c r="R220" t="s">
        <v>1360</v>
      </c>
      <c r="S220" t="s">
        <v>1885</v>
      </c>
      <c r="T220" t="s">
        <v>1886</v>
      </c>
      <c r="U220" t="s">
        <v>1887</v>
      </c>
      <c r="V220" t="s">
        <v>871</v>
      </c>
      <c r="W220" t="s">
        <v>869</v>
      </c>
      <c r="X220" t="s">
        <v>1932</v>
      </c>
      <c r="Y220" t="s">
        <v>1996</v>
      </c>
      <c r="Z220" t="s">
        <v>2116</v>
      </c>
      <c r="AA220" t="s">
        <v>493</v>
      </c>
      <c r="AB220" t="s">
        <v>1899</v>
      </c>
      <c r="AC220" t="s">
        <v>1282</v>
      </c>
      <c r="AD220" t="s">
        <v>2228</v>
      </c>
      <c r="AE220" t="s">
        <v>1918</v>
      </c>
      <c r="AF220" t="s">
        <v>2228</v>
      </c>
      <c r="AG220" t="s">
        <v>1918</v>
      </c>
      <c r="AH220" t="s">
        <v>1360</v>
      </c>
      <c r="AI220" t="s">
        <v>1360</v>
      </c>
      <c r="AJ220" t="s">
        <v>1885</v>
      </c>
      <c r="AK220" t="s">
        <v>1886</v>
      </c>
      <c r="AL220" t="s">
        <v>1360</v>
      </c>
      <c r="AM220" t="s">
        <v>1885</v>
      </c>
      <c r="AN220" t="s">
        <v>1886</v>
      </c>
      <c r="AO220" t="s">
        <v>1893</v>
      </c>
      <c r="AP220" t="s">
        <v>1893</v>
      </c>
      <c r="AQ220" t="s">
        <v>1893</v>
      </c>
      <c r="AR220" t="s">
        <v>1893</v>
      </c>
      <c r="AS220" t="s">
        <v>1282</v>
      </c>
      <c r="AT220" t="s">
        <v>1894</v>
      </c>
    </row>
    <row r="221" spans="4:46" x14ac:dyDescent="0.25">
      <c r="D221" t="s">
        <v>1140</v>
      </c>
      <c r="E221" s="177" t="str">
        <f>INDEX(tblBOneExport[[INSTRUMENT]:[ISIN]],MATCH(tblGetStaticData[[#This Row],[ISIN]],tblBOneExport[ISIN],0),1)</f>
        <v>GUERNSEY (GOVT) 3.375 12/12/46</v>
      </c>
      <c r="F221" s="155" t="str">
        <f>tblGetStaticData[[#This Row],[iPasL2]]&amp; " " &amp; tblGetStaticData[[#This Row],[Tiering]]</f>
        <v>Sovereigns SEN</v>
      </c>
      <c r="G221" s="155" t="s">
        <v>1282</v>
      </c>
      <c r="H221" t="s">
        <v>181</v>
      </c>
      <c r="I221" t="s">
        <v>181</v>
      </c>
      <c r="J221" t="s">
        <v>181</v>
      </c>
      <c r="K221" t="s">
        <v>1141</v>
      </c>
      <c r="L221" t="s">
        <v>1303</v>
      </c>
      <c r="M221" t="s">
        <v>493</v>
      </c>
      <c r="N221" t="s">
        <v>1882</v>
      </c>
      <c r="O221" t="s">
        <v>1816</v>
      </c>
      <c r="P221" t="s">
        <v>1815</v>
      </c>
      <c r="Q221" t="s">
        <v>2105</v>
      </c>
      <c r="R221" t="s">
        <v>1816</v>
      </c>
      <c r="S221" t="s">
        <v>1815</v>
      </c>
      <c r="T221" t="s">
        <v>2105</v>
      </c>
      <c r="U221" t="s">
        <v>1887</v>
      </c>
      <c r="V221" t="s">
        <v>1140</v>
      </c>
      <c r="W221" t="s">
        <v>1141</v>
      </c>
      <c r="X221" t="s">
        <v>1942</v>
      </c>
      <c r="Y221" t="s">
        <v>182</v>
      </c>
      <c r="Z221" t="s">
        <v>182</v>
      </c>
      <c r="AA221" t="s">
        <v>493</v>
      </c>
      <c r="AB221" t="s">
        <v>1899</v>
      </c>
      <c r="AC221" t="s">
        <v>1282</v>
      </c>
      <c r="AD221" t="s">
        <v>2229</v>
      </c>
      <c r="AE221" t="s">
        <v>2163</v>
      </c>
      <c r="AF221" t="s">
        <v>2229</v>
      </c>
      <c r="AG221" t="s">
        <v>2163</v>
      </c>
      <c r="AH221" t="s">
        <v>1816</v>
      </c>
      <c r="AI221" t="s">
        <v>1816</v>
      </c>
      <c r="AJ221" t="s">
        <v>1815</v>
      </c>
      <c r="AK221" t="s">
        <v>2105</v>
      </c>
      <c r="AL221" t="s">
        <v>1816</v>
      </c>
      <c r="AM221" t="s">
        <v>1815</v>
      </c>
      <c r="AN221" t="s">
        <v>2105</v>
      </c>
      <c r="AO221" t="s">
        <v>1893</v>
      </c>
      <c r="AP221" t="s">
        <v>1408</v>
      </c>
      <c r="AQ221" t="s">
        <v>1893</v>
      </c>
      <c r="AR221" t="s">
        <v>1873</v>
      </c>
      <c r="AS221" t="s">
        <v>1282</v>
      </c>
      <c r="AT221" t="s">
        <v>1894</v>
      </c>
    </row>
    <row r="222" spans="4:46" x14ac:dyDescent="0.25">
      <c r="D222" t="s">
        <v>573</v>
      </c>
      <c r="E222" s="177" t="str">
        <f>INDEX(tblBOneExport[[INSTRUMENT]:[ISIN]],MATCH(tblGetStaticData[[#This Row],[ISIN]],tblBOneExport[ISIN],0),1)</f>
        <v>BASF SE 1.375 15/12/17 EMTN</v>
      </c>
      <c r="F222" s="155" t="str">
        <f>tblGetStaticData[[#This Row],[iPasL2]]&amp; " " &amp; tblGetStaticData[[#This Row],[Tiering]]</f>
        <v>Basic SEN</v>
      </c>
      <c r="G222" s="155" t="s">
        <v>1282</v>
      </c>
      <c r="H222" t="s">
        <v>1512</v>
      </c>
      <c r="I222" t="s">
        <v>1512</v>
      </c>
      <c r="J222" t="s">
        <v>1513</v>
      </c>
      <c r="K222" t="s">
        <v>571</v>
      </c>
      <c r="L222" t="s">
        <v>1332</v>
      </c>
      <c r="M222" t="s">
        <v>493</v>
      </c>
      <c r="N222" t="s">
        <v>1882</v>
      </c>
      <c r="O222" t="s">
        <v>1433</v>
      </c>
      <c r="P222" t="s">
        <v>1432</v>
      </c>
      <c r="Q222" t="s">
        <v>1895</v>
      </c>
      <c r="R222" t="s">
        <v>1433</v>
      </c>
      <c r="S222" t="s">
        <v>1432</v>
      </c>
      <c r="T222" t="s">
        <v>1895</v>
      </c>
      <c r="U222" t="s">
        <v>1887</v>
      </c>
      <c r="V222" t="s">
        <v>573</v>
      </c>
      <c r="W222" t="s">
        <v>571</v>
      </c>
      <c r="X222" t="s">
        <v>1905</v>
      </c>
      <c r="Y222" t="s">
        <v>1513</v>
      </c>
      <c r="Z222" t="s">
        <v>1906</v>
      </c>
      <c r="AA222" t="s">
        <v>493</v>
      </c>
      <c r="AB222" t="s">
        <v>1899</v>
      </c>
      <c r="AC222" t="s">
        <v>1282</v>
      </c>
      <c r="AD222" t="s">
        <v>2188</v>
      </c>
      <c r="AE222" t="s">
        <v>1936</v>
      </c>
      <c r="AF222" t="s">
        <v>2188</v>
      </c>
      <c r="AG222" t="s">
        <v>1936</v>
      </c>
      <c r="AH222" t="s">
        <v>1433</v>
      </c>
      <c r="AI222" t="s">
        <v>1433</v>
      </c>
      <c r="AJ222" t="s">
        <v>1432</v>
      </c>
      <c r="AK222" t="s">
        <v>1895</v>
      </c>
      <c r="AL222" t="s">
        <v>1433</v>
      </c>
      <c r="AM222" t="s">
        <v>1432</v>
      </c>
      <c r="AN222" t="s">
        <v>1895</v>
      </c>
      <c r="AO222" t="s">
        <v>1909</v>
      </c>
      <c r="AP222" t="s">
        <v>1332</v>
      </c>
      <c r="AQ222" t="s">
        <v>1293</v>
      </c>
      <c r="AR222" t="s">
        <v>1332</v>
      </c>
      <c r="AS222" t="s">
        <v>1282</v>
      </c>
      <c r="AT222" t="s">
        <v>1894</v>
      </c>
    </row>
    <row r="223" spans="4:46" x14ac:dyDescent="0.25">
      <c r="D223" t="s">
        <v>651</v>
      </c>
      <c r="E223" s="177" t="str">
        <f>INDEX(tblBOneExport[[INSTRUMENT]:[ISIN]],MATCH(tblGetStaticData[[#This Row],[ISIN]],tblBOneExport[ISIN],0),1)</f>
        <v>DAIMLER AG 1.25 01/12/17 EMTN</v>
      </c>
      <c r="F223" s="155" t="str">
        <f>tblGetStaticData[[#This Row],[iPasL2]]&amp; " " &amp; tblGetStaticData[[#This Row],[Tiering]]</f>
        <v>Consumer Cyclical SEN</v>
      </c>
      <c r="G223" s="155" t="s">
        <v>1282</v>
      </c>
      <c r="H223" t="s">
        <v>1306</v>
      </c>
      <c r="I223" t="s">
        <v>1306</v>
      </c>
      <c r="J223" t="s">
        <v>1307</v>
      </c>
      <c r="K223" t="s">
        <v>645</v>
      </c>
      <c r="L223" t="s">
        <v>1281</v>
      </c>
      <c r="M223" t="s">
        <v>493</v>
      </c>
      <c r="N223" t="s">
        <v>1882</v>
      </c>
      <c r="O223" t="s">
        <v>1433</v>
      </c>
      <c r="P223" t="s">
        <v>1432</v>
      </c>
      <c r="Q223" t="s">
        <v>1895</v>
      </c>
      <c r="R223" t="s">
        <v>1433</v>
      </c>
      <c r="S223" t="s">
        <v>1432</v>
      </c>
      <c r="T223" t="s">
        <v>1895</v>
      </c>
      <c r="U223" t="s">
        <v>1887</v>
      </c>
      <c r="V223" t="s">
        <v>651</v>
      </c>
      <c r="W223" t="s">
        <v>645</v>
      </c>
      <c r="X223" t="s">
        <v>1932</v>
      </c>
      <c r="Y223" t="s">
        <v>2095</v>
      </c>
      <c r="Z223" t="s">
        <v>2096</v>
      </c>
      <c r="AA223" t="s">
        <v>493</v>
      </c>
      <c r="AB223" t="s">
        <v>1899</v>
      </c>
      <c r="AC223" t="s">
        <v>1282</v>
      </c>
      <c r="AD223" t="s">
        <v>2230</v>
      </c>
      <c r="AE223" t="s">
        <v>1936</v>
      </c>
      <c r="AF223" t="s">
        <v>2230</v>
      </c>
      <c r="AG223" t="s">
        <v>1936</v>
      </c>
      <c r="AH223" t="s">
        <v>1433</v>
      </c>
      <c r="AI223" t="s">
        <v>1433</v>
      </c>
      <c r="AJ223" t="s">
        <v>1432</v>
      </c>
      <c r="AK223" t="s">
        <v>1895</v>
      </c>
      <c r="AL223" t="s">
        <v>1433</v>
      </c>
      <c r="AM223" t="s">
        <v>1432</v>
      </c>
      <c r="AN223" t="s">
        <v>1895</v>
      </c>
      <c r="AO223" t="s">
        <v>1902</v>
      </c>
      <c r="AP223" t="s">
        <v>1332</v>
      </c>
      <c r="AQ223" t="s">
        <v>1281</v>
      </c>
      <c r="AR223" t="s">
        <v>1281</v>
      </c>
      <c r="AS223" t="s">
        <v>1282</v>
      </c>
      <c r="AT223" t="s">
        <v>1894</v>
      </c>
    </row>
    <row r="224" spans="4:46" x14ac:dyDescent="0.25">
      <c r="D224" t="s">
        <v>1068</v>
      </c>
      <c r="E224" s="177" t="str">
        <f>INDEX(tblBOneExport[[INSTRUMENT]:[ISIN]],MATCH(tblGetStaticData[[#This Row],[ISIN]],tblBOneExport[ISIN],0),1)</f>
        <v>PRUDENTIAL PLC 1.375 19/01/18 EMTN</v>
      </c>
      <c r="F224" s="155" t="str">
        <f>tblGetStaticData[[#This Row],[iPasL2]]&amp; " " &amp; tblGetStaticData[[#This Row],[Tiering]]</f>
        <v>Insurance SEN</v>
      </c>
      <c r="G224" s="155" t="s">
        <v>1282</v>
      </c>
      <c r="H224" t="s">
        <v>1301</v>
      </c>
      <c r="I224" t="s">
        <v>1301</v>
      </c>
      <c r="J224" t="s">
        <v>1302</v>
      </c>
      <c r="K224" t="s">
        <v>1069</v>
      </c>
      <c r="L224" t="s">
        <v>1332</v>
      </c>
      <c r="M224" t="s">
        <v>493</v>
      </c>
      <c r="N224" t="s">
        <v>1882</v>
      </c>
      <c r="O224" t="s">
        <v>1360</v>
      </c>
      <c r="P224" t="s">
        <v>1885</v>
      </c>
      <c r="Q224" t="s">
        <v>1886</v>
      </c>
      <c r="R224" t="s">
        <v>1360</v>
      </c>
      <c r="S224" t="s">
        <v>1885</v>
      </c>
      <c r="T224" t="s">
        <v>1886</v>
      </c>
      <c r="U224" t="s">
        <v>1887</v>
      </c>
      <c r="V224" t="s">
        <v>1068</v>
      </c>
      <c r="W224" t="s">
        <v>1069</v>
      </c>
      <c r="X224" t="s">
        <v>1967</v>
      </c>
      <c r="Y224" t="s">
        <v>1301</v>
      </c>
      <c r="Z224" t="s">
        <v>1976</v>
      </c>
      <c r="AA224" t="s">
        <v>493</v>
      </c>
      <c r="AB224" t="s">
        <v>1899</v>
      </c>
      <c r="AC224" t="s">
        <v>1282</v>
      </c>
      <c r="AD224" t="s">
        <v>2231</v>
      </c>
      <c r="AE224" t="s">
        <v>1936</v>
      </c>
      <c r="AF224" t="s">
        <v>2231</v>
      </c>
      <c r="AG224" t="s">
        <v>1936</v>
      </c>
      <c r="AH224" t="s">
        <v>1360</v>
      </c>
      <c r="AI224" t="s">
        <v>1360</v>
      </c>
      <c r="AJ224" t="s">
        <v>1885</v>
      </c>
      <c r="AK224" t="s">
        <v>1886</v>
      </c>
      <c r="AL224" t="s">
        <v>1360</v>
      </c>
      <c r="AM224" t="s">
        <v>1885</v>
      </c>
      <c r="AN224" t="s">
        <v>1886</v>
      </c>
      <c r="AO224" t="s">
        <v>1902</v>
      </c>
      <c r="AP224" t="s">
        <v>1293</v>
      </c>
      <c r="AQ224" t="s">
        <v>1332</v>
      </c>
      <c r="AR224" t="s">
        <v>1332</v>
      </c>
      <c r="AS224" t="s">
        <v>1282</v>
      </c>
      <c r="AT224" t="s">
        <v>1894</v>
      </c>
    </row>
    <row r="225" spans="4:46" x14ac:dyDescent="0.25">
      <c r="D225" t="s">
        <v>969</v>
      </c>
      <c r="E225" s="177" t="str">
        <f>INDEX(tblBOneExport[[INSTRUMENT]:[ISIN]],MATCH(tblGetStaticData[[#This Row],[ISIN]],tblBOneExport[ISIN],0),1)</f>
        <v>NED WATERSCHAPBK 0.875 07/03/18 EMTN</v>
      </c>
      <c r="F225" s="155" t="str">
        <f>tblGetStaticData[[#This Row],[iPasL2]]&amp; " " &amp; tblGetStaticData[[#This Row],[Tiering]]</f>
        <v>Foreign Agency SEN</v>
      </c>
      <c r="G225" s="155" t="s">
        <v>1282</v>
      </c>
      <c r="H225" t="s">
        <v>1331</v>
      </c>
      <c r="I225" t="s">
        <v>1331</v>
      </c>
      <c r="J225" t="s">
        <v>1331</v>
      </c>
      <c r="K225" t="s">
        <v>967</v>
      </c>
      <c r="L225" t="s">
        <v>1353</v>
      </c>
      <c r="M225" t="s">
        <v>493</v>
      </c>
      <c r="N225" t="s">
        <v>1882</v>
      </c>
      <c r="O225" t="s">
        <v>1295</v>
      </c>
      <c r="P225" t="s">
        <v>1294</v>
      </c>
      <c r="Q225" t="s">
        <v>1895</v>
      </c>
      <c r="R225" t="s">
        <v>1295</v>
      </c>
      <c r="S225" t="s">
        <v>1294</v>
      </c>
      <c r="T225" t="s">
        <v>1895</v>
      </c>
      <c r="U225" t="s">
        <v>1887</v>
      </c>
      <c r="V225" t="s">
        <v>969</v>
      </c>
      <c r="W225" t="s">
        <v>967</v>
      </c>
      <c r="X225" t="s">
        <v>1967</v>
      </c>
      <c r="Y225" t="s">
        <v>1968</v>
      </c>
      <c r="Z225" t="s">
        <v>1969</v>
      </c>
      <c r="AA225" t="s">
        <v>493</v>
      </c>
      <c r="AB225" t="s">
        <v>1899</v>
      </c>
      <c r="AC225" t="s">
        <v>1282</v>
      </c>
      <c r="AD225" t="s">
        <v>2232</v>
      </c>
      <c r="AE225" t="s">
        <v>1936</v>
      </c>
      <c r="AF225" t="s">
        <v>2232</v>
      </c>
      <c r="AG225" t="s">
        <v>1936</v>
      </c>
      <c r="AH225" t="s">
        <v>1295</v>
      </c>
      <c r="AI225" t="s">
        <v>1295</v>
      </c>
      <c r="AJ225" t="s">
        <v>1294</v>
      </c>
      <c r="AK225" t="s">
        <v>1895</v>
      </c>
      <c r="AL225" t="s">
        <v>1295</v>
      </c>
      <c r="AM225" t="s">
        <v>1294</v>
      </c>
      <c r="AN225" t="s">
        <v>1895</v>
      </c>
      <c r="AO225" t="s">
        <v>1947</v>
      </c>
      <c r="AP225" t="s">
        <v>1353</v>
      </c>
      <c r="AQ225" t="s">
        <v>1893</v>
      </c>
      <c r="AR225" t="s">
        <v>1353</v>
      </c>
      <c r="AS225" t="s">
        <v>1282</v>
      </c>
      <c r="AT225" t="s">
        <v>1894</v>
      </c>
    </row>
    <row r="226" spans="4:46" x14ac:dyDescent="0.25">
      <c r="D226" t="s">
        <v>1266</v>
      </c>
      <c r="E226" s="177" t="str">
        <f>INDEX(tblBOneExport[[INSTRUMENT]:[ISIN]],MATCH(tblGetStaticData[[#This Row],[ISIN]],tblBOneExport[ISIN],0),1)</f>
        <v>WHITBREAD GROUP 3.375 16/10/25</v>
      </c>
      <c r="F226" s="155" t="str">
        <f>tblGetStaticData[[#This Row],[iPasL2]]&amp; " " &amp; tblGetStaticData[[#This Row],[Tiering]]</f>
        <v>Consumer Cyclical SEN</v>
      </c>
      <c r="G226" s="155" t="s">
        <v>1282</v>
      </c>
      <c r="H226" t="s">
        <v>1306</v>
      </c>
      <c r="I226" t="s">
        <v>1306</v>
      </c>
      <c r="J226" t="s">
        <v>1306</v>
      </c>
      <c r="K226" t="s">
        <v>1267</v>
      </c>
      <c r="L226" t="s">
        <v>1288</v>
      </c>
      <c r="M226" t="s">
        <v>493</v>
      </c>
      <c r="N226" t="s">
        <v>1882</v>
      </c>
      <c r="O226" t="s">
        <v>1360</v>
      </c>
      <c r="P226" t="s">
        <v>1885</v>
      </c>
      <c r="Q226" t="s">
        <v>1886</v>
      </c>
      <c r="R226" t="s">
        <v>1360</v>
      </c>
      <c r="S226" t="s">
        <v>1885</v>
      </c>
      <c r="T226" t="s">
        <v>1886</v>
      </c>
      <c r="U226" t="s">
        <v>1887</v>
      </c>
      <c r="V226" t="s">
        <v>1266</v>
      </c>
      <c r="W226" t="s">
        <v>1267</v>
      </c>
      <c r="X226" t="s">
        <v>1932</v>
      </c>
      <c r="Y226" t="s">
        <v>1827</v>
      </c>
      <c r="Z226" t="s">
        <v>2233</v>
      </c>
      <c r="AA226" t="s">
        <v>493</v>
      </c>
      <c r="AB226" t="s">
        <v>1899</v>
      </c>
      <c r="AC226" t="s">
        <v>1282</v>
      </c>
      <c r="AD226" t="s">
        <v>2234</v>
      </c>
      <c r="AE226" t="s">
        <v>1908</v>
      </c>
      <c r="AF226" t="s">
        <v>2234</v>
      </c>
      <c r="AG226" t="s">
        <v>1908</v>
      </c>
      <c r="AH226" t="s">
        <v>1360</v>
      </c>
      <c r="AI226" t="s">
        <v>1360</v>
      </c>
      <c r="AJ226" t="s">
        <v>1885</v>
      </c>
      <c r="AK226" t="s">
        <v>1886</v>
      </c>
      <c r="AL226" t="s">
        <v>1360</v>
      </c>
      <c r="AM226" t="s">
        <v>1885</v>
      </c>
      <c r="AN226" t="s">
        <v>1886</v>
      </c>
      <c r="AO226" t="s">
        <v>1893</v>
      </c>
      <c r="AP226" t="s">
        <v>1893</v>
      </c>
      <c r="AQ226" t="s">
        <v>1288</v>
      </c>
      <c r="AR226" t="s">
        <v>1873</v>
      </c>
      <c r="AS226" t="s">
        <v>1282</v>
      </c>
      <c r="AT226" t="s">
        <v>1894</v>
      </c>
    </row>
    <row r="227" spans="4:46" x14ac:dyDescent="0.25">
      <c r="D227" t="s">
        <v>1030</v>
      </c>
      <c r="E227" s="177" t="str">
        <f>INDEX(tblBOneExport[[INSTRUMENT]:[ISIN]],MATCH(tblGetStaticData[[#This Row],[ISIN]],tblBOneExport[ISIN],0),1)</f>
        <v>PACCAR FINANCIAL 1.513 29/05/18 EMTN</v>
      </c>
      <c r="F227" s="155" t="str">
        <f>tblGetStaticData[[#This Row],[iPasL2]]&amp; " " &amp; tblGetStaticData[[#This Row],[Tiering]]</f>
        <v>Consumer Cyclical SEN</v>
      </c>
      <c r="G227" s="155" t="s">
        <v>1282</v>
      </c>
      <c r="H227" t="s">
        <v>1306</v>
      </c>
      <c r="I227" t="s">
        <v>1306</v>
      </c>
      <c r="J227" t="s">
        <v>1307</v>
      </c>
      <c r="K227" t="s">
        <v>1031</v>
      </c>
      <c r="L227" t="s">
        <v>1332</v>
      </c>
      <c r="M227" t="s">
        <v>493</v>
      </c>
      <c r="N227" t="s">
        <v>1882</v>
      </c>
      <c r="O227" t="s">
        <v>1295</v>
      </c>
      <c r="P227" t="s">
        <v>1294</v>
      </c>
      <c r="Q227" t="s">
        <v>1895</v>
      </c>
      <c r="R227" t="s">
        <v>1309</v>
      </c>
      <c r="S227" t="s">
        <v>1960</v>
      </c>
      <c r="T227" t="s">
        <v>1961</v>
      </c>
      <c r="U227" t="s">
        <v>1962</v>
      </c>
      <c r="V227" t="s">
        <v>1030</v>
      </c>
      <c r="W227" t="s">
        <v>1031</v>
      </c>
      <c r="X227" t="s">
        <v>1932</v>
      </c>
      <c r="Y227" t="s">
        <v>2095</v>
      </c>
      <c r="Z227" t="s">
        <v>2235</v>
      </c>
      <c r="AA227" t="s">
        <v>493</v>
      </c>
      <c r="AB227" t="s">
        <v>1899</v>
      </c>
      <c r="AC227" t="s">
        <v>1282</v>
      </c>
      <c r="AD227" t="s">
        <v>2236</v>
      </c>
      <c r="AE227" t="s">
        <v>1936</v>
      </c>
      <c r="AF227" t="s">
        <v>2236</v>
      </c>
      <c r="AG227" t="s">
        <v>1936</v>
      </c>
      <c r="AH227" t="s">
        <v>1295</v>
      </c>
      <c r="AI227" t="s">
        <v>1295</v>
      </c>
      <c r="AJ227" t="s">
        <v>1294</v>
      </c>
      <c r="AK227" t="s">
        <v>1895</v>
      </c>
      <c r="AL227" t="s">
        <v>1309</v>
      </c>
      <c r="AM227" t="s">
        <v>1960</v>
      </c>
      <c r="AN227" t="s">
        <v>1961</v>
      </c>
      <c r="AO227" t="s">
        <v>1909</v>
      </c>
      <c r="AP227" t="s">
        <v>1293</v>
      </c>
      <c r="AQ227" t="s">
        <v>1893</v>
      </c>
      <c r="AR227" t="s">
        <v>1293</v>
      </c>
      <c r="AS227" t="s">
        <v>1282</v>
      </c>
      <c r="AT227" t="s">
        <v>1894</v>
      </c>
    </row>
    <row r="228" spans="4:46" x14ac:dyDescent="0.25">
      <c r="D228" t="s">
        <v>597</v>
      </c>
      <c r="E228" s="177" t="str">
        <f>INDEX(tblBOneExport[[INSTRUMENT]:[ISIN]],MATCH(tblGetStaticData[[#This Row],[ISIN]],tblBOneExport[ISIN],0),1)</f>
        <v>BMW FINANCE NV 1.875 29/06/20 EMTN</v>
      </c>
      <c r="F228" s="155" t="str">
        <f>tblGetStaticData[[#This Row],[iPasL2]]&amp; " " &amp; tblGetStaticData[[#This Row],[Tiering]]</f>
        <v>Consumer Cyclical SEN</v>
      </c>
      <c r="G228" s="155" t="s">
        <v>1282</v>
      </c>
      <c r="H228" t="s">
        <v>1306</v>
      </c>
      <c r="I228" t="s">
        <v>1306</v>
      </c>
      <c r="J228" t="s">
        <v>1307</v>
      </c>
      <c r="K228" t="s">
        <v>595</v>
      </c>
      <c r="L228" t="s">
        <v>1332</v>
      </c>
      <c r="M228" t="s">
        <v>493</v>
      </c>
      <c r="N228" t="s">
        <v>1882</v>
      </c>
      <c r="O228" t="s">
        <v>1295</v>
      </c>
      <c r="P228" t="s">
        <v>1294</v>
      </c>
      <c r="Q228" t="s">
        <v>1895</v>
      </c>
      <c r="R228" t="s">
        <v>1433</v>
      </c>
      <c r="S228" t="s">
        <v>1432</v>
      </c>
      <c r="T228" t="s">
        <v>1895</v>
      </c>
      <c r="U228" t="s">
        <v>1887</v>
      </c>
      <c r="V228" t="s">
        <v>597</v>
      </c>
      <c r="W228" t="s">
        <v>595</v>
      </c>
      <c r="X228" t="s">
        <v>1932</v>
      </c>
      <c r="Y228" t="s">
        <v>2095</v>
      </c>
      <c r="Z228" t="s">
        <v>2096</v>
      </c>
      <c r="AA228" t="s">
        <v>493</v>
      </c>
      <c r="AB228" t="s">
        <v>1899</v>
      </c>
      <c r="AC228" t="s">
        <v>1282</v>
      </c>
      <c r="AD228" t="s">
        <v>2237</v>
      </c>
      <c r="AE228" t="s">
        <v>1915</v>
      </c>
      <c r="AF228" t="s">
        <v>2237</v>
      </c>
      <c r="AG228" t="s">
        <v>1915</v>
      </c>
      <c r="AH228" t="s">
        <v>1295</v>
      </c>
      <c r="AI228" t="s">
        <v>1295</v>
      </c>
      <c r="AJ228" t="s">
        <v>1294</v>
      </c>
      <c r="AK228" t="s">
        <v>1895</v>
      </c>
      <c r="AL228" t="s">
        <v>1433</v>
      </c>
      <c r="AM228" t="s">
        <v>1432</v>
      </c>
      <c r="AN228" t="s">
        <v>1895</v>
      </c>
      <c r="AO228" t="s">
        <v>1909</v>
      </c>
      <c r="AP228" t="s">
        <v>1293</v>
      </c>
      <c r="AQ228" t="s">
        <v>1893</v>
      </c>
      <c r="AR228" t="s">
        <v>1293</v>
      </c>
      <c r="AS228" t="s">
        <v>1282</v>
      </c>
      <c r="AT228" t="s">
        <v>1894</v>
      </c>
    </row>
    <row r="229" spans="4:46" x14ac:dyDescent="0.25">
      <c r="D229" t="s">
        <v>1214</v>
      </c>
      <c r="E229" s="177" t="str">
        <f>INDEX(tblBOneExport[[INSTRUMENT]:[ISIN]],MATCH(tblGetStaticData[[#This Row],[ISIN]],tblBOneExport[ISIN],0),1)</f>
        <v>UNI OF LIVERPOOL 3.375 25/06/55</v>
      </c>
      <c r="F229" s="155" t="str">
        <f>tblGetStaticData[[#This Row],[iPasL2]]&amp; " " &amp; tblGetStaticData[[#This Row],[Tiering]]</f>
        <v>Other Industrial SEN</v>
      </c>
      <c r="G229" s="155" t="s">
        <v>1282</v>
      </c>
      <c r="H229" t="s">
        <v>1717</v>
      </c>
      <c r="I229" t="s">
        <v>1717</v>
      </c>
      <c r="J229" t="s">
        <v>1717</v>
      </c>
      <c r="K229" t="s">
        <v>1215</v>
      </c>
      <c r="L229" t="s">
        <v>1303</v>
      </c>
      <c r="M229" t="s">
        <v>493</v>
      </c>
      <c r="N229" t="s">
        <v>1882</v>
      </c>
      <c r="O229" t="s">
        <v>1360</v>
      </c>
      <c r="P229" t="s">
        <v>1885</v>
      </c>
      <c r="Q229" t="s">
        <v>1886</v>
      </c>
      <c r="R229" t="s">
        <v>1360</v>
      </c>
      <c r="S229" t="s">
        <v>1885</v>
      </c>
      <c r="T229" t="s">
        <v>1886</v>
      </c>
      <c r="U229" t="s">
        <v>1887</v>
      </c>
      <c r="V229" t="s">
        <v>1214</v>
      </c>
      <c r="W229" t="s">
        <v>1215</v>
      </c>
      <c r="X229" t="s">
        <v>1896</v>
      </c>
      <c r="Y229" t="s">
        <v>2027</v>
      </c>
      <c r="Z229" t="s">
        <v>2174</v>
      </c>
      <c r="AA229" t="s">
        <v>493</v>
      </c>
      <c r="AB229" t="s">
        <v>1899</v>
      </c>
      <c r="AC229" t="s">
        <v>1282</v>
      </c>
      <c r="AD229" t="s">
        <v>2238</v>
      </c>
      <c r="AE229" t="s">
        <v>1904</v>
      </c>
      <c r="AF229" t="s">
        <v>2238</v>
      </c>
      <c r="AG229" t="s">
        <v>1904</v>
      </c>
      <c r="AH229" t="s">
        <v>1360</v>
      </c>
      <c r="AI229" t="s">
        <v>1360</v>
      </c>
      <c r="AJ229" t="s">
        <v>1885</v>
      </c>
      <c r="AK229" t="s">
        <v>1886</v>
      </c>
      <c r="AL229" t="s">
        <v>1360</v>
      </c>
      <c r="AM229" t="s">
        <v>1885</v>
      </c>
      <c r="AN229" t="s">
        <v>1886</v>
      </c>
      <c r="AO229" t="s">
        <v>1999</v>
      </c>
      <c r="AP229" t="s">
        <v>1893</v>
      </c>
      <c r="AQ229" t="s">
        <v>1893</v>
      </c>
      <c r="AR229" t="s">
        <v>1873</v>
      </c>
      <c r="AS229" t="s">
        <v>1282</v>
      </c>
      <c r="AT229" t="s">
        <v>1894</v>
      </c>
    </row>
    <row r="230" spans="4:46" x14ac:dyDescent="0.25">
      <c r="D230" t="s">
        <v>972</v>
      </c>
      <c r="E230" s="177" t="str">
        <f>INDEX(tblBOneExport[[INSTRUMENT]:[ISIN]],MATCH(tblGetStaticData[[#This Row],[ISIN]],tblBOneExport[ISIN],0),1)</f>
        <v>NESTLE HOLDINGS 1.75 09/12/20 EMTN</v>
      </c>
      <c r="F230" s="155" t="str">
        <f>tblGetStaticData[[#This Row],[iPasL2]]&amp; " " &amp; tblGetStaticData[[#This Row],[Tiering]]</f>
        <v>Consumer Noncyclical SEN</v>
      </c>
      <c r="G230" s="155" t="s">
        <v>1282</v>
      </c>
      <c r="H230" t="s">
        <v>1279</v>
      </c>
      <c r="I230" t="s">
        <v>1279</v>
      </c>
      <c r="J230" t="s">
        <v>1280</v>
      </c>
      <c r="K230" t="s">
        <v>973</v>
      </c>
      <c r="L230" t="s">
        <v>1303</v>
      </c>
      <c r="M230" t="s">
        <v>493</v>
      </c>
      <c r="N230" t="s">
        <v>1882</v>
      </c>
      <c r="O230" t="s">
        <v>1309</v>
      </c>
      <c r="P230" t="s">
        <v>1960</v>
      </c>
      <c r="Q230" t="s">
        <v>1961</v>
      </c>
      <c r="R230" t="s">
        <v>1309</v>
      </c>
      <c r="S230" t="s">
        <v>1960</v>
      </c>
      <c r="T230" t="s">
        <v>1961</v>
      </c>
      <c r="U230" t="s">
        <v>1962</v>
      </c>
      <c r="V230" t="s">
        <v>972</v>
      </c>
      <c r="W230" t="s">
        <v>973</v>
      </c>
      <c r="X230" t="s">
        <v>1896</v>
      </c>
      <c r="Y230" t="s">
        <v>2180</v>
      </c>
      <c r="Z230" t="s">
        <v>2181</v>
      </c>
      <c r="AA230" t="s">
        <v>493</v>
      </c>
      <c r="AB230" t="s">
        <v>1899</v>
      </c>
      <c r="AC230" t="s">
        <v>1282</v>
      </c>
      <c r="AD230" t="s">
        <v>2239</v>
      </c>
      <c r="AE230" t="s">
        <v>1915</v>
      </c>
      <c r="AF230" t="s">
        <v>2239</v>
      </c>
      <c r="AG230" t="s">
        <v>1915</v>
      </c>
      <c r="AH230" t="s">
        <v>1309</v>
      </c>
      <c r="AI230" t="s">
        <v>1309</v>
      </c>
      <c r="AJ230" t="s">
        <v>1960</v>
      </c>
      <c r="AK230" t="s">
        <v>1961</v>
      </c>
      <c r="AL230" t="s">
        <v>1309</v>
      </c>
      <c r="AM230" t="s">
        <v>1960</v>
      </c>
      <c r="AN230" t="s">
        <v>1961</v>
      </c>
      <c r="AO230" t="s">
        <v>1999</v>
      </c>
      <c r="AP230" t="s">
        <v>1408</v>
      </c>
      <c r="AQ230" t="s">
        <v>1408</v>
      </c>
      <c r="AR230" t="s">
        <v>1408</v>
      </c>
      <c r="AS230" t="s">
        <v>1282</v>
      </c>
      <c r="AT230" t="s">
        <v>1894</v>
      </c>
    </row>
    <row r="231" spans="4:46" x14ac:dyDescent="0.25">
      <c r="D231" t="s">
        <v>624</v>
      </c>
      <c r="E231" s="177" t="str">
        <f>INDEX(tblBOneExport[[INSTRUMENT]:[ISIN]],MATCH(tblGetStaticData[[#This Row],[ISIN]],tblBOneExport[ISIN],0),1)</f>
        <v>CARDIFF UNI 3 07/12/55</v>
      </c>
      <c r="F231" s="155" t="str">
        <f>tblGetStaticData[[#This Row],[iPasL2]]&amp; " " &amp; tblGetStaticData[[#This Row],[Tiering]]</f>
        <v>Other Industrial SEN</v>
      </c>
      <c r="G231" s="155" t="s">
        <v>1282</v>
      </c>
      <c r="H231" t="s">
        <v>1717</v>
      </c>
      <c r="I231" t="s">
        <v>1717</v>
      </c>
      <c r="J231" t="s">
        <v>1717</v>
      </c>
      <c r="K231" t="s">
        <v>625</v>
      </c>
      <c r="L231" t="s">
        <v>1303</v>
      </c>
      <c r="M231" t="s">
        <v>493</v>
      </c>
      <c r="N231" t="s">
        <v>1882</v>
      </c>
      <c r="O231" t="s">
        <v>1360</v>
      </c>
      <c r="P231" t="s">
        <v>1885</v>
      </c>
      <c r="Q231" t="s">
        <v>1886</v>
      </c>
      <c r="R231" t="s">
        <v>1360</v>
      </c>
      <c r="S231" t="s">
        <v>1885</v>
      </c>
      <c r="T231" t="s">
        <v>1886</v>
      </c>
      <c r="U231" t="s">
        <v>1887</v>
      </c>
      <c r="V231" t="s">
        <v>624</v>
      </c>
      <c r="W231" t="s">
        <v>625</v>
      </c>
      <c r="X231" t="s">
        <v>1896</v>
      </c>
      <c r="Y231" t="s">
        <v>2027</v>
      </c>
      <c r="Z231" t="s">
        <v>2174</v>
      </c>
      <c r="AA231" t="s">
        <v>493</v>
      </c>
      <c r="AB231" t="s">
        <v>1899</v>
      </c>
      <c r="AC231" t="s">
        <v>1282</v>
      </c>
      <c r="AD231" t="s">
        <v>2240</v>
      </c>
      <c r="AE231" t="s">
        <v>1904</v>
      </c>
      <c r="AF231" t="s">
        <v>2240</v>
      </c>
      <c r="AG231" t="s">
        <v>1904</v>
      </c>
      <c r="AH231" t="s">
        <v>1360</v>
      </c>
      <c r="AI231" t="s">
        <v>1360</v>
      </c>
      <c r="AJ231" t="s">
        <v>1885</v>
      </c>
      <c r="AK231" t="s">
        <v>1886</v>
      </c>
      <c r="AL231" t="s">
        <v>1360</v>
      </c>
      <c r="AM231" t="s">
        <v>1885</v>
      </c>
      <c r="AN231" t="s">
        <v>1886</v>
      </c>
      <c r="AO231" t="s">
        <v>1999</v>
      </c>
      <c r="AP231" t="s">
        <v>1893</v>
      </c>
      <c r="AQ231" t="s">
        <v>1893</v>
      </c>
      <c r="AR231" t="s">
        <v>1873</v>
      </c>
      <c r="AS231" t="s">
        <v>1282</v>
      </c>
      <c r="AT231" t="s">
        <v>1894</v>
      </c>
    </row>
    <row r="232" spans="4:46" x14ac:dyDescent="0.25">
      <c r="D232" t="s">
        <v>1001</v>
      </c>
      <c r="E232" s="177" t="str">
        <f>INDEX(tblBOneExport[[INSTRUMENT]:[ISIN]],MATCH(tblGetStaticData[[#This Row],[ISIN]],tblBOneExport[ISIN],0),1)</f>
        <v>NORDIC INVST BNK 1 07/03/19 EMTN</v>
      </c>
      <c r="F232" s="155" t="str">
        <f>tblGetStaticData[[#This Row],[iPasL2]]&amp; " " &amp; tblGetStaticData[[#This Row],[Tiering]]</f>
        <v>Supranationals SEN</v>
      </c>
      <c r="G232" s="155" t="s">
        <v>1282</v>
      </c>
      <c r="H232" t="s">
        <v>1352</v>
      </c>
      <c r="I232" t="s">
        <v>1352</v>
      </c>
      <c r="J232" t="s">
        <v>1352</v>
      </c>
      <c r="K232" t="s">
        <v>999</v>
      </c>
      <c r="L232" t="s">
        <v>1353</v>
      </c>
      <c r="M232" t="s">
        <v>493</v>
      </c>
      <c r="N232" t="s">
        <v>1882</v>
      </c>
      <c r="O232" t="s">
        <v>1980</v>
      </c>
      <c r="P232" t="s">
        <v>1981</v>
      </c>
      <c r="Q232" t="s">
        <v>1982</v>
      </c>
      <c r="R232" t="s">
        <v>1980</v>
      </c>
      <c r="S232" t="s">
        <v>1981</v>
      </c>
      <c r="T232" t="s">
        <v>1982</v>
      </c>
      <c r="U232" t="s">
        <v>1887</v>
      </c>
      <c r="V232" t="s">
        <v>1001</v>
      </c>
      <c r="W232" t="s">
        <v>999</v>
      </c>
      <c r="X232" t="s">
        <v>1942</v>
      </c>
      <c r="Y232" t="s">
        <v>1943</v>
      </c>
      <c r="Z232" t="s">
        <v>1944</v>
      </c>
      <c r="AA232" t="s">
        <v>493</v>
      </c>
      <c r="AB232" t="s">
        <v>1899</v>
      </c>
      <c r="AC232" t="s">
        <v>1282</v>
      </c>
      <c r="AD232" t="s">
        <v>2241</v>
      </c>
      <c r="AE232" t="s">
        <v>1984</v>
      </c>
      <c r="AF232" t="s">
        <v>2241</v>
      </c>
      <c r="AG232" t="s">
        <v>1984</v>
      </c>
      <c r="AH232" t="s">
        <v>1946</v>
      </c>
      <c r="AI232" t="s">
        <v>1980</v>
      </c>
      <c r="AJ232" t="s">
        <v>1981</v>
      </c>
      <c r="AK232" t="s">
        <v>1982</v>
      </c>
      <c r="AL232" t="s">
        <v>1946</v>
      </c>
      <c r="AO232" t="s">
        <v>1947</v>
      </c>
      <c r="AP232" t="s">
        <v>1353</v>
      </c>
      <c r="AQ232" t="s">
        <v>1893</v>
      </c>
      <c r="AR232" t="s">
        <v>1353</v>
      </c>
      <c r="AS232" t="s">
        <v>1282</v>
      </c>
      <c r="AT232" t="s">
        <v>1894</v>
      </c>
    </row>
    <row r="233" spans="4:46" x14ac:dyDescent="0.25">
      <c r="D233" t="s">
        <v>653</v>
      </c>
      <c r="E233" s="177" t="str">
        <f>INDEX(tblBOneExport[[INSTRUMENT]:[ISIN]],MATCH(tblGetStaticData[[#This Row],[ISIN]],tblBOneExport[ISIN],0),1)</f>
        <v>DAIMLER AG 2.125 07/06/22 EMTN</v>
      </c>
      <c r="F233" s="155" t="str">
        <f>tblGetStaticData[[#This Row],[iPasL2]]&amp; " " &amp; tblGetStaticData[[#This Row],[Tiering]]</f>
        <v>Consumer Cyclical SEN</v>
      </c>
      <c r="G233" s="155" t="s">
        <v>1282</v>
      </c>
      <c r="H233" t="s">
        <v>1306</v>
      </c>
      <c r="I233" t="s">
        <v>1306</v>
      </c>
      <c r="J233" t="s">
        <v>1307</v>
      </c>
      <c r="K233" t="s">
        <v>645</v>
      </c>
      <c r="L233" t="s">
        <v>1281</v>
      </c>
      <c r="M233" t="s">
        <v>493</v>
      </c>
      <c r="N233" t="s">
        <v>1882</v>
      </c>
      <c r="O233" t="s">
        <v>1433</v>
      </c>
      <c r="P233" t="s">
        <v>1432</v>
      </c>
      <c r="Q233" t="s">
        <v>1895</v>
      </c>
      <c r="R233" t="s">
        <v>1433</v>
      </c>
      <c r="S233" t="s">
        <v>1432</v>
      </c>
      <c r="T233" t="s">
        <v>1895</v>
      </c>
      <c r="U233" t="s">
        <v>1887</v>
      </c>
      <c r="V233" t="s">
        <v>653</v>
      </c>
      <c r="W233" t="s">
        <v>645</v>
      </c>
      <c r="X233" t="s">
        <v>1932</v>
      </c>
      <c r="Y233" t="s">
        <v>2095</v>
      </c>
      <c r="Z233" t="s">
        <v>2096</v>
      </c>
      <c r="AA233" t="s">
        <v>493</v>
      </c>
      <c r="AB233" t="s">
        <v>1899</v>
      </c>
      <c r="AC233" t="s">
        <v>1282</v>
      </c>
      <c r="AD233" t="s">
        <v>2242</v>
      </c>
      <c r="AE233" t="s">
        <v>1901</v>
      </c>
      <c r="AF233" t="s">
        <v>2242</v>
      </c>
      <c r="AG233" t="s">
        <v>1901</v>
      </c>
      <c r="AH233" t="s">
        <v>1433</v>
      </c>
      <c r="AI233" t="s">
        <v>1433</v>
      </c>
      <c r="AJ233" t="s">
        <v>1432</v>
      </c>
      <c r="AK233" t="s">
        <v>1895</v>
      </c>
      <c r="AL233" t="s">
        <v>1433</v>
      </c>
      <c r="AM233" t="s">
        <v>1432</v>
      </c>
      <c r="AN233" t="s">
        <v>1895</v>
      </c>
      <c r="AO233" t="s">
        <v>1902</v>
      </c>
      <c r="AP233" t="s">
        <v>1332</v>
      </c>
      <c r="AQ233" t="s">
        <v>1281</v>
      </c>
      <c r="AR233" t="s">
        <v>1281</v>
      </c>
      <c r="AS233" t="s">
        <v>1282</v>
      </c>
      <c r="AT233" t="s">
        <v>1894</v>
      </c>
    </row>
    <row r="234" spans="4:46" x14ac:dyDescent="0.25">
      <c r="D234" t="s">
        <v>620</v>
      </c>
      <c r="E234" s="177" t="str">
        <f>INDEX(tblBOneExport[[INSTRUMENT]:[ISIN]],MATCH(tblGetStaticData[[#This Row],[ISIN]],tblBOneExport[ISIN],0),1)</f>
        <v>BROWN FORMAN 2.6 07/07/28</v>
      </c>
      <c r="F234" s="155" t="str">
        <f>tblGetStaticData[[#This Row],[iPasL2]]&amp; " " &amp; tblGetStaticData[[#This Row],[Tiering]]</f>
        <v>Consumer Noncyclical SEN</v>
      </c>
      <c r="G234" s="155" t="s">
        <v>1282</v>
      </c>
      <c r="H234" t="s">
        <v>1279</v>
      </c>
      <c r="I234" t="s">
        <v>1279</v>
      </c>
      <c r="J234" t="s">
        <v>1280</v>
      </c>
      <c r="K234" t="s">
        <v>621</v>
      </c>
      <c r="L234" t="s">
        <v>1332</v>
      </c>
      <c r="M234" t="s">
        <v>493</v>
      </c>
      <c r="N234" t="s">
        <v>1882</v>
      </c>
      <c r="O234" t="s">
        <v>1309</v>
      </c>
      <c r="P234" t="s">
        <v>1960</v>
      </c>
      <c r="Q234" t="s">
        <v>1961</v>
      </c>
      <c r="R234" t="s">
        <v>1309</v>
      </c>
      <c r="S234" t="s">
        <v>1960</v>
      </c>
      <c r="T234" t="s">
        <v>1961</v>
      </c>
      <c r="U234" t="s">
        <v>1962</v>
      </c>
      <c r="V234" t="s">
        <v>620</v>
      </c>
      <c r="W234" t="s">
        <v>621</v>
      </c>
      <c r="X234" t="s">
        <v>1896</v>
      </c>
      <c r="Y234" t="s">
        <v>2176</v>
      </c>
      <c r="Z234" t="s">
        <v>2243</v>
      </c>
      <c r="AA234" t="s">
        <v>493</v>
      </c>
      <c r="AB234" t="s">
        <v>1899</v>
      </c>
      <c r="AC234" t="s">
        <v>1282</v>
      </c>
      <c r="AD234" t="s">
        <v>2244</v>
      </c>
      <c r="AE234" t="s">
        <v>1923</v>
      </c>
      <c r="AF234" t="s">
        <v>2244</v>
      </c>
      <c r="AG234" t="s">
        <v>1923</v>
      </c>
      <c r="AH234" t="s">
        <v>1309</v>
      </c>
      <c r="AI234" t="s">
        <v>1309</v>
      </c>
      <c r="AJ234" t="s">
        <v>1960</v>
      </c>
      <c r="AK234" t="s">
        <v>1961</v>
      </c>
      <c r="AL234" t="s">
        <v>1309</v>
      </c>
      <c r="AM234" t="s">
        <v>1960</v>
      </c>
      <c r="AN234" t="s">
        <v>1961</v>
      </c>
      <c r="AO234" t="s">
        <v>1909</v>
      </c>
      <c r="AP234" t="s">
        <v>1281</v>
      </c>
      <c r="AQ234" t="s">
        <v>1332</v>
      </c>
      <c r="AR234" t="s">
        <v>1332</v>
      </c>
      <c r="AS234" t="s">
        <v>1282</v>
      </c>
      <c r="AT234" t="s">
        <v>1894</v>
      </c>
    </row>
    <row r="235" spans="4:46" x14ac:dyDescent="0.25">
      <c r="D235" t="s">
        <v>1079</v>
      </c>
      <c r="E235" s="177" t="str">
        <f>INDEX(tblBOneExport[[INSTRUMENT]:[ISIN]],MATCH(tblGetStaticData[[#This Row],[ISIN]],tblBOneExport[ISIN],0),1)</f>
        <v>CADENT FINANCE P 1.125 22/09/21 EMTN</v>
      </c>
      <c r="F235" s="155" t="str">
        <f>tblGetStaticData[[#This Row],[iPasL2]]&amp; " " &amp; tblGetStaticData[[#This Row],[Tiering]]</f>
        <v>Electric SEN</v>
      </c>
      <c r="G235" s="155" t="s">
        <v>1282</v>
      </c>
      <c r="H235" t="s">
        <v>1358</v>
      </c>
      <c r="I235" t="s">
        <v>1358</v>
      </c>
      <c r="J235" t="s">
        <v>1358</v>
      </c>
      <c r="K235" t="s">
        <v>955</v>
      </c>
      <c r="L235" t="s">
        <v>1281</v>
      </c>
      <c r="M235" t="s">
        <v>493</v>
      </c>
      <c r="N235" t="s">
        <v>1882</v>
      </c>
      <c r="O235" t="s">
        <v>1360</v>
      </c>
      <c r="P235" t="s">
        <v>1885</v>
      </c>
      <c r="Q235" t="s">
        <v>1886</v>
      </c>
      <c r="R235" t="s">
        <v>1360</v>
      </c>
      <c r="S235" t="s">
        <v>1885</v>
      </c>
      <c r="T235" t="s">
        <v>1886</v>
      </c>
      <c r="U235" t="s">
        <v>1887</v>
      </c>
      <c r="V235" t="s">
        <v>1079</v>
      </c>
      <c r="W235" t="s">
        <v>1075</v>
      </c>
      <c r="X235" t="s">
        <v>1322</v>
      </c>
      <c r="Y235" t="s">
        <v>1358</v>
      </c>
      <c r="Z235" t="s">
        <v>1948</v>
      </c>
      <c r="AA235" t="s">
        <v>493</v>
      </c>
      <c r="AB235" t="s">
        <v>1899</v>
      </c>
      <c r="AC235" t="s">
        <v>1282</v>
      </c>
      <c r="AD235" t="s">
        <v>2245</v>
      </c>
      <c r="AE235" t="s">
        <v>1966</v>
      </c>
      <c r="AF235" t="s">
        <v>2245</v>
      </c>
      <c r="AG235" t="s">
        <v>1966</v>
      </c>
      <c r="AH235" t="s">
        <v>1360</v>
      </c>
      <c r="AI235" t="s">
        <v>1360</v>
      </c>
      <c r="AJ235" t="s">
        <v>1885</v>
      </c>
      <c r="AK235" t="s">
        <v>1886</v>
      </c>
      <c r="AL235" t="s">
        <v>1360</v>
      </c>
      <c r="AM235" t="s">
        <v>1885</v>
      </c>
      <c r="AN235" t="s">
        <v>1886</v>
      </c>
      <c r="AO235" t="s">
        <v>1916</v>
      </c>
      <c r="AP235" t="s">
        <v>1315</v>
      </c>
      <c r="AQ235" t="s">
        <v>1281</v>
      </c>
      <c r="AR235" t="s">
        <v>1315</v>
      </c>
      <c r="AS235" t="s">
        <v>1282</v>
      </c>
      <c r="AT235" t="s">
        <v>1894</v>
      </c>
    </row>
    <row r="236" spans="4:46" x14ac:dyDescent="0.25">
      <c r="D236" t="s">
        <v>1074</v>
      </c>
      <c r="E236" s="177" t="str">
        <f>INDEX(tblBOneExport[[INSTRUMENT]:[ISIN]],MATCH(tblGetStaticData[[#This Row],[ISIN]],tblBOneExport[ISIN],0),1)</f>
        <v>CADENT FINANCE P 2.125 22/09/28 EMTN</v>
      </c>
      <c r="F236" s="155" t="str">
        <f>tblGetStaticData[[#This Row],[iPasL2]]&amp; " " &amp; tblGetStaticData[[#This Row],[Tiering]]</f>
        <v>Electric SEN</v>
      </c>
      <c r="G236" s="155" t="s">
        <v>1282</v>
      </c>
      <c r="H236" t="s">
        <v>1358</v>
      </c>
      <c r="I236" t="s">
        <v>1358</v>
      </c>
      <c r="J236" t="s">
        <v>1358</v>
      </c>
      <c r="K236" t="s">
        <v>955</v>
      </c>
      <c r="L236" t="s">
        <v>1281</v>
      </c>
      <c r="M236" t="s">
        <v>493</v>
      </c>
      <c r="N236" t="s">
        <v>1882</v>
      </c>
      <c r="O236" t="s">
        <v>1360</v>
      </c>
      <c r="P236" t="s">
        <v>1885</v>
      </c>
      <c r="Q236" t="s">
        <v>1886</v>
      </c>
      <c r="R236" t="s">
        <v>1360</v>
      </c>
      <c r="S236" t="s">
        <v>1885</v>
      </c>
      <c r="T236" t="s">
        <v>1886</v>
      </c>
      <c r="U236" t="s">
        <v>1887</v>
      </c>
      <c r="V236" t="s">
        <v>1074</v>
      </c>
      <c r="W236" t="s">
        <v>1075</v>
      </c>
      <c r="X236" t="s">
        <v>1322</v>
      </c>
      <c r="Y236" t="s">
        <v>1358</v>
      </c>
      <c r="Z236" t="s">
        <v>1948</v>
      </c>
      <c r="AA236" t="s">
        <v>493</v>
      </c>
      <c r="AB236" t="s">
        <v>1899</v>
      </c>
      <c r="AC236" t="s">
        <v>1282</v>
      </c>
      <c r="AD236" t="s">
        <v>2246</v>
      </c>
      <c r="AE236" t="s">
        <v>1923</v>
      </c>
      <c r="AF236" t="s">
        <v>2246</v>
      </c>
      <c r="AG236" t="s">
        <v>1923</v>
      </c>
      <c r="AH236" t="s">
        <v>1360</v>
      </c>
      <c r="AI236" t="s">
        <v>1360</v>
      </c>
      <c r="AJ236" t="s">
        <v>1885</v>
      </c>
      <c r="AK236" t="s">
        <v>1886</v>
      </c>
      <c r="AL236" t="s">
        <v>1360</v>
      </c>
      <c r="AM236" t="s">
        <v>1885</v>
      </c>
      <c r="AN236" t="s">
        <v>1886</v>
      </c>
      <c r="AO236" t="s">
        <v>1916</v>
      </c>
      <c r="AP236" t="s">
        <v>1315</v>
      </c>
      <c r="AQ236" t="s">
        <v>1281</v>
      </c>
      <c r="AR236" t="s">
        <v>1315</v>
      </c>
      <c r="AS236" t="s">
        <v>1282</v>
      </c>
      <c r="AT236" t="s">
        <v>1894</v>
      </c>
    </row>
    <row r="237" spans="4:46" x14ac:dyDescent="0.25">
      <c r="D237" t="s">
        <v>1077</v>
      </c>
      <c r="E237" s="177" t="str">
        <f>INDEX(tblBOneExport[[INSTRUMENT]:[ISIN]],MATCH(tblGetStaticData[[#This Row],[ISIN]],tblBOneExport[ISIN],0),1)</f>
        <v>CADENT FINANCE P 2.625 22/09/38 EMTN</v>
      </c>
      <c r="F237" s="155" t="str">
        <f>tblGetStaticData[[#This Row],[iPasL2]]&amp; " " &amp; tblGetStaticData[[#This Row],[Tiering]]</f>
        <v>Electric SEN</v>
      </c>
      <c r="G237" s="155" t="s">
        <v>1282</v>
      </c>
      <c r="H237" t="s">
        <v>1358</v>
      </c>
      <c r="I237" t="s">
        <v>1358</v>
      </c>
      <c r="J237" t="s">
        <v>1358</v>
      </c>
      <c r="K237" t="s">
        <v>955</v>
      </c>
      <c r="L237" t="s">
        <v>1281</v>
      </c>
      <c r="M237" t="s">
        <v>493</v>
      </c>
      <c r="N237" t="s">
        <v>1882</v>
      </c>
      <c r="O237" t="s">
        <v>1360</v>
      </c>
      <c r="P237" t="s">
        <v>1885</v>
      </c>
      <c r="Q237" t="s">
        <v>1886</v>
      </c>
      <c r="R237" t="s">
        <v>1360</v>
      </c>
      <c r="S237" t="s">
        <v>1885</v>
      </c>
      <c r="T237" t="s">
        <v>1886</v>
      </c>
      <c r="U237" t="s">
        <v>1887</v>
      </c>
      <c r="V237" t="s">
        <v>1077</v>
      </c>
      <c r="W237" t="s">
        <v>1075</v>
      </c>
      <c r="X237" t="s">
        <v>1322</v>
      </c>
      <c r="Y237" t="s">
        <v>1358</v>
      </c>
      <c r="Z237" t="s">
        <v>1948</v>
      </c>
      <c r="AA237" t="s">
        <v>493</v>
      </c>
      <c r="AB237" t="s">
        <v>1899</v>
      </c>
      <c r="AC237" t="s">
        <v>1282</v>
      </c>
      <c r="AD237" t="s">
        <v>2247</v>
      </c>
      <c r="AE237" t="s">
        <v>1973</v>
      </c>
      <c r="AF237" t="s">
        <v>2247</v>
      </c>
      <c r="AG237" t="s">
        <v>1973</v>
      </c>
      <c r="AH237" t="s">
        <v>1360</v>
      </c>
      <c r="AI237" t="s">
        <v>1360</v>
      </c>
      <c r="AJ237" t="s">
        <v>1885</v>
      </c>
      <c r="AK237" t="s">
        <v>1886</v>
      </c>
      <c r="AL237" t="s">
        <v>1360</v>
      </c>
      <c r="AM237" t="s">
        <v>1885</v>
      </c>
      <c r="AN237" t="s">
        <v>1886</v>
      </c>
      <c r="AO237" t="s">
        <v>1916</v>
      </c>
      <c r="AP237" t="s">
        <v>1315</v>
      </c>
      <c r="AQ237" t="s">
        <v>1281</v>
      </c>
      <c r="AR237" t="s">
        <v>1315</v>
      </c>
      <c r="AS237" t="s">
        <v>1282</v>
      </c>
      <c r="AT237" t="s">
        <v>1894</v>
      </c>
    </row>
    <row r="238" spans="4:46" x14ac:dyDescent="0.25">
      <c r="D238" t="s">
        <v>558</v>
      </c>
      <c r="E238" s="177" t="str">
        <f>INDEX(tblBOneExport[[INSTRUMENT]:[ISIN]],MATCH(tblGetStaticData[[#This Row],[ISIN]],tblBOneExport[ISIN],0),1)</f>
        <v>BABCOCK INTL GRP 1.875 05/10/26 EMTN</v>
      </c>
      <c r="F238" s="155" t="str">
        <f>tblGetStaticData[[#This Row],[iPasL2]]&amp; " " &amp; tblGetStaticData[[#This Row],[Tiering]]</f>
        <v>Capital Goods SEN</v>
      </c>
      <c r="G238" s="155" t="s">
        <v>1282</v>
      </c>
      <c r="H238" t="s">
        <v>1291</v>
      </c>
      <c r="I238" t="s">
        <v>1291</v>
      </c>
      <c r="J238" t="s">
        <v>2248</v>
      </c>
      <c r="K238" t="s">
        <v>559</v>
      </c>
      <c r="L238" t="s">
        <v>1288</v>
      </c>
      <c r="M238" t="s">
        <v>493</v>
      </c>
      <c r="N238" t="s">
        <v>1882</v>
      </c>
      <c r="O238" t="s">
        <v>1360</v>
      </c>
      <c r="P238" t="s">
        <v>1885</v>
      </c>
      <c r="Q238" t="s">
        <v>1886</v>
      </c>
      <c r="R238" t="s">
        <v>1360</v>
      </c>
      <c r="S238" t="s">
        <v>1885</v>
      </c>
      <c r="T238" t="s">
        <v>1886</v>
      </c>
      <c r="U238" t="s">
        <v>1887</v>
      </c>
      <c r="V238" t="s">
        <v>558</v>
      </c>
      <c r="W238" t="s">
        <v>559</v>
      </c>
      <c r="X238" t="s">
        <v>1896</v>
      </c>
      <c r="Y238" t="s">
        <v>2027</v>
      </c>
      <c r="Z238" t="s">
        <v>2249</v>
      </c>
      <c r="AA238" t="s">
        <v>493</v>
      </c>
      <c r="AB238" t="s">
        <v>1899</v>
      </c>
      <c r="AC238" t="s">
        <v>1282</v>
      </c>
      <c r="AD238" t="s">
        <v>2250</v>
      </c>
      <c r="AE238" t="s">
        <v>1951</v>
      </c>
      <c r="AF238" t="s">
        <v>2250</v>
      </c>
      <c r="AG238" t="s">
        <v>1951</v>
      </c>
      <c r="AH238" t="s">
        <v>1360</v>
      </c>
      <c r="AI238" t="s">
        <v>1360</v>
      </c>
      <c r="AJ238" t="s">
        <v>1885</v>
      </c>
      <c r="AK238" t="s">
        <v>1886</v>
      </c>
      <c r="AL238" t="s">
        <v>1360</v>
      </c>
      <c r="AM238" t="s">
        <v>1885</v>
      </c>
      <c r="AN238" t="s">
        <v>1886</v>
      </c>
      <c r="AO238" t="s">
        <v>1893</v>
      </c>
      <c r="AP238" t="s">
        <v>1288</v>
      </c>
      <c r="AQ238" t="s">
        <v>1893</v>
      </c>
      <c r="AR238" t="s">
        <v>1873</v>
      </c>
      <c r="AS238" t="s">
        <v>1282</v>
      </c>
      <c r="AT238" t="s">
        <v>1894</v>
      </c>
    </row>
    <row r="239" spans="4:46" x14ac:dyDescent="0.25">
      <c r="D239" t="s">
        <v>1235</v>
      </c>
      <c r="E239" s="177" t="str">
        <f>INDEX(tblBOneExport[[INSTRUMENT]:[ISIN]],MATCH(tblGetStaticData[[#This Row],[ISIN]],tblBOneExport[ISIN],0),1)</f>
        <v>VERIZON COMM INC 4.073 18/06/24</v>
      </c>
      <c r="F239" s="155" t="str">
        <f>tblGetStaticData[[#This Row],[iPasL2]]&amp; " " &amp; tblGetStaticData[[#This Row],[Tiering]]</f>
        <v>Communications SEN</v>
      </c>
      <c r="G239" s="155" t="s">
        <v>1282</v>
      </c>
      <c r="H239" t="s">
        <v>1312</v>
      </c>
      <c r="I239" t="s">
        <v>1312</v>
      </c>
      <c r="J239" t="s">
        <v>1313</v>
      </c>
      <c r="K239" t="s">
        <v>1233</v>
      </c>
      <c r="L239" t="s">
        <v>1315</v>
      </c>
      <c r="M239" t="s">
        <v>493</v>
      </c>
      <c r="N239" t="s">
        <v>1882</v>
      </c>
      <c r="O239" t="s">
        <v>1309</v>
      </c>
      <c r="P239" t="s">
        <v>1960</v>
      </c>
      <c r="Q239" t="s">
        <v>1961</v>
      </c>
      <c r="R239" t="s">
        <v>1309</v>
      </c>
      <c r="S239" t="s">
        <v>1960</v>
      </c>
      <c r="T239" t="s">
        <v>1961</v>
      </c>
      <c r="U239" t="s">
        <v>1962</v>
      </c>
      <c r="V239" t="s">
        <v>1235</v>
      </c>
      <c r="W239" t="s">
        <v>1233</v>
      </c>
      <c r="X239" t="s">
        <v>1312</v>
      </c>
      <c r="Y239" t="s">
        <v>1313</v>
      </c>
      <c r="Z239" t="s">
        <v>1913</v>
      </c>
      <c r="AA239" t="s">
        <v>493</v>
      </c>
      <c r="AB239" t="s">
        <v>1899</v>
      </c>
      <c r="AC239" t="s">
        <v>1282</v>
      </c>
      <c r="AD239" t="s">
        <v>2251</v>
      </c>
      <c r="AE239" t="s">
        <v>2026</v>
      </c>
      <c r="AF239" t="s">
        <v>2251</v>
      </c>
      <c r="AG239" t="s">
        <v>2026</v>
      </c>
      <c r="AH239" t="s">
        <v>1309</v>
      </c>
      <c r="AI239" t="s">
        <v>1309</v>
      </c>
      <c r="AJ239" t="s">
        <v>1960</v>
      </c>
      <c r="AK239" t="s">
        <v>1961</v>
      </c>
      <c r="AL239" t="s">
        <v>1309</v>
      </c>
      <c r="AM239" t="s">
        <v>1960</v>
      </c>
      <c r="AN239" t="s">
        <v>1961</v>
      </c>
      <c r="AO239" t="s">
        <v>1916</v>
      </c>
      <c r="AP239" t="s">
        <v>1315</v>
      </c>
      <c r="AQ239" t="s">
        <v>1281</v>
      </c>
      <c r="AR239" t="s">
        <v>1315</v>
      </c>
      <c r="AS239" t="s">
        <v>1282</v>
      </c>
      <c r="AT239" t="s">
        <v>1894</v>
      </c>
    </row>
    <row r="240" spans="4:46" x14ac:dyDescent="0.25">
      <c r="D240" t="s">
        <v>988</v>
      </c>
      <c r="E240" s="177" t="str">
        <f>INDEX(tblBOneExport[[INSTRUMENT]:[ISIN]],MATCH(tblGetStaticData[[#This Row],[ISIN]],tblBOneExport[ISIN],0),1)</f>
        <v>NEW YORK LIFE GL 1 15/12/21 GMTN</v>
      </c>
      <c r="F240" s="155" t="str">
        <f>tblGetStaticData[[#This Row],[iPasL2]]&amp; " " &amp; tblGetStaticData[[#This Row],[Tiering]]</f>
        <v>Insurance SEN</v>
      </c>
      <c r="G240" s="155" t="s">
        <v>1282</v>
      </c>
      <c r="H240" t="s">
        <v>1301</v>
      </c>
      <c r="I240" t="s">
        <v>1301</v>
      </c>
      <c r="J240" t="s">
        <v>1302</v>
      </c>
      <c r="K240" t="s">
        <v>989</v>
      </c>
      <c r="L240" t="s">
        <v>1780</v>
      </c>
      <c r="M240" t="s">
        <v>493</v>
      </c>
      <c r="N240" t="s">
        <v>1882</v>
      </c>
      <c r="O240" t="s">
        <v>1309</v>
      </c>
      <c r="P240" t="s">
        <v>1960</v>
      </c>
      <c r="Q240" t="s">
        <v>1961</v>
      </c>
      <c r="R240" t="s">
        <v>1309</v>
      </c>
      <c r="S240" t="s">
        <v>1960</v>
      </c>
      <c r="T240" t="s">
        <v>1961</v>
      </c>
      <c r="U240" t="s">
        <v>1962</v>
      </c>
      <c r="V240" t="s">
        <v>988</v>
      </c>
      <c r="W240" t="s">
        <v>989</v>
      </c>
      <c r="X240" t="s">
        <v>1967</v>
      </c>
      <c r="Y240" t="s">
        <v>1301</v>
      </c>
      <c r="Z240" t="s">
        <v>2252</v>
      </c>
      <c r="AA240" t="s">
        <v>493</v>
      </c>
      <c r="AB240" t="s">
        <v>1994</v>
      </c>
      <c r="AC240" t="s">
        <v>1282</v>
      </c>
      <c r="AD240" t="s">
        <v>2253</v>
      </c>
      <c r="AE240" t="s">
        <v>1966</v>
      </c>
      <c r="AF240" t="s">
        <v>2253</v>
      </c>
      <c r="AG240" t="s">
        <v>1966</v>
      </c>
      <c r="AH240" t="s">
        <v>1309</v>
      </c>
      <c r="AI240" t="s">
        <v>1309</v>
      </c>
      <c r="AJ240" t="s">
        <v>1960</v>
      </c>
      <c r="AK240" t="s">
        <v>1961</v>
      </c>
      <c r="AL240" t="s">
        <v>1309</v>
      </c>
      <c r="AM240" t="s">
        <v>1960</v>
      </c>
      <c r="AN240" t="s">
        <v>1961</v>
      </c>
      <c r="AO240" t="s">
        <v>1947</v>
      </c>
      <c r="AP240" t="s">
        <v>1780</v>
      </c>
      <c r="AQ240" t="s">
        <v>1353</v>
      </c>
      <c r="AR240" t="s">
        <v>1780</v>
      </c>
      <c r="AS240" t="s">
        <v>1282</v>
      </c>
      <c r="AT240" t="s">
        <v>1894</v>
      </c>
    </row>
    <row r="241" spans="4:46" x14ac:dyDescent="0.25">
      <c r="D241" t="s">
        <v>1065</v>
      </c>
      <c r="E241" s="177" t="str">
        <f>INDEX(tblBOneExport[[INSTRUMENT]:[ISIN]],MATCH(tblGetStaticData[[#This Row],[ISIN]],tblBOneExport[ISIN],0),1)</f>
        <v>PROCTER &amp; GAMBLE 1.8 03/05/29</v>
      </c>
      <c r="F241" s="155" t="str">
        <f>tblGetStaticData[[#This Row],[iPasL2]]&amp; " " &amp; tblGetStaticData[[#This Row],[Tiering]]</f>
        <v>Consumer Noncyclical SEN</v>
      </c>
      <c r="G241" s="155" t="s">
        <v>1282</v>
      </c>
      <c r="H241" t="s">
        <v>1279</v>
      </c>
      <c r="I241" t="s">
        <v>1279</v>
      </c>
      <c r="J241" t="s">
        <v>1343</v>
      </c>
      <c r="K241" t="s">
        <v>1061</v>
      </c>
      <c r="L241" t="s">
        <v>1408</v>
      </c>
      <c r="M241" t="s">
        <v>493</v>
      </c>
      <c r="N241" t="s">
        <v>1882</v>
      </c>
      <c r="O241" t="s">
        <v>1309</v>
      </c>
      <c r="P241" t="s">
        <v>1960</v>
      </c>
      <c r="Q241" t="s">
        <v>1961</v>
      </c>
      <c r="R241" t="s">
        <v>1309</v>
      </c>
      <c r="S241" t="s">
        <v>1960</v>
      </c>
      <c r="T241" t="s">
        <v>1961</v>
      </c>
      <c r="U241" t="s">
        <v>1962</v>
      </c>
      <c r="V241" t="s">
        <v>1065</v>
      </c>
      <c r="W241" t="s">
        <v>1061</v>
      </c>
      <c r="X241" t="s">
        <v>1896</v>
      </c>
      <c r="Y241" t="s">
        <v>1910</v>
      </c>
      <c r="Z241" t="s">
        <v>1911</v>
      </c>
      <c r="AA241" t="s">
        <v>493</v>
      </c>
      <c r="AB241" t="s">
        <v>1899</v>
      </c>
      <c r="AC241" t="s">
        <v>1282</v>
      </c>
      <c r="AD241" t="s">
        <v>2254</v>
      </c>
      <c r="AE241" t="s">
        <v>1978</v>
      </c>
      <c r="AF241" t="s">
        <v>2254</v>
      </c>
      <c r="AG241" t="s">
        <v>1978</v>
      </c>
      <c r="AH241" t="s">
        <v>1309</v>
      </c>
      <c r="AI241" t="s">
        <v>1309</v>
      </c>
      <c r="AJ241" t="s">
        <v>1960</v>
      </c>
      <c r="AK241" t="s">
        <v>1961</v>
      </c>
      <c r="AL241" t="s">
        <v>1309</v>
      </c>
      <c r="AM241" t="s">
        <v>1960</v>
      </c>
      <c r="AN241" t="s">
        <v>1961</v>
      </c>
      <c r="AO241" t="s">
        <v>1987</v>
      </c>
      <c r="AP241" t="s">
        <v>1408</v>
      </c>
      <c r="AQ241" t="s">
        <v>1893</v>
      </c>
      <c r="AR241" t="s">
        <v>1408</v>
      </c>
      <c r="AS241" t="s">
        <v>1282</v>
      </c>
      <c r="AT241" t="s">
        <v>1894</v>
      </c>
    </row>
    <row r="242" spans="4:46" x14ac:dyDescent="0.25">
      <c r="D242" t="s">
        <v>921</v>
      </c>
      <c r="E242" s="177" t="str">
        <f>INDEX(tblBOneExport[[INSTRUMENT]:[ISIN]],MATCH(tblGetStaticData[[#This Row],[ISIN]],tblBOneExport[ISIN],0),1)</f>
        <v>LVMH MOET HENNES 1 14/06/22 EMTN</v>
      </c>
      <c r="F242" s="155" t="str">
        <f>tblGetStaticData[[#This Row],[iPasL2]]&amp; " " &amp; tblGetStaticData[[#This Row],[Tiering]]</f>
        <v>Consumer Noncyclical SEN</v>
      </c>
      <c r="G242" s="155" t="s">
        <v>1282</v>
      </c>
      <c r="H242" t="s">
        <v>1279</v>
      </c>
      <c r="I242" t="s">
        <v>1279</v>
      </c>
      <c r="J242" t="s">
        <v>1343</v>
      </c>
      <c r="K242" t="s">
        <v>919</v>
      </c>
      <c r="L242" t="s">
        <v>1332</v>
      </c>
      <c r="M242" t="s">
        <v>493</v>
      </c>
      <c r="N242" t="s">
        <v>1882</v>
      </c>
      <c r="O242" t="s">
        <v>1317</v>
      </c>
      <c r="P242" t="s">
        <v>1316</v>
      </c>
      <c r="Q242" t="s">
        <v>1895</v>
      </c>
      <c r="R242" t="s">
        <v>1317</v>
      </c>
      <c r="S242" t="s">
        <v>1316</v>
      </c>
      <c r="T242" t="s">
        <v>1895</v>
      </c>
      <c r="U242" t="s">
        <v>1887</v>
      </c>
      <c r="V242" t="s">
        <v>921</v>
      </c>
      <c r="W242" t="s">
        <v>919</v>
      </c>
      <c r="X242" t="s">
        <v>1932</v>
      </c>
      <c r="Y242" t="s">
        <v>1933</v>
      </c>
      <c r="Z242" t="s">
        <v>1934</v>
      </c>
      <c r="AA242" t="s">
        <v>493</v>
      </c>
      <c r="AB242" t="s">
        <v>1899</v>
      </c>
      <c r="AC242" t="s">
        <v>1282</v>
      </c>
      <c r="AD242" t="s">
        <v>2255</v>
      </c>
      <c r="AE242" t="s">
        <v>1901</v>
      </c>
      <c r="AF242" t="s">
        <v>2255</v>
      </c>
      <c r="AG242" t="s">
        <v>1901</v>
      </c>
      <c r="AH242" t="s">
        <v>1317</v>
      </c>
      <c r="AI242" t="s">
        <v>1317</v>
      </c>
      <c r="AJ242" t="s">
        <v>1316</v>
      </c>
      <c r="AK242" t="s">
        <v>1895</v>
      </c>
      <c r="AL242" t="s">
        <v>1317</v>
      </c>
      <c r="AM242" t="s">
        <v>1316</v>
      </c>
      <c r="AN242" t="s">
        <v>1895</v>
      </c>
      <c r="AO242" t="s">
        <v>1893</v>
      </c>
      <c r="AP242" t="s">
        <v>1293</v>
      </c>
      <c r="AQ242" t="s">
        <v>1893</v>
      </c>
      <c r="AR242" t="s">
        <v>1873</v>
      </c>
      <c r="AS242" t="s">
        <v>1282</v>
      </c>
      <c r="AT242" t="s">
        <v>1894</v>
      </c>
    </row>
    <row r="243" spans="4:46" x14ac:dyDescent="0.25">
      <c r="D243" t="s">
        <v>551</v>
      </c>
      <c r="E243" s="177" t="str">
        <f>INDEX(tblBOneExport[[INSTRUMENT]:[ISIN]],MATCH(tblGetStaticData[[#This Row],[ISIN]],tblBOneExport[ISIN],0),1)</f>
        <v>AT&amp;T INC 3.55 14/09/37</v>
      </c>
      <c r="F243" s="155" t="str">
        <f>tblGetStaticData[[#This Row],[iPasL2]]&amp; " " &amp; tblGetStaticData[[#This Row],[Tiering]]</f>
        <v>Communications SEN</v>
      </c>
      <c r="G243" s="155" t="s">
        <v>1282</v>
      </c>
      <c r="H243" t="s">
        <v>1312</v>
      </c>
      <c r="I243" t="s">
        <v>1312</v>
      </c>
      <c r="J243" t="s">
        <v>1313</v>
      </c>
      <c r="K243" t="s">
        <v>321</v>
      </c>
      <c r="L243" t="s">
        <v>1315</v>
      </c>
      <c r="M243" t="s">
        <v>493</v>
      </c>
      <c r="N243" t="s">
        <v>1882</v>
      </c>
      <c r="O243" t="s">
        <v>1309</v>
      </c>
      <c r="P243" t="s">
        <v>1960</v>
      </c>
      <c r="Q243" t="s">
        <v>1961</v>
      </c>
      <c r="R243" t="s">
        <v>1309</v>
      </c>
      <c r="S243" t="s">
        <v>1960</v>
      </c>
      <c r="T243" t="s">
        <v>1961</v>
      </c>
      <c r="U243" t="s">
        <v>1962</v>
      </c>
      <c r="V243" t="s">
        <v>551</v>
      </c>
      <c r="W243" t="s">
        <v>321</v>
      </c>
      <c r="X243" t="s">
        <v>1312</v>
      </c>
      <c r="Y243" t="s">
        <v>1313</v>
      </c>
      <c r="Z243" t="s">
        <v>1913</v>
      </c>
      <c r="AA243" t="s">
        <v>493</v>
      </c>
      <c r="AB243" t="s">
        <v>1899</v>
      </c>
      <c r="AC243" t="s">
        <v>1282</v>
      </c>
      <c r="AD243" t="s">
        <v>2256</v>
      </c>
      <c r="AE243" t="s">
        <v>1920</v>
      </c>
      <c r="AF243" t="s">
        <v>2256</v>
      </c>
      <c r="AG243" t="s">
        <v>1920</v>
      </c>
      <c r="AH243" t="s">
        <v>1309</v>
      </c>
      <c r="AI243" t="s">
        <v>1309</v>
      </c>
      <c r="AJ243" t="s">
        <v>1960</v>
      </c>
      <c r="AK243" t="s">
        <v>1961</v>
      </c>
      <c r="AL243" t="s">
        <v>1309</v>
      </c>
      <c r="AM243" t="s">
        <v>1960</v>
      </c>
      <c r="AN243" t="s">
        <v>1961</v>
      </c>
      <c r="AO243" t="s">
        <v>1916</v>
      </c>
      <c r="AP243" t="s">
        <v>1315</v>
      </c>
      <c r="AQ243" t="s">
        <v>1281</v>
      </c>
      <c r="AR243" t="s">
        <v>1315</v>
      </c>
      <c r="AS243" t="s">
        <v>1282</v>
      </c>
      <c r="AT243" t="s">
        <v>1894</v>
      </c>
    </row>
    <row r="244" spans="4:46" x14ac:dyDescent="0.25">
      <c r="D244" t="s">
        <v>637</v>
      </c>
      <c r="E244" s="177" t="str">
        <f>INDEX(tblBOneExport[[INSTRUMENT]:[ISIN]],MATCH(tblGetStaticData[[#This Row],[ISIN]],tblBOneExport[ISIN],0),1)</f>
        <v>COMPASS GROUP 2 03/07/29 EMTN</v>
      </c>
      <c r="F244" s="155" t="str">
        <f>tblGetStaticData[[#This Row],[iPasL2]]&amp; " " &amp; tblGetStaticData[[#This Row],[Tiering]]</f>
        <v>Consumer Cyclical SEN</v>
      </c>
      <c r="G244" s="155" t="s">
        <v>1282</v>
      </c>
      <c r="H244" t="s">
        <v>1306</v>
      </c>
      <c r="I244" t="s">
        <v>1306</v>
      </c>
      <c r="J244" t="s">
        <v>1349</v>
      </c>
      <c r="K244" t="s">
        <v>635</v>
      </c>
      <c r="L244" t="s">
        <v>1281</v>
      </c>
      <c r="M244" t="s">
        <v>493</v>
      </c>
      <c r="N244" t="s">
        <v>1882</v>
      </c>
      <c r="O244" t="s">
        <v>1360</v>
      </c>
      <c r="P244" t="s">
        <v>1885</v>
      </c>
      <c r="Q244" t="s">
        <v>1886</v>
      </c>
      <c r="R244" t="s">
        <v>1360</v>
      </c>
      <c r="S244" t="s">
        <v>1885</v>
      </c>
      <c r="T244" t="s">
        <v>1886</v>
      </c>
      <c r="U244" t="s">
        <v>1887</v>
      </c>
      <c r="V244" t="s">
        <v>637</v>
      </c>
      <c r="W244" t="s">
        <v>635</v>
      </c>
      <c r="X244" t="s">
        <v>1932</v>
      </c>
      <c r="Y244" t="s">
        <v>2223</v>
      </c>
      <c r="Z244" t="s">
        <v>2224</v>
      </c>
      <c r="AA244" t="s">
        <v>493</v>
      </c>
      <c r="AB244" t="s">
        <v>1899</v>
      </c>
      <c r="AC244" t="s">
        <v>1282</v>
      </c>
      <c r="AD244" t="s">
        <v>2257</v>
      </c>
      <c r="AE244" t="s">
        <v>1978</v>
      </c>
      <c r="AF244" t="s">
        <v>2257</v>
      </c>
      <c r="AG244" t="s">
        <v>1978</v>
      </c>
      <c r="AH244" t="s">
        <v>1360</v>
      </c>
      <c r="AI244" t="s">
        <v>1360</v>
      </c>
      <c r="AJ244" t="s">
        <v>1885</v>
      </c>
      <c r="AK244" t="s">
        <v>1886</v>
      </c>
      <c r="AL244" t="s">
        <v>1360</v>
      </c>
      <c r="AM244" t="s">
        <v>1885</v>
      </c>
      <c r="AN244" t="s">
        <v>1886</v>
      </c>
      <c r="AO244" t="s">
        <v>1892</v>
      </c>
      <c r="AP244" t="s">
        <v>1332</v>
      </c>
      <c r="AQ244" t="s">
        <v>1281</v>
      </c>
      <c r="AR244" t="s">
        <v>1281</v>
      </c>
      <c r="AS244" t="s">
        <v>1282</v>
      </c>
      <c r="AT244" t="s">
        <v>1894</v>
      </c>
    </row>
    <row r="245" spans="4:46" x14ac:dyDescent="0.25">
      <c r="D245" t="s">
        <v>808</v>
      </c>
      <c r="E245" s="177" t="str">
        <f>INDEX(tblBOneExport[[INSTRUMENT]:[ISIN]],MATCH(tblGetStaticData[[#This Row],[ISIN]],tblBOneExport[ISIN],0),1)</f>
        <v>GO AHEAD GROUP 2.5 06/07/24</v>
      </c>
      <c r="F245" s="155" t="str">
        <f>tblGetStaticData[[#This Row],[iPasL2]]&amp; " " &amp; tblGetStaticData[[#This Row],[Tiering]]</f>
        <v>Transportation SEN</v>
      </c>
      <c r="G245" s="155" t="s">
        <v>1282</v>
      </c>
      <c r="H245" t="s">
        <v>1348</v>
      </c>
      <c r="I245" t="s">
        <v>1348</v>
      </c>
      <c r="J245" t="s">
        <v>1349</v>
      </c>
      <c r="K245" t="s">
        <v>806</v>
      </c>
      <c r="L245" t="s">
        <v>1288</v>
      </c>
      <c r="M245" t="s">
        <v>493</v>
      </c>
      <c r="N245" t="s">
        <v>1882</v>
      </c>
      <c r="O245" t="s">
        <v>1360</v>
      </c>
      <c r="P245" t="s">
        <v>1885</v>
      </c>
      <c r="Q245" t="s">
        <v>1886</v>
      </c>
      <c r="R245" t="s">
        <v>1360</v>
      </c>
      <c r="S245" t="s">
        <v>1885</v>
      </c>
      <c r="T245" t="s">
        <v>1886</v>
      </c>
      <c r="U245" t="s">
        <v>1887</v>
      </c>
      <c r="V245" t="s">
        <v>808</v>
      </c>
      <c r="W245" t="s">
        <v>806</v>
      </c>
      <c r="X245" t="s">
        <v>1937</v>
      </c>
      <c r="Y245" t="s">
        <v>1348</v>
      </c>
      <c r="Z245" t="s">
        <v>1938</v>
      </c>
      <c r="AA245" t="s">
        <v>493</v>
      </c>
      <c r="AB245" t="s">
        <v>1899</v>
      </c>
      <c r="AC245" t="s">
        <v>1282</v>
      </c>
      <c r="AD245" t="s">
        <v>2258</v>
      </c>
      <c r="AE245" t="s">
        <v>2026</v>
      </c>
      <c r="AF245" t="s">
        <v>2258</v>
      </c>
      <c r="AG245" t="s">
        <v>2026</v>
      </c>
      <c r="AH245" t="s">
        <v>1360</v>
      </c>
      <c r="AI245" t="s">
        <v>1360</v>
      </c>
      <c r="AJ245" t="s">
        <v>1885</v>
      </c>
      <c r="AK245" t="s">
        <v>1886</v>
      </c>
      <c r="AL245" t="s">
        <v>1360</v>
      </c>
      <c r="AM245" t="s">
        <v>1885</v>
      </c>
      <c r="AN245" t="s">
        <v>1886</v>
      </c>
      <c r="AO245" t="s">
        <v>2108</v>
      </c>
      <c r="AP245" t="s">
        <v>1990</v>
      </c>
      <c r="AQ245" t="s">
        <v>1893</v>
      </c>
      <c r="AR245" t="s">
        <v>1990</v>
      </c>
      <c r="AS245" t="s">
        <v>1282</v>
      </c>
      <c r="AT245" t="s">
        <v>1894</v>
      </c>
    </row>
    <row r="246" spans="4:46" x14ac:dyDescent="0.25">
      <c r="D246" t="s">
        <v>930</v>
      </c>
      <c r="E246" s="177" t="str">
        <f>INDEX(tblBOneExport[[INSTRUMENT]:[ISIN]],MATCH(tblGetStaticData[[#This Row],[ISIN]],tblBOneExport[ISIN],0),1)</f>
        <v>MCKESSON CORP 3.125 17/02/29</v>
      </c>
      <c r="F246" s="155" t="str">
        <f>tblGetStaticData[[#This Row],[iPasL2]]&amp; " " &amp; tblGetStaticData[[#This Row],[Tiering]]</f>
        <v>Consumer Noncyclical SEN</v>
      </c>
      <c r="G246" s="155" t="s">
        <v>1282</v>
      </c>
      <c r="H246" t="s">
        <v>1279</v>
      </c>
      <c r="I246" t="s">
        <v>1279</v>
      </c>
      <c r="J246" t="s">
        <v>1864</v>
      </c>
      <c r="K246" t="s">
        <v>931</v>
      </c>
      <c r="L246" t="s">
        <v>1288</v>
      </c>
      <c r="M246" t="s">
        <v>493</v>
      </c>
      <c r="N246" t="s">
        <v>1882</v>
      </c>
      <c r="O246" t="s">
        <v>1309</v>
      </c>
      <c r="P246" t="s">
        <v>1960</v>
      </c>
      <c r="Q246" t="s">
        <v>1961</v>
      </c>
      <c r="R246" t="s">
        <v>1309</v>
      </c>
      <c r="S246" t="s">
        <v>1960</v>
      </c>
      <c r="T246" t="s">
        <v>1961</v>
      </c>
      <c r="U246" t="s">
        <v>1962</v>
      </c>
      <c r="V246" t="s">
        <v>930</v>
      </c>
      <c r="W246" t="s">
        <v>931</v>
      </c>
      <c r="X246" t="s">
        <v>1896</v>
      </c>
      <c r="Y246" t="s">
        <v>1442</v>
      </c>
      <c r="Z246" t="s">
        <v>2259</v>
      </c>
      <c r="AA246" t="s">
        <v>493</v>
      </c>
      <c r="AB246" t="s">
        <v>1899</v>
      </c>
      <c r="AC246" t="s">
        <v>1282</v>
      </c>
      <c r="AD246" t="s">
        <v>2260</v>
      </c>
      <c r="AE246" t="s">
        <v>1978</v>
      </c>
      <c r="AF246" t="s">
        <v>2260</v>
      </c>
      <c r="AG246" t="s">
        <v>1978</v>
      </c>
      <c r="AH246" t="s">
        <v>1309</v>
      </c>
      <c r="AI246" t="s">
        <v>1309</v>
      </c>
      <c r="AJ246" t="s">
        <v>1960</v>
      </c>
      <c r="AK246" t="s">
        <v>1961</v>
      </c>
      <c r="AL246" t="s">
        <v>1309</v>
      </c>
      <c r="AM246" t="s">
        <v>1960</v>
      </c>
      <c r="AN246" t="s">
        <v>1961</v>
      </c>
      <c r="AO246" t="s">
        <v>1940</v>
      </c>
      <c r="AP246" t="s">
        <v>1315</v>
      </c>
      <c r="AQ246" t="s">
        <v>1315</v>
      </c>
      <c r="AR246" t="s">
        <v>1288</v>
      </c>
      <c r="AS246" t="s">
        <v>1282</v>
      </c>
      <c r="AT246" t="s">
        <v>1894</v>
      </c>
    </row>
    <row r="247" spans="4:46" x14ac:dyDescent="0.25">
      <c r="D247" t="s">
        <v>539</v>
      </c>
      <c r="E247" s="177" t="str">
        <f>INDEX(tblBOneExport[[INSTRUMENT]:[ISIN]],MATCH(tblGetStaticData[[#This Row],[ISIN]],tblBOneExport[ISIN],0),1)</f>
        <v>AB INBEV SA/NV 9.75 30/07/24 EMTN</v>
      </c>
      <c r="F247" s="155" t="str">
        <f>tblGetStaticData[[#This Row],[iPasL2]]&amp; " " &amp; tblGetStaticData[[#This Row],[Tiering]]</f>
        <v>Consumer Noncyclical SEN</v>
      </c>
      <c r="G247" s="155" t="s">
        <v>1282</v>
      </c>
      <c r="H247" t="s">
        <v>1279</v>
      </c>
      <c r="I247" t="s">
        <v>1279</v>
      </c>
      <c r="J247" t="s">
        <v>1279</v>
      </c>
      <c r="K247" t="s">
        <v>540</v>
      </c>
      <c r="L247" t="s">
        <v>1281</v>
      </c>
      <c r="M247" t="s">
        <v>493</v>
      </c>
      <c r="N247" t="s">
        <v>1882</v>
      </c>
      <c r="O247" t="s">
        <v>1284</v>
      </c>
      <c r="P247" t="s">
        <v>1283</v>
      </c>
      <c r="Q247" t="s">
        <v>1895</v>
      </c>
      <c r="R247" t="s">
        <v>1284</v>
      </c>
      <c r="S247" t="s">
        <v>1283</v>
      </c>
      <c r="T247" t="s">
        <v>1895</v>
      </c>
      <c r="U247" t="s">
        <v>1887</v>
      </c>
      <c r="V247" t="s">
        <v>539</v>
      </c>
      <c r="W247" t="s">
        <v>540</v>
      </c>
      <c r="X247" t="s">
        <v>1896</v>
      </c>
      <c r="Y247" t="s">
        <v>2176</v>
      </c>
      <c r="Z247" t="s">
        <v>2261</v>
      </c>
      <c r="AA247" t="s">
        <v>493</v>
      </c>
      <c r="AB247" t="s">
        <v>1899</v>
      </c>
      <c r="AC247" t="s">
        <v>1282</v>
      </c>
      <c r="AD247" t="s">
        <v>2262</v>
      </c>
      <c r="AE247" t="s">
        <v>2026</v>
      </c>
      <c r="AF247" t="s">
        <v>2262</v>
      </c>
      <c r="AG247" t="s">
        <v>2026</v>
      </c>
      <c r="AH247" t="s">
        <v>1284</v>
      </c>
      <c r="AI247" t="s">
        <v>1284</v>
      </c>
      <c r="AJ247" t="s">
        <v>1283</v>
      </c>
      <c r="AK247" t="s">
        <v>1895</v>
      </c>
      <c r="AL247" t="s">
        <v>1284</v>
      </c>
      <c r="AM247" t="s">
        <v>1283</v>
      </c>
      <c r="AN247" t="s">
        <v>1895</v>
      </c>
      <c r="AO247" t="s">
        <v>1892</v>
      </c>
      <c r="AP247" t="s">
        <v>1281</v>
      </c>
      <c r="AQ247" t="s">
        <v>1288</v>
      </c>
      <c r="AR247" t="s">
        <v>1281</v>
      </c>
      <c r="AS247" t="s">
        <v>1282</v>
      </c>
      <c r="AT247" t="s">
        <v>1894</v>
      </c>
    </row>
    <row r="248" spans="4:46" x14ac:dyDescent="0.25">
      <c r="D248" t="s">
        <v>542</v>
      </c>
      <c r="E248" s="177" t="str">
        <f>INDEX(tblBOneExport[[INSTRUMENT]:[ISIN]],MATCH(tblGetStaticData[[#This Row],[ISIN]],tblBOneExport[ISIN],0),1)</f>
        <v>AB INBEV SA/NV 4 24/09/25 EMTN</v>
      </c>
      <c r="F248" s="155" t="str">
        <f>tblGetStaticData[[#This Row],[iPasL2]]&amp; " " &amp; tblGetStaticData[[#This Row],[Tiering]]</f>
        <v>Consumer Noncyclical SEN</v>
      </c>
      <c r="G248" s="155" t="s">
        <v>1282</v>
      </c>
      <c r="H248" t="s">
        <v>1279</v>
      </c>
      <c r="I248" t="s">
        <v>1279</v>
      </c>
      <c r="J248" t="s">
        <v>1279</v>
      </c>
      <c r="K248" t="s">
        <v>540</v>
      </c>
      <c r="L248" t="s">
        <v>1281</v>
      </c>
      <c r="M248" t="s">
        <v>493</v>
      </c>
      <c r="N248" t="s">
        <v>1882</v>
      </c>
      <c r="O248" t="s">
        <v>1284</v>
      </c>
      <c r="P248" t="s">
        <v>1283</v>
      </c>
      <c r="Q248" t="s">
        <v>1895</v>
      </c>
      <c r="R248" t="s">
        <v>1284</v>
      </c>
      <c r="S248" t="s">
        <v>1283</v>
      </c>
      <c r="T248" t="s">
        <v>1895</v>
      </c>
      <c r="U248" t="s">
        <v>1887</v>
      </c>
      <c r="V248" t="s">
        <v>542</v>
      </c>
      <c r="W248" t="s">
        <v>540</v>
      </c>
      <c r="X248" t="s">
        <v>1896</v>
      </c>
      <c r="Y248" t="s">
        <v>2176</v>
      </c>
      <c r="Z248" t="s">
        <v>2261</v>
      </c>
      <c r="AA248" t="s">
        <v>493</v>
      </c>
      <c r="AB248" t="s">
        <v>1899</v>
      </c>
      <c r="AC248" t="s">
        <v>1282</v>
      </c>
      <c r="AD248" t="s">
        <v>2263</v>
      </c>
      <c r="AE248" t="s">
        <v>1908</v>
      </c>
      <c r="AF248" t="s">
        <v>2263</v>
      </c>
      <c r="AG248" t="s">
        <v>1908</v>
      </c>
      <c r="AH248" t="s">
        <v>1284</v>
      </c>
      <c r="AI248" t="s">
        <v>1284</v>
      </c>
      <c r="AJ248" t="s">
        <v>1283</v>
      </c>
      <c r="AK248" t="s">
        <v>1895</v>
      </c>
      <c r="AL248" t="s">
        <v>1284</v>
      </c>
      <c r="AM248" t="s">
        <v>1283</v>
      </c>
      <c r="AN248" t="s">
        <v>1895</v>
      </c>
      <c r="AO248" t="s">
        <v>1892</v>
      </c>
      <c r="AP248" t="s">
        <v>1281</v>
      </c>
      <c r="AQ248" t="s">
        <v>1288</v>
      </c>
      <c r="AR248" t="s">
        <v>1281</v>
      </c>
      <c r="AS248" t="s">
        <v>1282</v>
      </c>
      <c r="AT248" t="s">
        <v>1894</v>
      </c>
    </row>
    <row r="249" spans="4:46" x14ac:dyDescent="0.25">
      <c r="D249" t="s">
        <v>1121</v>
      </c>
      <c r="E249" s="177" t="str">
        <f>INDEX(tblBOneExport[[INSTRUMENT]:[ISIN]],MATCH(tblGetStaticData[[#This Row],[ISIN]],tblBOneExport[ISIN],0),1)</f>
        <v>SIEMENS FINAN 2.75 10/09/25 EMTN</v>
      </c>
      <c r="F249" s="155" t="str">
        <f>tblGetStaticData[[#This Row],[iPasL2]]&amp; " " &amp; tblGetStaticData[[#This Row],[Tiering]]</f>
        <v>Capital Goods SEN</v>
      </c>
      <c r="G249" s="155" t="s">
        <v>1282</v>
      </c>
      <c r="H249" t="s">
        <v>1291</v>
      </c>
      <c r="I249" t="s">
        <v>1291</v>
      </c>
      <c r="J249" t="s">
        <v>1292</v>
      </c>
      <c r="K249" t="s">
        <v>1119</v>
      </c>
      <c r="L249" t="s">
        <v>1293</v>
      </c>
      <c r="M249" t="s">
        <v>493</v>
      </c>
      <c r="N249" t="s">
        <v>1882</v>
      </c>
      <c r="O249" t="s">
        <v>1295</v>
      </c>
      <c r="P249" t="s">
        <v>1294</v>
      </c>
      <c r="Q249" t="s">
        <v>1895</v>
      </c>
      <c r="R249" t="s">
        <v>1433</v>
      </c>
      <c r="S249" t="s">
        <v>1432</v>
      </c>
      <c r="T249" t="s">
        <v>1895</v>
      </c>
      <c r="U249" t="s">
        <v>1887</v>
      </c>
      <c r="V249" t="s">
        <v>1121</v>
      </c>
      <c r="W249" t="s">
        <v>1119</v>
      </c>
      <c r="X249" t="s">
        <v>1937</v>
      </c>
      <c r="Y249" t="s">
        <v>1963</v>
      </c>
      <c r="Z249" t="s">
        <v>1964</v>
      </c>
      <c r="AA249" t="s">
        <v>493</v>
      </c>
      <c r="AB249" t="s">
        <v>1899</v>
      </c>
      <c r="AC249" t="s">
        <v>1282</v>
      </c>
      <c r="AD249" t="s">
        <v>2264</v>
      </c>
      <c r="AE249" t="s">
        <v>1908</v>
      </c>
      <c r="AF249" t="s">
        <v>2264</v>
      </c>
      <c r="AG249" t="s">
        <v>1908</v>
      </c>
      <c r="AH249" t="s">
        <v>1295</v>
      </c>
      <c r="AI249" t="s">
        <v>1295</v>
      </c>
      <c r="AJ249" t="s">
        <v>1294</v>
      </c>
      <c r="AK249" t="s">
        <v>1895</v>
      </c>
      <c r="AL249" t="s">
        <v>1433</v>
      </c>
      <c r="AM249" t="s">
        <v>1432</v>
      </c>
      <c r="AN249" t="s">
        <v>1895</v>
      </c>
      <c r="AO249" t="s">
        <v>1909</v>
      </c>
      <c r="AP249" t="s">
        <v>1293</v>
      </c>
      <c r="AQ249" t="s">
        <v>1332</v>
      </c>
      <c r="AR249" t="s">
        <v>1293</v>
      </c>
      <c r="AS249" t="s">
        <v>1282</v>
      </c>
      <c r="AT249" t="s">
        <v>1894</v>
      </c>
    </row>
    <row r="250" spans="4:46" x14ac:dyDescent="0.25">
      <c r="D250" t="s">
        <v>1118</v>
      </c>
      <c r="E250" s="177" t="str">
        <f>INDEX(tblBOneExport[[INSTRUMENT]:[ISIN]],MATCH(tblGetStaticData[[#This Row],[ISIN]],tblBOneExport[ISIN],0),1)</f>
        <v>SIEMENS FINAN 3.75 10/09/42 EMTN</v>
      </c>
      <c r="F250" s="155" t="str">
        <f>tblGetStaticData[[#This Row],[iPasL2]]&amp; " " &amp; tblGetStaticData[[#This Row],[Tiering]]</f>
        <v>Capital Goods SEN</v>
      </c>
      <c r="G250" s="155" t="s">
        <v>1282</v>
      </c>
      <c r="H250" t="s">
        <v>1291</v>
      </c>
      <c r="I250" t="s">
        <v>1291</v>
      </c>
      <c r="J250" t="s">
        <v>1291</v>
      </c>
      <c r="K250" t="s">
        <v>1119</v>
      </c>
      <c r="L250" t="s">
        <v>1332</v>
      </c>
      <c r="M250" t="s">
        <v>493</v>
      </c>
      <c r="N250" t="s">
        <v>1882</v>
      </c>
      <c r="O250" t="s">
        <v>1295</v>
      </c>
      <c r="P250" t="s">
        <v>1294</v>
      </c>
      <c r="Q250" t="s">
        <v>1895</v>
      </c>
      <c r="R250" t="s">
        <v>1433</v>
      </c>
      <c r="S250" t="s">
        <v>1432</v>
      </c>
      <c r="T250" t="s">
        <v>1895</v>
      </c>
      <c r="U250" t="s">
        <v>1887</v>
      </c>
      <c r="V250" t="s">
        <v>1118</v>
      </c>
      <c r="W250" t="s">
        <v>1119</v>
      </c>
      <c r="X250" t="s">
        <v>1937</v>
      </c>
      <c r="Y250" t="s">
        <v>1963</v>
      </c>
      <c r="Z250" t="s">
        <v>1964</v>
      </c>
      <c r="AA250" t="s">
        <v>493</v>
      </c>
      <c r="AB250" t="s">
        <v>1899</v>
      </c>
      <c r="AC250" t="s">
        <v>1282</v>
      </c>
      <c r="AD250" t="s">
        <v>2265</v>
      </c>
      <c r="AE250" t="s">
        <v>1891</v>
      </c>
      <c r="AF250" t="s">
        <v>2265</v>
      </c>
      <c r="AG250" t="s">
        <v>1891</v>
      </c>
      <c r="AH250" t="s">
        <v>1295</v>
      </c>
      <c r="AI250" t="s">
        <v>1295</v>
      </c>
      <c r="AJ250" t="s">
        <v>1294</v>
      </c>
      <c r="AK250" t="s">
        <v>1895</v>
      </c>
      <c r="AL250" t="s">
        <v>1433</v>
      </c>
      <c r="AM250" t="s">
        <v>1432</v>
      </c>
      <c r="AN250" t="s">
        <v>1895</v>
      </c>
      <c r="AO250" t="s">
        <v>1909</v>
      </c>
      <c r="AP250" t="s">
        <v>1293</v>
      </c>
      <c r="AQ250" t="s">
        <v>1332</v>
      </c>
      <c r="AR250" t="s">
        <v>1293</v>
      </c>
      <c r="AS250" t="s">
        <v>1282</v>
      </c>
      <c r="AT250" t="s">
        <v>1894</v>
      </c>
    </row>
    <row r="251" spans="4:46" x14ac:dyDescent="0.25">
      <c r="D251" t="s">
        <v>513</v>
      </c>
      <c r="E251" s="177" t="str">
        <f>INDEX(tblBOneExport[[INSTRUMENT]:[ISIN]],MATCH(tblGetStaticData[[#This Row],[ISIN]],tblBOneExport[ISIN],0),1)</f>
        <v>ALLIANZ FINANCE 4.5 13/03/43 62</v>
      </c>
      <c r="F251" s="155" t="str">
        <f>tblGetStaticData[[#This Row],[iPasL2]]&amp; " " &amp; tblGetStaticData[[#This Row],[Tiering]]</f>
        <v>Insurance SEN</v>
      </c>
      <c r="G251" s="155" t="s">
        <v>1282</v>
      </c>
      <c r="H251" t="s">
        <v>1301</v>
      </c>
      <c r="I251" t="s">
        <v>1301</v>
      </c>
      <c r="J251" t="s">
        <v>1302</v>
      </c>
      <c r="K251" t="s">
        <v>514</v>
      </c>
      <c r="L251" t="s">
        <v>1408</v>
      </c>
      <c r="M251" t="s">
        <v>493</v>
      </c>
      <c r="N251" t="s">
        <v>1882</v>
      </c>
      <c r="O251" t="s">
        <v>1295</v>
      </c>
      <c r="P251" t="s">
        <v>1294</v>
      </c>
      <c r="Q251" t="s">
        <v>1895</v>
      </c>
      <c r="R251" t="s">
        <v>1433</v>
      </c>
      <c r="S251" t="s">
        <v>1432</v>
      </c>
      <c r="T251" t="s">
        <v>1895</v>
      </c>
      <c r="U251" t="s">
        <v>1887</v>
      </c>
      <c r="V251" t="s">
        <v>513</v>
      </c>
      <c r="W251" t="s">
        <v>514</v>
      </c>
      <c r="X251" t="s">
        <v>1967</v>
      </c>
      <c r="Y251" t="s">
        <v>1301</v>
      </c>
      <c r="Z251" t="s">
        <v>2036</v>
      </c>
      <c r="AA251" t="s">
        <v>493</v>
      </c>
      <c r="AB251" t="s">
        <v>1899</v>
      </c>
      <c r="AC251" t="s">
        <v>1282</v>
      </c>
      <c r="AD251" t="s">
        <v>2266</v>
      </c>
      <c r="AE251" t="s">
        <v>2131</v>
      </c>
      <c r="AF251" t="s">
        <v>2266</v>
      </c>
      <c r="AG251" t="s">
        <v>2131</v>
      </c>
      <c r="AH251" t="s">
        <v>1295</v>
      </c>
      <c r="AI251" t="s">
        <v>1295</v>
      </c>
      <c r="AJ251" t="s">
        <v>1294</v>
      </c>
      <c r="AK251" t="s">
        <v>1895</v>
      </c>
      <c r="AL251" t="s">
        <v>1433</v>
      </c>
      <c r="AM251" t="s">
        <v>1432</v>
      </c>
      <c r="AN251" t="s">
        <v>1895</v>
      </c>
      <c r="AO251" t="s">
        <v>1987</v>
      </c>
      <c r="AP251" t="s">
        <v>1303</v>
      </c>
      <c r="AQ251" t="s">
        <v>1408</v>
      </c>
      <c r="AR251" t="s">
        <v>1408</v>
      </c>
      <c r="AS251" t="s">
        <v>1282</v>
      </c>
      <c r="AT251" t="s">
        <v>1894</v>
      </c>
    </row>
    <row r="252" spans="4:46" x14ac:dyDescent="0.25">
      <c r="D252" t="s">
        <v>599</v>
      </c>
      <c r="E252" s="177" t="str">
        <f>INDEX(tblBOneExport[[INSTRUMENT]:[ISIN]],MATCH(tblGetStaticData[[#This Row],[ISIN]],tblBOneExport[ISIN],0),1)</f>
        <v>BMW US CAP LLC 2 20/11/19 EMTN</v>
      </c>
      <c r="F252" s="155" t="str">
        <f>tblGetStaticData[[#This Row],[iPasL2]]&amp; " " &amp; tblGetStaticData[[#This Row],[Tiering]]</f>
        <v>Consumer Cyclical SEN</v>
      </c>
      <c r="G252" s="155" t="s">
        <v>1282</v>
      </c>
      <c r="H252" t="s">
        <v>1306</v>
      </c>
      <c r="I252" t="s">
        <v>1306</v>
      </c>
      <c r="J252" t="s">
        <v>1307</v>
      </c>
      <c r="K252" t="s">
        <v>595</v>
      </c>
      <c r="L252" t="s">
        <v>1332</v>
      </c>
      <c r="M252" t="s">
        <v>493</v>
      </c>
      <c r="N252" t="s">
        <v>1882</v>
      </c>
      <c r="O252" t="s">
        <v>1309</v>
      </c>
      <c r="P252" t="s">
        <v>1960</v>
      </c>
      <c r="Q252" t="s">
        <v>1961</v>
      </c>
      <c r="R252" t="s">
        <v>1433</v>
      </c>
      <c r="S252" t="s">
        <v>1432</v>
      </c>
      <c r="T252" t="s">
        <v>1895</v>
      </c>
      <c r="U252" t="s">
        <v>1887</v>
      </c>
      <c r="V252" t="s">
        <v>599</v>
      </c>
      <c r="W252" t="s">
        <v>595</v>
      </c>
      <c r="X252" t="s">
        <v>1932</v>
      </c>
      <c r="Y252" t="s">
        <v>2095</v>
      </c>
      <c r="Z252" t="s">
        <v>2096</v>
      </c>
      <c r="AA252" t="s">
        <v>493</v>
      </c>
      <c r="AB252" t="s">
        <v>1899</v>
      </c>
      <c r="AC252" t="s">
        <v>1282</v>
      </c>
      <c r="AD252" t="s">
        <v>2267</v>
      </c>
      <c r="AE252" t="s">
        <v>1984</v>
      </c>
      <c r="AF252" t="s">
        <v>2267</v>
      </c>
      <c r="AG252" t="s">
        <v>1984</v>
      </c>
      <c r="AH252" t="s">
        <v>1309</v>
      </c>
      <c r="AI252" t="s">
        <v>1309</v>
      </c>
      <c r="AJ252" t="s">
        <v>1960</v>
      </c>
      <c r="AK252" t="s">
        <v>1961</v>
      </c>
      <c r="AL252" t="s">
        <v>1433</v>
      </c>
      <c r="AM252" t="s">
        <v>1432</v>
      </c>
      <c r="AN252" t="s">
        <v>1895</v>
      </c>
      <c r="AO252" t="s">
        <v>1909</v>
      </c>
      <c r="AP252" t="s">
        <v>1293</v>
      </c>
      <c r="AQ252" t="s">
        <v>1893</v>
      </c>
      <c r="AR252" t="s">
        <v>1293</v>
      </c>
      <c r="AS252" t="s">
        <v>1282</v>
      </c>
      <c r="AT252" t="s">
        <v>1894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bergData">
    <tabColor theme="5" tint="-0.249977111117893"/>
  </sheetPr>
  <dimension ref="D1:S2"/>
  <sheetViews>
    <sheetView zoomScaleNormal="100" workbookViewId="0"/>
  </sheetViews>
  <sheetFormatPr defaultRowHeight="15" x14ac:dyDescent="0.25"/>
  <cols>
    <col min="3" max="3" width="12.85546875" customWidth="1"/>
    <col min="4" max="4" width="15.85546875" bestFit="1" customWidth="1"/>
    <col min="5" max="5" width="9.140625" customWidth="1"/>
    <col min="6" max="6" width="19.85546875" customWidth="1"/>
    <col min="7" max="7" width="24.7109375" bestFit="1" customWidth="1"/>
    <col min="8" max="8" width="23.28515625" customWidth="1"/>
    <col min="9" max="9" width="12.7109375" customWidth="1"/>
    <col min="10" max="11" width="18" customWidth="1"/>
    <col min="12" max="12" width="21.28515625" bestFit="1" customWidth="1"/>
    <col min="14" max="14" width="9.140625" customWidth="1"/>
    <col min="15" max="15" width="8.28515625" customWidth="1"/>
    <col min="16" max="16" width="9.5703125" customWidth="1"/>
    <col min="17" max="17" width="14.85546875" customWidth="1"/>
    <col min="18" max="18" width="12.7109375" customWidth="1"/>
    <col min="19" max="19" width="9.85546875" customWidth="1"/>
  </cols>
  <sheetData>
    <row r="1" spans="4:19" ht="15.75" thickBot="1" x14ac:dyDescent="0.3">
      <c r="D1" s="32" t="s">
        <v>5</v>
      </c>
      <c r="E1" s="5" t="s">
        <v>63</v>
      </c>
      <c r="F1" s="5" t="s">
        <v>65</v>
      </c>
      <c r="G1" s="5" t="s">
        <v>66</v>
      </c>
      <c r="H1" s="5" t="s">
        <v>67</v>
      </c>
      <c r="I1" s="5" t="s">
        <v>60</v>
      </c>
      <c r="J1" s="5" t="s">
        <v>61</v>
      </c>
      <c r="K1" s="11" t="s">
        <v>62</v>
      </c>
      <c r="L1" s="11" t="s">
        <v>83</v>
      </c>
      <c r="M1" s="5" t="s">
        <v>87</v>
      </c>
      <c r="N1" s="5" t="s">
        <v>68</v>
      </c>
      <c r="O1" s="5" t="s">
        <v>64</v>
      </c>
      <c r="P1" s="5" t="s">
        <v>85</v>
      </c>
      <c r="Q1" s="5" t="s">
        <v>84</v>
      </c>
      <c r="R1" s="5" t="s">
        <v>86</v>
      </c>
      <c r="S1" s="5" t="s">
        <v>59</v>
      </c>
    </row>
    <row r="2" spans="4:19" x14ac:dyDescent="0.25">
      <c r="E2" s="7"/>
      <c r="F2" s="7"/>
      <c r="G2" s="7"/>
      <c r="H2" s="7"/>
      <c r="I2" s="7"/>
      <c r="J2" s="7"/>
      <c r="K2" s="151"/>
      <c r="L2" s="151"/>
      <c r="M2" s="7"/>
      <c r="N2" s="7"/>
      <c r="O2" s="7"/>
      <c r="P2" s="7"/>
      <c r="Q2" s="7"/>
      <c r="R2" s="7"/>
      <c r="S2" s="7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SINStaticDataCleaning">
    <tabColor theme="6" tint="0.39997558519241921"/>
  </sheetPr>
  <dimension ref="D1:AO4"/>
  <sheetViews>
    <sheetView zoomScaleNormal="100" workbookViewId="0"/>
  </sheetViews>
  <sheetFormatPr defaultColWidth="21.85546875" defaultRowHeight="15" outlineLevelCol="1" x14ac:dyDescent="0.25"/>
  <cols>
    <col min="1" max="3" width="8.85546875" customWidth="1"/>
    <col min="4" max="4" width="10.5703125" bestFit="1" customWidth="1"/>
    <col min="5" max="5" width="34.28515625" bestFit="1" customWidth="1"/>
    <col min="6" max="6" width="14.28515625" hidden="1" customWidth="1" outlineLevel="1"/>
    <col min="7" max="7" width="9" hidden="1" customWidth="1" outlineLevel="1"/>
    <col min="8" max="8" width="19.5703125" customWidth="1" collapsed="1"/>
    <col min="9" max="9" width="12.5703125" hidden="1" customWidth="1" outlineLevel="1" collapsed="1"/>
    <col min="10" max="10" width="13.85546875" hidden="1" customWidth="1" outlineLevel="1"/>
    <col min="11" max="11" width="12.5703125" hidden="1" customWidth="1" outlineLevel="1"/>
    <col min="12" max="12" width="19" hidden="1" customWidth="1" outlineLevel="1"/>
    <col min="13" max="13" width="21" bestFit="1" customWidth="1" collapsed="1"/>
    <col min="14" max="14" width="16.140625" hidden="1" customWidth="1" outlineLevel="1"/>
    <col min="15" max="15" width="17.5703125" hidden="1" customWidth="1" outlineLevel="1"/>
    <col min="16" max="16" width="16.28515625" hidden="1" customWidth="1" outlineLevel="1"/>
    <col min="17" max="17" width="22.7109375" hidden="1" customWidth="1" outlineLevel="1"/>
    <col min="18" max="18" width="24.7109375" bestFit="1" customWidth="1" collapsed="1"/>
    <col min="19" max="19" width="13.5703125" hidden="1" customWidth="1" outlineLevel="1"/>
    <col min="20" max="20" width="15" hidden="1" customWidth="1" outlineLevel="1"/>
    <col min="21" max="21" width="15.5703125" hidden="1" customWidth="1" outlineLevel="1"/>
    <col min="22" max="22" width="12.140625" hidden="1" customWidth="1" outlineLevel="1"/>
    <col min="23" max="23" width="20.28515625" hidden="1" customWidth="1" outlineLevel="1"/>
    <col min="24" max="24" width="22.140625" bestFit="1" customWidth="1" collapsed="1"/>
    <col min="25" max="25" width="18.7109375" hidden="1" customWidth="1" outlineLevel="1"/>
    <col min="26" max="26" width="17.42578125" hidden="1" customWidth="1" outlineLevel="1"/>
    <col min="27" max="27" width="24" hidden="1" customWidth="1" outlineLevel="1"/>
    <col min="28" max="28" width="25.85546875" bestFit="1" customWidth="1" collapsed="1"/>
    <col min="29" max="29" width="22.28515625" hidden="1" customWidth="1" outlineLevel="1"/>
    <col min="30" max="30" width="24.28515625" hidden="1" customWidth="1" outlineLevel="1"/>
    <col min="31" max="31" width="22.42578125" hidden="1" customWidth="1" outlineLevel="1"/>
    <col min="32" max="32" width="21.85546875" hidden="1" customWidth="1" outlineLevel="1"/>
    <col min="33" max="33" width="30.85546875" bestFit="1" customWidth="1" collapsed="1"/>
    <col min="34" max="34" width="13.28515625" hidden="1" customWidth="1" outlineLevel="1"/>
    <col min="35" max="35" width="14.7109375" hidden="1" customWidth="1" outlineLevel="1"/>
    <col min="36" max="36" width="13.42578125" hidden="1" customWidth="1" outlineLevel="1"/>
    <col min="37" max="37" width="8.85546875" hidden="1" customWidth="1" outlineLevel="1"/>
    <col min="38" max="38" width="13.85546875" hidden="1" customWidth="1" outlineLevel="1"/>
    <col min="39" max="39" width="11.5703125" hidden="1" customWidth="1" outlineLevel="1"/>
    <col min="40" max="40" width="20" hidden="1" customWidth="1" outlineLevel="1"/>
    <col min="41" max="41" width="21.85546875" bestFit="1" customWidth="1" collapsed="1"/>
  </cols>
  <sheetData>
    <row r="1" spans="4:41" ht="15.75" thickBot="1" x14ac:dyDescent="0.3">
      <c r="D1" s="31" t="s">
        <v>192</v>
      </c>
      <c r="E1" t="s">
        <v>4</v>
      </c>
      <c r="F1" t="s">
        <v>5</v>
      </c>
      <c r="G1" t="s">
        <v>75</v>
      </c>
      <c r="H1" t="s">
        <v>76</v>
      </c>
      <c r="I1" t="s">
        <v>99</v>
      </c>
      <c r="J1" t="s">
        <v>104</v>
      </c>
      <c r="K1" t="s">
        <v>6</v>
      </c>
      <c r="L1" s="26" t="s">
        <v>102</v>
      </c>
      <c r="M1" s="15" t="s">
        <v>103</v>
      </c>
      <c r="N1" s="26" t="s">
        <v>100</v>
      </c>
      <c r="O1" s="26" t="s">
        <v>105</v>
      </c>
      <c r="P1" s="29" t="s">
        <v>177</v>
      </c>
      <c r="Q1" s="26" t="s">
        <v>106</v>
      </c>
      <c r="R1" s="30" t="s">
        <v>107</v>
      </c>
      <c r="S1" s="26" t="s">
        <v>101</v>
      </c>
      <c r="T1" t="s">
        <v>108</v>
      </c>
      <c r="U1" t="s">
        <v>90</v>
      </c>
      <c r="V1" s="29" t="s">
        <v>111</v>
      </c>
      <c r="W1" s="26" t="s">
        <v>109</v>
      </c>
      <c r="X1" s="30" t="s">
        <v>110</v>
      </c>
      <c r="Y1" t="s">
        <v>190</v>
      </c>
      <c r="Z1" t="s">
        <v>117</v>
      </c>
      <c r="AA1" s="26" t="s">
        <v>129</v>
      </c>
      <c r="AB1" t="s">
        <v>120</v>
      </c>
      <c r="AC1" t="s">
        <v>119</v>
      </c>
      <c r="AD1" t="s">
        <v>191</v>
      </c>
      <c r="AE1" t="s">
        <v>118</v>
      </c>
      <c r="AF1" s="26" t="s">
        <v>121</v>
      </c>
      <c r="AG1" s="15" t="s">
        <v>130</v>
      </c>
      <c r="AH1" t="s">
        <v>123</v>
      </c>
      <c r="AI1" t="s">
        <v>179</v>
      </c>
      <c r="AJ1" t="s">
        <v>122</v>
      </c>
      <c r="AK1" t="s">
        <v>124</v>
      </c>
      <c r="AL1" t="s">
        <v>125</v>
      </c>
      <c r="AM1" t="s">
        <v>126</v>
      </c>
      <c r="AN1" s="26" t="s">
        <v>127</v>
      </c>
      <c r="AO1" s="15" t="s">
        <v>128</v>
      </c>
    </row>
    <row r="2" spans="4:41" x14ac:dyDescent="0.25">
      <c r="D2" s="27">
        <f>IF(tblTICKERClassificationLink[[#This Row],[TICKER_PROBLEM]]+tblTICKERClassificationLink[[#This Row],[CURRENCY_PROBLEM]]+tblTICKERClassificationLink[[#This Row],[CURRENCY_PROBLEM]]+tblTICKERClassificationLink[[#This Row],[CURRENCY_PROBLEM]]+tblTICKERClassificationLink[[#This Row],[CURRENCY_PROBLEM]]+tblTICKERClassificationLink[[#This Row],[CNTRY_RISK_PROBLEM]]+tblTICKERClassificationLink[[#This Row],[DOMICILE_PROBLEM]]+tblTICKERClassificationLink[[#This Row],[RATING_PROBLEM]]&gt;0,1,0)</f>
        <v>1</v>
      </c>
      <c r="J2" s="7"/>
      <c r="K2" s="17"/>
      <c r="L2" s="25">
        <f>IF(OR(tblTICKERClassificationLink[[#This Row],[iPas_TICKER]]&lt;&gt;tblTICKERClassificationLink[[#This Row],[BB_TICKER]],tblTICKERClassificationLink[[#This Row],[BB_TICKER]]=""),1,0)</f>
        <v>1</v>
      </c>
      <c r="M2" s="17" t="str">
        <f>TEXT(IF(tblTICKERClassificationLink[[#This Row],[TICKER_PROBLEM]]=1,IF(tblTICKERClassificationLink[[#This Row],[BB_TICKER]]="",tblTICKERClassificationLink[[#This Row],[B1_TICKER]],tblTICKERClassificationLink[[#This Row],[BB_TICKER]]),tblTICKERClassificationLink[[#This Row],[iPas_TICKER]]),"")</f>
        <v/>
      </c>
      <c r="N2" s="24"/>
      <c r="O2" s="27"/>
      <c r="P2" s="28"/>
      <c r="Q2" s="27">
        <f>IF(OR(tblTICKERClassificationLink[[#This Row],[B1_CURRENCY]]&lt;&gt;tblTICKERClassificationLink[[#This Row],[iPas_CURRENCY]],tblTICKERClassificationLink[[#This Row],[B1_CURRENCY]]=""),1,0)</f>
        <v>1</v>
      </c>
      <c r="R2" s="25" t="str">
        <f>TEXT(IF(tblTICKERClassificationLink[[#This Row],[CURRENCY_PROBLEM]]=1,IF(tblTICKERClassificationLink[[#This Row],[B1_CURRENCY]]="",tblTICKERClassificationLink[[#This Row],[BB_CURRENCY]],tblTICKERClassificationLink[[#This Row],[B1_CURRENCY]]),tblTICKERClassificationLink[[#This Row],[iPas_CURRENCY]]),"")</f>
        <v/>
      </c>
      <c r="S2" s="24"/>
      <c r="U2" s="7"/>
      <c r="V2" s="28"/>
      <c r="W2" s="27" t="str">
        <f>IF(tblTICKERClassificationLink[[#This Row],[B1_TIERING]]&lt;&gt;tblTICKERClassificationLink[[#This Row],[SENorSUB]],"Yes","")</f>
        <v/>
      </c>
      <c r="X2" s="25" t="str">
        <f>TEXT(IF(tblTICKERClassificationLink[[#This Row],[B1_TIERING]]&lt;&gt;tblTICKERClassificationLink[[#This Row],[SENorSUB]],tblTICKERClassificationLink[[#This Row],[SENorSUB]],tblTICKERClassificationLink[[#This Row],[B1_TIERING]]),"")</f>
        <v/>
      </c>
      <c r="Y2" s="7"/>
      <c r="AA2" s="27">
        <f>IF(tblTICKERClassificationLink[[#This Row],[iPas_CNTRY_RISK]]="",1,0)</f>
        <v>1</v>
      </c>
      <c r="AB2" s="17" t="str">
        <f>TEXT(IF(tblTICKERClassificationLink[[#This Row],[CNTRY_RISK_PROBLEM]]=1,tblTICKERClassificationLink[[#This Row],[BB_CNTRY_RISK]],tblTICKERClassificationLink[[#This Row],[iPas_CNTRY_RISK]]),"")</f>
        <v/>
      </c>
      <c r="AC2" s="17"/>
      <c r="AD2" s="7"/>
      <c r="AE2" s="7"/>
      <c r="AF2" s="27">
        <f>IF(OR(tblTICKERClassificationLink[[#This Row],[iPAS_CNTRY_DOMICILE]]&lt;&gt;tblTICKERClassificationLink[[#This Row],[BB_CNTRY_DOMICILE]],tblTICKERClassificationLink[[#This Row],[BB_CNTRY_DOMICILE]]=""),1,0)</f>
        <v>1</v>
      </c>
      <c r="AG2" s="17" t="str">
        <f>TEXT(IF(tblTICKERClassificationLink[[#This Row],[DOMICILE_PROBLEM]]=1,IF(tblTICKERClassificationLink[[#This Row],[BB_CNTRY_DOMICILE]]="",tblTICKERClassificationLink[[#This Row],[B1_CNTRY_DOMICILE]],tblTICKERClassificationLink[[#This Row],[BB_CNTRY_DOMICILE]]),tblTICKERClassificationLink[[#This Row],[iPAS_CNTRY_DOMICILE]]),"")</f>
        <v/>
      </c>
      <c r="AH2" s="17"/>
      <c r="AI2" s="17"/>
      <c r="AL2" s="7"/>
      <c r="AM2" s="17"/>
      <c r="AN2" s="27">
        <f>IF(OR(tblTICKERClassificationLink[[#This Row],[iPas_RATING]]="",tblTICKERClassificationLink[[#This Row],[iPas_RATING]]&lt;&gt;tblTICKERClassificationLink[[#This Row],[BB_RATING]]),1,0)</f>
        <v>1</v>
      </c>
      <c r="AO2" s="17" t="str">
        <f>TEXT(IF(tblTICKERClassificationLink[[#This Row],[RATING_PROBLEM]]=1,IF(tblTICKERClassificationLink[[#This Row],[BB_RATING]]="NR",tblTICKERClassificationLink[[#This Row],[B1_RATING]],tblTICKERClassificationLink[[#This Row],[BB_RATING]]),tblTICKERClassificationLink[[#This Row],[iPas_RATING]]),"")</f>
        <v/>
      </c>
    </row>
    <row r="3" spans="4:41" x14ac:dyDescent="0.25">
      <c r="D3" s="27"/>
      <c r="J3" s="7"/>
      <c r="K3" s="17"/>
      <c r="L3" s="25"/>
      <c r="M3" s="17"/>
      <c r="N3" s="24"/>
      <c r="O3" s="27"/>
      <c r="P3" s="28"/>
      <c r="Q3" s="27"/>
      <c r="R3" s="25"/>
      <c r="S3" s="24"/>
      <c r="U3" s="7"/>
      <c r="V3" s="28"/>
      <c r="W3" s="27"/>
      <c r="X3" s="25"/>
      <c r="Y3" s="7"/>
      <c r="AA3" s="27"/>
      <c r="AB3" s="17"/>
      <c r="AC3" s="17"/>
      <c r="AD3" s="7"/>
      <c r="AE3" s="7"/>
      <c r="AF3" s="27"/>
      <c r="AG3" s="17"/>
      <c r="AH3" s="17"/>
      <c r="AI3" s="17"/>
      <c r="AL3" s="7"/>
      <c r="AM3" s="17"/>
      <c r="AN3" s="27"/>
      <c r="AO3" s="17"/>
    </row>
    <row r="4" spans="4:41" x14ac:dyDescent="0.25">
      <c r="D4" s="27"/>
      <c r="J4" s="7"/>
      <c r="K4" s="17"/>
      <c r="L4" s="25"/>
      <c r="M4" s="17"/>
      <c r="N4" s="24"/>
      <c r="O4" s="27"/>
      <c r="P4" s="28"/>
      <c r="Q4" s="27"/>
      <c r="R4" s="25"/>
      <c r="S4" s="24"/>
      <c r="U4" s="7"/>
      <c r="V4" s="28"/>
      <c r="W4" s="27"/>
      <c r="X4" s="25"/>
      <c r="Y4" s="7"/>
      <c r="AA4" s="27"/>
      <c r="AB4" s="17"/>
      <c r="AC4" s="17"/>
      <c r="AD4" s="7"/>
      <c r="AE4" s="7"/>
      <c r="AF4" s="27"/>
      <c r="AG4" s="17"/>
      <c r="AH4" s="17"/>
      <c r="AI4" s="17"/>
      <c r="AL4" s="7"/>
      <c r="AM4" s="17"/>
      <c r="AN4" s="27"/>
      <c r="AO4" s="17"/>
    </row>
  </sheetData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lassCln">
    <tabColor theme="6" tint="0.39997558519241921"/>
  </sheetPr>
  <dimension ref="A1:R3"/>
  <sheetViews>
    <sheetView zoomScaleNormal="100" workbookViewId="0"/>
  </sheetViews>
  <sheetFormatPr defaultRowHeight="15" outlineLevelCol="1" x14ac:dyDescent="0.25"/>
  <cols>
    <col min="1" max="1" width="13.7109375" customWidth="1"/>
    <col min="3" max="3" width="12.42578125" customWidth="1"/>
    <col min="4" max="4" width="15.85546875" bestFit="1" customWidth="1"/>
    <col min="5" max="5" width="42.140625" bestFit="1" customWidth="1"/>
    <col min="6" max="6" width="21.42578125" bestFit="1" customWidth="1"/>
    <col min="7" max="7" width="27.140625" bestFit="1" customWidth="1"/>
    <col min="8" max="8" width="10.7109375" bestFit="1" customWidth="1"/>
    <col min="9" max="9" width="19.140625" bestFit="1" customWidth="1"/>
    <col min="10" max="10" width="27.140625" bestFit="1" customWidth="1"/>
    <col min="11" max="11" width="8.7109375" bestFit="1" customWidth="1"/>
    <col min="12" max="12" width="22.140625" hidden="1" customWidth="1" outlineLevel="1"/>
    <col min="13" max="13" width="25" hidden="1" customWidth="1" outlineLevel="1"/>
    <col min="14" max="14" width="26" hidden="1" customWidth="1" outlineLevel="1"/>
    <col min="15" max="15" width="11.85546875" bestFit="1" customWidth="1" collapsed="1"/>
    <col min="16" max="16" width="21.42578125" bestFit="1" customWidth="1"/>
    <col min="17" max="17" width="27.140625" bestFit="1" customWidth="1"/>
    <col min="18" max="18" width="15.7109375" bestFit="1" customWidth="1"/>
  </cols>
  <sheetData>
    <row r="1" spans="1:18" ht="15.75" thickBot="1" x14ac:dyDescent="0.3">
      <c r="D1" s="31" t="s">
        <v>5</v>
      </c>
      <c r="E1" t="s">
        <v>4</v>
      </c>
      <c r="F1" t="s">
        <v>73</v>
      </c>
      <c r="G1" t="s">
        <v>72</v>
      </c>
      <c r="H1" t="s">
        <v>74</v>
      </c>
      <c r="I1" t="s">
        <v>75</v>
      </c>
      <c r="J1" t="s">
        <v>76</v>
      </c>
      <c r="K1" t="s">
        <v>77</v>
      </c>
      <c r="L1" t="s">
        <v>96</v>
      </c>
      <c r="M1" t="s">
        <v>97</v>
      </c>
      <c r="N1" t="s">
        <v>98</v>
      </c>
      <c r="O1" t="s">
        <v>81</v>
      </c>
      <c r="P1" s="15" t="s">
        <v>78</v>
      </c>
      <c r="Q1" s="15" t="s">
        <v>79</v>
      </c>
      <c r="R1" t="s">
        <v>80</v>
      </c>
    </row>
    <row r="2" spans="1:18" x14ac:dyDescent="0.25">
      <c r="A2" s="10" t="s">
        <v>82</v>
      </c>
      <c r="O2" s="7" t="str">
        <f>IF(OR(tblISINClassificationLink[[#This Row],[B-OneL1]]&lt;&gt;tblISINClassificationLink[[#This Row],[iPasL1]],tblISINClassificationLink[[#This Row],[B-OneL2]]&lt;&gt;tblISINClassificationLink[[#This Row],[iPasL2]]),"Y","")</f>
        <v/>
      </c>
      <c r="P2" s="17">
        <f>IF(tblISINClassificationLink[[#This Row],[Problem?]]="Y",IF(tblISINClassificationLink[[#This Row],[iPasL1]]="",tblISINClassificationLink[[#This Row],[B-OneL1]],tblISINClassificationLink[[#This Row],[iPasL1]]),tblISINClassificationLink[[#This Row],[iPasL1]])</f>
        <v>0</v>
      </c>
      <c r="Q2" s="17">
        <f>IF(tblISINClassificationLink[[#This Row],[Problem?]]="Y",IF(tblISINClassificationLink[[#This Row],[iPasL2]]="",tblISINClassificationLink[[#This Row],[B-OneL2]],tblISINClassificationLink[[#This Row],[iPasL2]]),tblISINClassificationLink[[#This Row],[iPasL2]])</f>
        <v>0</v>
      </c>
    </row>
    <row r="3" spans="1:18" x14ac:dyDescent="0.25">
      <c r="A3" s="179" t="str">
        <f>IF(rngClassification="","",rngClassification)</f>
        <v/>
      </c>
      <c r="B3" s="180"/>
      <c r="C3" s="181"/>
    </row>
  </sheetData>
  <dataConsolidate/>
  <mergeCells count="1">
    <mergeCell ref="A3:C3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nfigTables">
    <tabColor theme="3" tint="-0.249977111117893"/>
  </sheetPr>
  <dimension ref="A1:I38"/>
  <sheetViews>
    <sheetView workbookViewId="0"/>
  </sheetViews>
  <sheetFormatPr defaultRowHeight="15" x14ac:dyDescent="0.25"/>
  <cols>
    <col min="1" max="1" width="39.5703125" bestFit="1" customWidth="1"/>
    <col min="2" max="2" width="18.7109375" bestFit="1" customWidth="1"/>
    <col min="5" max="5" width="17.140625" bestFit="1" customWidth="1"/>
    <col min="8" max="8" width="18.7109375" bestFit="1" customWidth="1"/>
    <col min="9" max="9" width="14.140625" bestFit="1" customWidth="1"/>
  </cols>
  <sheetData>
    <row r="1" spans="1:9" x14ac:dyDescent="0.25">
      <c r="A1" t="s">
        <v>314</v>
      </c>
      <c r="B1" t="s">
        <v>173</v>
      </c>
      <c r="E1" t="s">
        <v>315</v>
      </c>
      <c r="H1" s="72" t="s">
        <v>172</v>
      </c>
      <c r="I1" t="s">
        <v>316</v>
      </c>
    </row>
    <row r="2" spans="1:9" x14ac:dyDescent="0.25">
      <c r="A2" t="s">
        <v>317</v>
      </c>
      <c r="B2" t="s">
        <v>318</v>
      </c>
      <c r="E2" t="s">
        <v>319</v>
      </c>
      <c r="H2" t="s">
        <v>318</v>
      </c>
      <c r="I2">
        <v>1</v>
      </c>
    </row>
    <row r="3" spans="1:9" x14ac:dyDescent="0.25">
      <c r="A3" t="s">
        <v>320</v>
      </c>
      <c r="B3" t="s">
        <v>318</v>
      </c>
      <c r="E3" t="s">
        <v>321</v>
      </c>
      <c r="H3" t="s">
        <v>181</v>
      </c>
      <c r="I3">
        <v>0</v>
      </c>
    </row>
    <row r="4" spans="1:9" x14ac:dyDescent="0.25">
      <c r="A4" t="s">
        <v>322</v>
      </c>
      <c r="B4" t="s">
        <v>318</v>
      </c>
      <c r="E4" t="s">
        <v>323</v>
      </c>
      <c r="H4" t="s">
        <v>324</v>
      </c>
      <c r="I4">
        <v>1</v>
      </c>
    </row>
    <row r="5" spans="1:9" x14ac:dyDescent="0.25">
      <c r="A5" t="s">
        <v>325</v>
      </c>
      <c r="B5" t="s">
        <v>181</v>
      </c>
      <c r="E5" t="s">
        <v>326</v>
      </c>
      <c r="H5" t="s">
        <v>329</v>
      </c>
      <c r="I5">
        <v>0</v>
      </c>
    </row>
    <row r="6" spans="1:9" x14ac:dyDescent="0.25">
      <c r="A6" t="s">
        <v>327</v>
      </c>
      <c r="B6" t="s">
        <v>336</v>
      </c>
      <c r="E6" t="s">
        <v>328</v>
      </c>
      <c r="H6" t="s">
        <v>144</v>
      </c>
      <c r="I6">
        <v>0</v>
      </c>
    </row>
    <row r="7" spans="1:9" x14ac:dyDescent="0.25">
      <c r="A7" t="s">
        <v>330</v>
      </c>
      <c r="B7" t="s">
        <v>318</v>
      </c>
      <c r="E7" t="s">
        <v>412</v>
      </c>
      <c r="H7" t="s">
        <v>332</v>
      </c>
      <c r="I7">
        <v>0</v>
      </c>
    </row>
    <row r="8" spans="1:9" x14ac:dyDescent="0.25">
      <c r="A8" t="s">
        <v>331</v>
      </c>
      <c r="B8" t="s">
        <v>318</v>
      </c>
      <c r="E8" t="s">
        <v>413</v>
      </c>
      <c r="H8" t="s">
        <v>147</v>
      </c>
      <c r="I8">
        <v>0</v>
      </c>
    </row>
    <row r="9" spans="1:9" x14ac:dyDescent="0.25">
      <c r="A9" t="s">
        <v>333</v>
      </c>
      <c r="B9" t="s">
        <v>329</v>
      </c>
      <c r="H9" t="s">
        <v>146</v>
      </c>
      <c r="I9">
        <v>0</v>
      </c>
    </row>
    <row r="10" spans="1:9" x14ac:dyDescent="0.25">
      <c r="A10" t="s">
        <v>334</v>
      </c>
      <c r="B10" t="s">
        <v>329</v>
      </c>
      <c r="H10" t="s">
        <v>336</v>
      </c>
      <c r="I10">
        <v>1</v>
      </c>
    </row>
    <row r="11" spans="1:9" x14ac:dyDescent="0.25">
      <c r="A11" t="s">
        <v>335</v>
      </c>
      <c r="B11" t="s">
        <v>329</v>
      </c>
      <c r="H11" t="s">
        <v>338</v>
      </c>
      <c r="I11">
        <v>0</v>
      </c>
    </row>
    <row r="12" spans="1:9" x14ac:dyDescent="0.25">
      <c r="A12" t="s">
        <v>337</v>
      </c>
      <c r="B12" t="s">
        <v>144</v>
      </c>
      <c r="H12" t="s">
        <v>475</v>
      </c>
      <c r="I12">
        <v>0</v>
      </c>
    </row>
    <row r="13" spans="1:9" x14ac:dyDescent="0.25">
      <c r="A13" t="s">
        <v>339</v>
      </c>
      <c r="B13" t="s">
        <v>332</v>
      </c>
    </row>
    <row r="14" spans="1:9" x14ac:dyDescent="0.25">
      <c r="A14" t="s">
        <v>340</v>
      </c>
      <c r="B14" t="s">
        <v>147</v>
      </c>
    </row>
    <row r="15" spans="1:9" x14ac:dyDescent="0.25">
      <c r="A15" t="s">
        <v>341</v>
      </c>
      <c r="B15" t="s">
        <v>146</v>
      </c>
    </row>
    <row r="16" spans="1:9" x14ac:dyDescent="0.25">
      <c r="A16" t="s">
        <v>342</v>
      </c>
      <c r="B16" t="s">
        <v>181</v>
      </c>
    </row>
    <row r="17" spans="1:2" x14ac:dyDescent="0.25">
      <c r="A17" t="s">
        <v>343</v>
      </c>
      <c r="B17" t="s">
        <v>318</v>
      </c>
    </row>
    <row r="18" spans="1:2" x14ac:dyDescent="0.25">
      <c r="A18" t="s">
        <v>344</v>
      </c>
      <c r="B18" t="s">
        <v>336</v>
      </c>
    </row>
    <row r="19" spans="1:2" x14ac:dyDescent="0.25">
      <c r="A19" t="s">
        <v>345</v>
      </c>
      <c r="B19" t="s">
        <v>181</v>
      </c>
    </row>
    <row r="20" spans="1:2" x14ac:dyDescent="0.25">
      <c r="A20" t="s">
        <v>346</v>
      </c>
      <c r="B20" t="s">
        <v>329</v>
      </c>
    </row>
    <row r="21" spans="1:2" x14ac:dyDescent="0.25">
      <c r="A21" t="s">
        <v>347</v>
      </c>
      <c r="B21" t="s">
        <v>318</v>
      </c>
    </row>
    <row r="22" spans="1:2" x14ac:dyDescent="0.25">
      <c r="A22" t="s">
        <v>348</v>
      </c>
      <c r="B22" t="s">
        <v>318</v>
      </c>
    </row>
    <row r="23" spans="1:2" x14ac:dyDescent="0.25">
      <c r="A23" t="s">
        <v>349</v>
      </c>
      <c r="B23" t="s">
        <v>181</v>
      </c>
    </row>
    <row r="24" spans="1:2" x14ac:dyDescent="0.25">
      <c r="A24" t="s">
        <v>350</v>
      </c>
      <c r="B24" t="s">
        <v>318</v>
      </c>
    </row>
    <row r="25" spans="1:2" x14ac:dyDescent="0.25">
      <c r="A25" t="s">
        <v>351</v>
      </c>
      <c r="B25" t="s">
        <v>318</v>
      </c>
    </row>
    <row r="26" spans="1:2" x14ac:dyDescent="0.25">
      <c r="A26" t="s">
        <v>352</v>
      </c>
      <c r="B26" t="s">
        <v>181</v>
      </c>
    </row>
    <row r="27" spans="1:2" x14ac:dyDescent="0.25">
      <c r="A27" t="s">
        <v>353</v>
      </c>
      <c r="B27" t="s">
        <v>336</v>
      </c>
    </row>
    <row r="28" spans="1:2" x14ac:dyDescent="0.25">
      <c r="A28" t="s">
        <v>354</v>
      </c>
      <c r="B28" t="s">
        <v>181</v>
      </c>
    </row>
    <row r="29" spans="1:2" x14ac:dyDescent="0.25">
      <c r="A29" t="s">
        <v>355</v>
      </c>
      <c r="B29" t="s">
        <v>318</v>
      </c>
    </row>
    <row r="30" spans="1:2" x14ac:dyDescent="0.25">
      <c r="A30" t="s">
        <v>356</v>
      </c>
      <c r="B30" t="s">
        <v>338</v>
      </c>
    </row>
    <row r="31" spans="1:2" x14ac:dyDescent="0.25">
      <c r="A31" t="s">
        <v>357</v>
      </c>
      <c r="B31" t="s">
        <v>332</v>
      </c>
    </row>
    <row r="32" spans="1:2" x14ac:dyDescent="0.25">
      <c r="A32" t="s">
        <v>358</v>
      </c>
      <c r="B32" t="s">
        <v>336</v>
      </c>
    </row>
    <row r="33" spans="1:2" x14ac:dyDescent="0.25">
      <c r="A33" t="s">
        <v>359</v>
      </c>
      <c r="B33" t="s">
        <v>318</v>
      </c>
    </row>
    <row r="34" spans="1:2" x14ac:dyDescent="0.25">
      <c r="A34" t="s">
        <v>360</v>
      </c>
      <c r="B34" t="s">
        <v>336</v>
      </c>
    </row>
    <row r="35" spans="1:2" x14ac:dyDescent="0.25">
      <c r="A35" t="s">
        <v>361</v>
      </c>
      <c r="B35" t="s">
        <v>336</v>
      </c>
    </row>
    <row r="36" spans="1:2" x14ac:dyDescent="0.25">
      <c r="A36" t="s">
        <v>414</v>
      </c>
      <c r="B36" t="s">
        <v>329</v>
      </c>
    </row>
    <row r="37" spans="1:2" x14ac:dyDescent="0.25">
      <c r="A37" t="s">
        <v>446</v>
      </c>
      <c r="B37" t="s">
        <v>181</v>
      </c>
    </row>
    <row r="38" spans="1:2" x14ac:dyDescent="0.25">
      <c r="A38" t="s">
        <v>476</v>
      </c>
      <c r="B38" t="s">
        <v>475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35</vt:i4>
      </vt:variant>
    </vt:vector>
  </HeadingPairs>
  <TitlesOfParts>
    <vt:vector size="48" baseType="lpstr">
      <vt:lpstr>Reference</vt:lpstr>
      <vt:lpstr>Control</vt:lpstr>
      <vt:lpstr>Breakdown</vt:lpstr>
      <vt:lpstr>StaticChecks</vt:lpstr>
      <vt:lpstr>Calculation</vt:lpstr>
      <vt:lpstr>B1Export</vt:lpstr>
      <vt:lpstr>B1Returns</vt:lpstr>
      <vt:lpstr>DTS</vt:lpstr>
      <vt:lpstr>iPasStaticData</vt:lpstr>
      <vt:lpstr>BbergData</vt:lpstr>
      <vt:lpstr>ISIN_StaticData</vt:lpstr>
      <vt:lpstr>ISIN_Classification</vt:lpstr>
      <vt:lpstr>ConfigTables</vt:lpstr>
      <vt:lpstr>BMK_Credit_Adj</vt:lpstr>
      <vt:lpstr>FundList</vt:lpstr>
      <vt:lpstr>PTF_Credit_Adj</vt:lpstr>
      <vt:lpstr>rngB1Return_bmk_tol</vt:lpstr>
      <vt:lpstr>rngB1Return_ptf_tol</vt:lpstr>
      <vt:lpstr>rngBBIsin</vt:lpstr>
      <vt:lpstr>rngBenchmark</vt:lpstr>
      <vt:lpstr>rngBMKExportWeight</vt:lpstr>
      <vt:lpstr>rngBOneDataResults</vt:lpstr>
      <vt:lpstr>rngCCY</vt:lpstr>
      <vt:lpstr>rngClassification</vt:lpstr>
      <vt:lpstr>rngDBEnvironment</vt:lpstr>
      <vt:lpstr>rngDBEnvironmentTest</vt:lpstr>
      <vt:lpstr>rngDTSCheck</vt:lpstr>
      <vt:lpstr>rngDTSOutput</vt:lpstr>
      <vt:lpstr>rngEndDate</vt:lpstr>
      <vt:lpstr>rngEndMonth</vt:lpstr>
      <vt:lpstr>rngEndYear</vt:lpstr>
      <vt:lpstr>rngFiaStaticDataResults</vt:lpstr>
      <vt:lpstr>rngFundCode</vt:lpstr>
      <vt:lpstr>rngFundCodeandName</vt:lpstr>
      <vt:lpstr>rngFundCodeDTS</vt:lpstr>
      <vt:lpstr>rngFundInformation</vt:lpstr>
      <vt:lpstr>rngFundName</vt:lpstr>
      <vt:lpstr>RngHolidays</vt:lpstr>
      <vt:lpstr>rngMainCode</vt:lpstr>
      <vt:lpstr>rngPeriod</vt:lpstr>
      <vt:lpstr>rngPringiPadClassfication</vt:lpstr>
      <vt:lpstr>rngPrintFromIPas</vt:lpstr>
      <vt:lpstr>rngPTFExportWeight</vt:lpstr>
      <vt:lpstr>rngStartDate</vt:lpstr>
      <vt:lpstr>rngStoreToiPasL1</vt:lpstr>
      <vt:lpstr>rngStrategy</vt:lpstr>
      <vt:lpstr>rngTemplate</vt:lpstr>
      <vt:lpstr>rngVendor</vt:lpstr>
    </vt:vector>
  </TitlesOfParts>
  <Company>Legal &amp; General Investment Management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Gourdet, Marc</dc:creator>
  <cp:lastModifiedBy>Chramosil, Radek</cp:lastModifiedBy>
  <dcterms:created xsi:type="dcterms:W3CDTF">2013-12-03T15:13:41Z</dcterms:created>
  <dcterms:modified xsi:type="dcterms:W3CDTF">2017-10-16T11:01:39Z</dcterms:modified>
</cp:coreProperties>
</file>