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queryTables/queryTable5.xml" ContentType="application/vnd.openxmlformats-officedocument.spreadsheetml.queryTable+xml"/>
  <Override PartName="/xl/tables/table12.xml" ContentType="application/vnd.openxmlformats-officedocument.spreadsheetml.table+xml"/>
  <Override PartName="/xl/queryTables/queryTable6.xml" ContentType="application/vnd.openxmlformats-officedocument.spreadsheetml.queryTable+xml"/>
  <Override PartName="/xl/tables/table13.xml" ContentType="application/vnd.openxmlformats-officedocument.spreadsheetml.table+xml"/>
  <Override PartName="/xl/queryTables/queryTable7.xml" ContentType="application/vnd.openxmlformats-officedocument.spreadsheetml.query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2.xml" ContentType="application/vnd.openxmlformats-officedocument.drawing+xml"/>
  <Override PartName="/xl/tables/table15.xml" ContentType="application/vnd.openxmlformats-officedocument.spreadsheetml.table+xml"/>
  <Override PartName="/xl/queryTables/queryTable9.xml" ContentType="application/vnd.openxmlformats-officedocument.spreadsheetml.queryTable+xml"/>
  <Override PartName="/xl/tables/table16.xml" ContentType="application/vnd.openxmlformats-officedocument.spreadsheetml.table+xml"/>
  <Override PartName="/xl/queryTables/queryTable10.xml" ContentType="application/vnd.openxmlformats-officedocument.spreadsheetml.queryTable+xml"/>
  <Override PartName="/xl/tables/table17.xml" ContentType="application/vnd.openxmlformats-officedocument.spreadsheetml.table+xml"/>
  <Override PartName="/xl/queryTables/queryTable11.xml" ContentType="application/vnd.openxmlformats-officedocument.spreadsheetml.queryTable+xml"/>
  <Override PartName="/xl/tables/table18.xml" ContentType="application/vnd.openxmlformats-officedocument.spreadsheetml.table+xml"/>
  <Override PartName="/xl/queryTables/queryTable12.xml" ContentType="application/vnd.openxmlformats-officedocument.spreadsheetml.queryTable+xml"/>
  <Override PartName="/xl/tables/table19.xml" ContentType="application/vnd.openxmlformats-officedocument.spreadsheetml.table+xml"/>
  <Override PartName="/xl/queryTables/queryTable13.xml" ContentType="application/vnd.openxmlformats-officedocument.spreadsheetml.queryTable+xml"/>
  <Override PartName="/xl/tables/table20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3.xml" ContentType="application/vnd.openxmlformats-officedocument.drawing+xml"/>
  <Override PartName="/xl/activeX/activeX1.xml" ContentType="application/vnd.ms-office.activeX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21.xml" ContentType="application/vnd.openxmlformats-officedocument.spreadsheetml.table+xml"/>
  <Override PartName="/xl/comments4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120" yWindow="75" windowWidth="13950" windowHeight="9930" tabRatio="700" activeTab="5"/>
  </bookViews>
  <sheets>
    <sheet name="HOME" sheetId="26" r:id="rId1"/>
    <sheet name="BOneReturns" sheetId="34" r:id="rId2"/>
    <sheet name="Checks" sheetId="36" r:id="rId3"/>
    <sheet name="iPasLoad" sheetId="25" r:id="rId4"/>
    <sheet name="iPasBmkLoad" sheetId="35" r:id="rId5"/>
    <sheet name="ReturnHistory" sheetId="29" r:id="rId6"/>
    <sheet name="CoverPageComment" sheetId="33" r:id="rId7"/>
    <sheet name="ConfigTables" sheetId="32" r:id="rId8"/>
    <sheet name="RefTables" sheetId="31" r:id="rId9"/>
    <sheet name="PERFORMANCE SUMMARY" sheetId="37" r:id="rId10"/>
    <sheet name="SUPPLEMENTARY DATA - AGG" sheetId="41" r:id="rId11"/>
    <sheet name="SUPPLEMENTARY DATA - WHT" sheetId="38" r:id="rId12"/>
    <sheet name="SUPPLEMENTARY DATA - CAP" sheetId="39" r:id="rId13"/>
    <sheet name="SUPPLEMENTARY DATA - EXCL" sheetId="40" r:id="rId14"/>
    <sheet name="Historical Data" sheetId="42" r:id="rId15"/>
    <sheet name="CoverpageTables" sheetId="43" r:id="rId16"/>
  </sheets>
  <functionGroups builtInGroupCount="17"/>
  <definedNames>
    <definedName name="_xlnm._FilterDatabase" localSheetId="7" hidden="1">ConfigTables!$A$1</definedName>
    <definedName name="RngConfigDbEnv">HOME!$U$4</definedName>
    <definedName name="RngConfigRowVersion">ConfigTables!$A$1</definedName>
    <definedName name="RngConfigSheetsAutoProtect">HOME!$U$9</definedName>
    <definedName name="RngConfigUserName">HOME!$U$3</definedName>
    <definedName name="rngCoverpageReturns">'PERFORMANCE SUMMARY'!$B$30:$H$41</definedName>
    <definedName name="RngEndDate" localSheetId="15">HOME!$C$4</definedName>
    <definedName name="RngEndDate" localSheetId="14">HOME!$C$4</definedName>
    <definedName name="RngEndDate" localSheetId="9">HOME!$C$4</definedName>
    <definedName name="RngEndDate">HOME!$C$4</definedName>
    <definedName name="RngStartDate">HOME!$C$7</definedName>
    <definedName name="RngUniqueCodeCheck">CoverPageComment!$B$1</definedName>
    <definedName name="RngUniqueCodeCheck2">ConfigTables!$L$2</definedName>
    <definedName name="RngVersionDB">HOME!$U$7</definedName>
    <definedName name="RngVersionEnvironment">HOME!$U$8</definedName>
    <definedName name="VWNDEVSQL19_DEV19_iPAS_BenchmarkDetails" localSheetId="8" hidden="1">RefTables!$X$4:$AC$276</definedName>
    <definedName name="VWNDEVSQL19_DEV19_iPAS_Currency" localSheetId="8" hidden="1">RefTables!$E$4:$G$202</definedName>
    <definedName name="VWNDEVSQL19_DEV19_iPAS_ReturnFrequency" localSheetId="7" hidden="1">ConfigTables!$E$4:$F$25</definedName>
    <definedName name="VWNDEVSQL19_DEV19_iPAS_ReturnSource" localSheetId="8" hidden="1">RefTables!$B$4:$C$9</definedName>
    <definedName name="VWNDEVSQL19_DEV19_iPAS_ReturnStatus" localSheetId="7" hidden="1">ConfigTables!$H$4:$I$8</definedName>
    <definedName name="VWNDEVSQL19_DEV19_iPAS_ReturnType" localSheetId="7" hidden="1">ConfigTables!$B$4:$C$69</definedName>
    <definedName name="VWNDEVSQL19_DEV19_iPAS_vAggregateFund" localSheetId="7" hidden="1">ConfigTables!$W$4:$Z$5</definedName>
    <definedName name="VWNDEVSQL19_DEV19_iPAS_vComposite" localSheetId="8" hidden="1">RefTables!$AE$4:$AN$327</definedName>
    <definedName name="VWNDEVSQL19_DEV19_iPAS_vCompositeFund" localSheetId="8" hidden="1">RefTables!$AP$4:$AR$164</definedName>
    <definedName name="VWNDEVSQL19_DEV19_iPAS_vFundCodeMap" localSheetId="8" hidden="1">RefTables!$I$4:$U$513</definedName>
    <definedName name="VWNDEVSQL19_DEV19_iPAS_vReturnBenchmark" localSheetId="5" hidden="1">ReturnHistory!$AD$3:$AY$33</definedName>
    <definedName name="VWNDEVSQL19_DEV19_iPAS_vReturnCoverPageComment" localSheetId="6" hidden="1">CoverPageComment!$B$3:$C$4</definedName>
    <definedName name="VWNDEVSQL19_DEV19_iPAS_vReturnFund" localSheetId="5" hidden="1">ReturnHistory!$B$3:$AB$105</definedName>
    <definedName name="VWNDEVSQL19_DEV19_iPAS_vReturnTolarance" localSheetId="7" hidden="1">ConfigTables!$K$4:$U$5</definedName>
  </definedNames>
  <calcPr calcId="145621" calcMode="autoNoTable"/>
</workbook>
</file>

<file path=xl/calcChain.xml><?xml version="1.0" encoding="utf-8"?>
<calcChain xmlns="http://schemas.openxmlformats.org/spreadsheetml/2006/main">
  <c r="W4" i="36" l="1"/>
  <c r="W5" i="36"/>
  <c r="W6" i="36"/>
  <c r="W7" i="36"/>
  <c r="W8" i="36"/>
  <c r="W9" i="36"/>
  <c r="W10" i="36"/>
  <c r="W11" i="36"/>
  <c r="W12" i="36"/>
  <c r="W13" i="36"/>
  <c r="W14" i="36"/>
  <c r="W15" i="36"/>
  <c r="W16" i="36"/>
  <c r="W17" i="36"/>
  <c r="W18" i="36"/>
  <c r="W19" i="36"/>
  <c r="W20" i="36"/>
  <c r="S4" i="36"/>
  <c r="S5" i="36"/>
  <c r="S6" i="36"/>
  <c r="S7" i="36"/>
  <c r="S8" i="36"/>
  <c r="S9" i="36"/>
  <c r="S10" i="36"/>
  <c r="S11" i="36"/>
  <c r="S12" i="36"/>
  <c r="S13" i="36"/>
  <c r="S14" i="36"/>
  <c r="S15" i="36"/>
  <c r="S16" i="36"/>
  <c r="S17" i="36"/>
  <c r="S18" i="36"/>
  <c r="S19" i="36"/>
  <c r="S20" i="36"/>
  <c r="O4" i="36"/>
  <c r="O5" i="36"/>
  <c r="O6" i="36"/>
  <c r="O7" i="36"/>
  <c r="O8" i="36"/>
  <c r="O9" i="36"/>
  <c r="O10" i="36"/>
  <c r="O11" i="36"/>
  <c r="O12" i="36"/>
  <c r="O13" i="36"/>
  <c r="O14" i="36"/>
  <c r="O15" i="36"/>
  <c r="O16" i="36"/>
  <c r="O17" i="36"/>
  <c r="O18" i="36"/>
  <c r="O19" i="36"/>
  <c r="O20" i="36"/>
  <c r="K4" i="36"/>
  <c r="K5" i="36"/>
  <c r="K6" i="36"/>
  <c r="K7" i="36"/>
  <c r="K8" i="36"/>
  <c r="K9" i="36"/>
  <c r="K10" i="36"/>
  <c r="K11" i="36"/>
  <c r="K12" i="36"/>
  <c r="K13" i="36"/>
  <c r="K14" i="36"/>
  <c r="K15" i="36"/>
  <c r="K16" i="36"/>
  <c r="K17" i="36"/>
  <c r="K18" i="36"/>
  <c r="K19" i="36"/>
  <c r="K20" i="36"/>
  <c r="J4" i="36"/>
  <c r="L4" i="36" s="1"/>
  <c r="K16" i="26" s="1"/>
  <c r="J5" i="36"/>
  <c r="L5" i="36" s="1"/>
  <c r="K17" i="26" s="1"/>
  <c r="J6" i="36"/>
  <c r="J7" i="36"/>
  <c r="L7" i="36" s="1"/>
  <c r="K19" i="26" s="1"/>
  <c r="J8" i="36"/>
  <c r="L8" i="36" s="1"/>
  <c r="K20" i="26" s="1"/>
  <c r="J9" i="36"/>
  <c r="L9" i="36" s="1"/>
  <c r="K21" i="26" s="1"/>
  <c r="J10" i="36"/>
  <c r="L10" i="36" s="1"/>
  <c r="K22" i="26" s="1"/>
  <c r="J11" i="36"/>
  <c r="L11" i="36" s="1"/>
  <c r="K23" i="26" s="1"/>
  <c r="J12" i="36"/>
  <c r="L12" i="36" s="1"/>
  <c r="K24" i="26" s="1"/>
  <c r="J13" i="36"/>
  <c r="L13" i="36" s="1"/>
  <c r="K25" i="26" s="1"/>
  <c r="J14" i="36"/>
  <c r="L14" i="36" s="1"/>
  <c r="K26" i="26" s="1"/>
  <c r="J15" i="36"/>
  <c r="L15" i="36" s="1"/>
  <c r="K27" i="26" s="1"/>
  <c r="J16" i="36"/>
  <c r="L16" i="36" s="1"/>
  <c r="K28" i="26" s="1"/>
  <c r="J17" i="36"/>
  <c r="J18" i="36"/>
  <c r="J19" i="36"/>
  <c r="J20" i="36"/>
  <c r="F4" i="36"/>
  <c r="M4" i="36" s="1"/>
  <c r="F5" i="36"/>
  <c r="F6" i="36"/>
  <c r="M6" i="36" s="1"/>
  <c r="F7" i="36"/>
  <c r="F8" i="36"/>
  <c r="M8" i="36" s="1"/>
  <c r="F9" i="36"/>
  <c r="F10" i="36"/>
  <c r="M10" i="36" s="1"/>
  <c r="F11" i="36"/>
  <c r="F12" i="36"/>
  <c r="M12" i="36" s="1"/>
  <c r="F13" i="36"/>
  <c r="F14" i="36"/>
  <c r="M14" i="36" s="1"/>
  <c r="F15" i="36"/>
  <c r="F16" i="36"/>
  <c r="M16" i="36" s="1"/>
  <c r="F17" i="36"/>
  <c r="F18" i="36"/>
  <c r="M18" i="36" s="1"/>
  <c r="F19" i="36"/>
  <c r="F20" i="36"/>
  <c r="M20" i="36" s="1"/>
  <c r="E4" i="36"/>
  <c r="E5" i="36"/>
  <c r="E6" i="36"/>
  <c r="E7" i="36"/>
  <c r="E8" i="36"/>
  <c r="E9" i="36"/>
  <c r="E10" i="36"/>
  <c r="E11" i="36"/>
  <c r="E12" i="36"/>
  <c r="E13" i="36"/>
  <c r="E14" i="36"/>
  <c r="E15" i="36"/>
  <c r="E16" i="36"/>
  <c r="E17" i="36"/>
  <c r="E18" i="36"/>
  <c r="E19" i="36"/>
  <c r="E20" i="36"/>
  <c r="C29" i="26"/>
  <c r="C30" i="26"/>
  <c r="C31" i="26"/>
  <c r="C32" i="26"/>
  <c r="D29" i="26"/>
  <c r="D30" i="26"/>
  <c r="D31" i="26"/>
  <c r="D32" i="26"/>
  <c r="G29" i="26"/>
  <c r="G30" i="26"/>
  <c r="G31" i="26"/>
  <c r="G32" i="26"/>
  <c r="H29" i="26"/>
  <c r="H30" i="26"/>
  <c r="H31" i="26"/>
  <c r="H32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G16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4" i="36"/>
  <c r="H6" i="36"/>
  <c r="H8" i="36"/>
  <c r="H10" i="36"/>
  <c r="H12" i="36"/>
  <c r="H14" i="36"/>
  <c r="H16" i="36"/>
  <c r="H18" i="36"/>
  <c r="H20" i="36"/>
  <c r="H5" i="36"/>
  <c r="H7" i="36"/>
  <c r="H9" i="36"/>
  <c r="H11" i="36"/>
  <c r="H13" i="36"/>
  <c r="H15" i="36"/>
  <c r="H17" i="36"/>
  <c r="H19" i="36"/>
  <c r="Z19" i="36" l="1"/>
  <c r="V19" i="36"/>
  <c r="R19" i="36"/>
  <c r="Y19" i="36"/>
  <c r="U19" i="36"/>
  <c r="Q19" i="36"/>
  <c r="T19" i="36" s="1"/>
  <c r="Z17" i="36"/>
  <c r="V17" i="36"/>
  <c r="R17" i="36"/>
  <c r="Y17" i="36"/>
  <c r="U17" i="36"/>
  <c r="Q17" i="36"/>
  <c r="Z15" i="36"/>
  <c r="V15" i="36"/>
  <c r="R15" i="36"/>
  <c r="Y15" i="36"/>
  <c r="U15" i="36"/>
  <c r="Q15" i="36"/>
  <c r="Z13" i="36"/>
  <c r="V13" i="36"/>
  <c r="R13" i="36"/>
  <c r="Y13" i="36"/>
  <c r="U13" i="36"/>
  <c r="Q13" i="36"/>
  <c r="Z11" i="36"/>
  <c r="V11" i="36"/>
  <c r="R11" i="36"/>
  <c r="Y11" i="36"/>
  <c r="U11" i="36"/>
  <c r="Q11" i="36"/>
  <c r="Z9" i="36"/>
  <c r="V9" i="36"/>
  <c r="R9" i="36"/>
  <c r="Y9" i="36"/>
  <c r="U9" i="36"/>
  <c r="Q9" i="36"/>
  <c r="Z7" i="36"/>
  <c r="V7" i="36"/>
  <c r="R7" i="36"/>
  <c r="Y7" i="36"/>
  <c r="U7" i="36"/>
  <c r="Q7" i="36"/>
  <c r="Z5" i="36"/>
  <c r="V5" i="36"/>
  <c r="R5" i="36"/>
  <c r="Y5" i="36"/>
  <c r="U5" i="36"/>
  <c r="Q5" i="36"/>
  <c r="G20" i="36"/>
  <c r="G18" i="36"/>
  <c r="G16" i="36"/>
  <c r="G14" i="36"/>
  <c r="G12" i="36"/>
  <c r="G10" i="36"/>
  <c r="G8" i="36"/>
  <c r="G6" i="36"/>
  <c r="G4" i="36"/>
  <c r="I20" i="36"/>
  <c r="L20" i="36" s="1"/>
  <c r="K32" i="26" s="1"/>
  <c r="I18" i="36"/>
  <c r="L18" i="36" s="1"/>
  <c r="K30" i="26" s="1"/>
  <c r="I16" i="36"/>
  <c r="I14" i="36"/>
  <c r="I12" i="36"/>
  <c r="I10" i="36"/>
  <c r="I8" i="36"/>
  <c r="I6" i="36"/>
  <c r="L6" i="36" s="1"/>
  <c r="K18" i="26" s="1"/>
  <c r="I4" i="36"/>
  <c r="N19" i="36"/>
  <c r="N17" i="36"/>
  <c r="N15" i="36"/>
  <c r="N13" i="36"/>
  <c r="N11" i="36"/>
  <c r="N9" i="36"/>
  <c r="N7" i="36"/>
  <c r="N5" i="36"/>
  <c r="Y20" i="36"/>
  <c r="AA20" i="36" s="1"/>
  <c r="U20" i="36"/>
  <c r="Q20" i="36"/>
  <c r="T20" i="36" s="1"/>
  <c r="Z20" i="36"/>
  <c r="V20" i="36"/>
  <c r="X20" i="36" s="1"/>
  <c r="R20" i="36"/>
  <c r="Y18" i="36"/>
  <c r="AA18" i="36" s="1"/>
  <c r="U18" i="36"/>
  <c r="Q18" i="36"/>
  <c r="T18" i="36" s="1"/>
  <c r="Z18" i="36"/>
  <c r="V18" i="36"/>
  <c r="X18" i="36" s="1"/>
  <c r="R18" i="36"/>
  <c r="Y16" i="36"/>
  <c r="AA16" i="36" s="1"/>
  <c r="U16" i="36"/>
  <c r="Q16" i="36"/>
  <c r="T16" i="36" s="1"/>
  <c r="Z16" i="36"/>
  <c r="V16" i="36"/>
  <c r="X16" i="36" s="1"/>
  <c r="R16" i="36"/>
  <c r="Y14" i="36"/>
  <c r="AA14" i="36" s="1"/>
  <c r="U14" i="36"/>
  <c r="Q14" i="36"/>
  <c r="T14" i="36" s="1"/>
  <c r="Z14" i="36"/>
  <c r="V14" i="36"/>
  <c r="X14" i="36" s="1"/>
  <c r="R14" i="36"/>
  <c r="Y12" i="36"/>
  <c r="AA12" i="36" s="1"/>
  <c r="U12" i="36"/>
  <c r="Q12" i="36"/>
  <c r="T12" i="36" s="1"/>
  <c r="Z12" i="36"/>
  <c r="V12" i="36"/>
  <c r="X12" i="36" s="1"/>
  <c r="R12" i="36"/>
  <c r="Y10" i="36"/>
  <c r="AA10" i="36" s="1"/>
  <c r="U10" i="36"/>
  <c r="Q10" i="36"/>
  <c r="T10" i="36" s="1"/>
  <c r="Z10" i="36"/>
  <c r="V10" i="36"/>
  <c r="X10" i="36" s="1"/>
  <c r="R10" i="36"/>
  <c r="Y8" i="36"/>
  <c r="AA8" i="36" s="1"/>
  <c r="U8" i="36"/>
  <c r="Q8" i="36"/>
  <c r="T8" i="36" s="1"/>
  <c r="Z8" i="36"/>
  <c r="V8" i="36"/>
  <c r="X8" i="36" s="1"/>
  <c r="R8" i="36"/>
  <c r="Y6" i="36"/>
  <c r="U6" i="36"/>
  <c r="Q6" i="36"/>
  <c r="Z6" i="36"/>
  <c r="V6" i="36"/>
  <c r="X6" i="36" s="1"/>
  <c r="R6" i="36"/>
  <c r="Y4" i="36"/>
  <c r="U4" i="36"/>
  <c r="Q4" i="36"/>
  <c r="Z4" i="36"/>
  <c r="V4" i="36"/>
  <c r="X4" i="36" s="1"/>
  <c r="R4" i="36"/>
  <c r="G19" i="36"/>
  <c r="G17" i="36"/>
  <c r="G15" i="36"/>
  <c r="G13" i="36"/>
  <c r="G11" i="36"/>
  <c r="G9" i="36"/>
  <c r="G7" i="36"/>
  <c r="E19" i="26" s="1"/>
  <c r="G5" i="36"/>
  <c r="I19" i="36"/>
  <c r="L19" i="36" s="1"/>
  <c r="K31" i="26" s="1"/>
  <c r="I17" i="36"/>
  <c r="L17" i="36" s="1"/>
  <c r="K29" i="26" s="1"/>
  <c r="I15" i="36"/>
  <c r="I13" i="36"/>
  <c r="I11" i="36"/>
  <c r="I9" i="36"/>
  <c r="I7" i="36"/>
  <c r="I5" i="36"/>
  <c r="M19" i="36"/>
  <c r="P19" i="36" s="1"/>
  <c r="M17" i="36"/>
  <c r="P17" i="36" s="1"/>
  <c r="M15" i="36"/>
  <c r="P15" i="36" s="1"/>
  <c r="M13" i="36"/>
  <c r="P13" i="36" s="1"/>
  <c r="M11" i="36"/>
  <c r="P11" i="36" s="1"/>
  <c r="M9" i="36"/>
  <c r="P9" i="36" s="1"/>
  <c r="M7" i="36"/>
  <c r="P7" i="36" s="1"/>
  <c r="M5" i="36"/>
  <c r="P5" i="36" s="1"/>
  <c r="N20" i="36"/>
  <c r="P20" i="36" s="1"/>
  <c r="L32" i="26" s="1"/>
  <c r="N18" i="36"/>
  <c r="P18" i="36" s="1"/>
  <c r="N16" i="36"/>
  <c r="P16" i="36" s="1"/>
  <c r="L28" i="26" s="1"/>
  <c r="N14" i="36"/>
  <c r="P14" i="36" s="1"/>
  <c r="N12" i="36"/>
  <c r="P12" i="36" s="1"/>
  <c r="L24" i="26" s="1"/>
  <c r="N10" i="36"/>
  <c r="P10" i="36" s="1"/>
  <c r="N8" i="36"/>
  <c r="P8" i="36" s="1"/>
  <c r="L20" i="26" s="1"/>
  <c r="N6" i="36"/>
  <c r="P6" i="36" s="1"/>
  <c r="L18" i="26" s="1"/>
  <c r="N4" i="36"/>
  <c r="P4" i="36" s="1"/>
  <c r="L16" i="26" s="1"/>
  <c r="E32" i="26"/>
  <c r="E28" i="26"/>
  <c r="E24" i="26"/>
  <c r="E16" i="26"/>
  <c r="E31" i="26"/>
  <c r="E27" i="26"/>
  <c r="E21" i="26"/>
  <c r="E17" i="26"/>
  <c r="E20" i="26"/>
  <c r="E18" i="26"/>
  <c r="E25" i="26"/>
  <c r="L21" i="26"/>
  <c r="E29" i="26"/>
  <c r="F31" i="26"/>
  <c r="F29" i="26"/>
  <c r="F27" i="26"/>
  <c r="F25" i="26"/>
  <c r="F23" i="26"/>
  <c r="F21" i="26"/>
  <c r="F19" i="26"/>
  <c r="F17" i="26"/>
  <c r="F32" i="26"/>
  <c r="F30" i="26"/>
  <c r="F28" i="26"/>
  <c r="F26" i="26"/>
  <c r="F24" i="26"/>
  <c r="F22" i="26"/>
  <c r="F20" i="26"/>
  <c r="F18" i="26"/>
  <c r="F16" i="26"/>
  <c r="E30" i="26"/>
  <c r="E26" i="26"/>
  <c r="E22" i="26"/>
  <c r="E23" i="26"/>
  <c r="L17" i="26"/>
  <c r="AY21" i="41"/>
  <c r="AX21" i="41"/>
  <c r="AY20" i="41"/>
  <c r="AX20" i="41"/>
  <c r="AY19" i="41"/>
  <c r="AX19" i="41"/>
  <c r="AY18" i="41"/>
  <c r="AX18" i="41"/>
  <c r="AY17" i="41"/>
  <c r="AX17" i="41"/>
  <c r="AY16" i="41"/>
  <c r="AX16" i="41"/>
  <c r="AY15" i="41"/>
  <c r="AX15" i="41"/>
  <c r="AY14" i="41"/>
  <c r="AX14" i="41"/>
  <c r="AY13" i="41"/>
  <c r="AX13" i="41"/>
  <c r="AY12" i="41"/>
  <c r="AX12" i="41"/>
  <c r="AY11" i="41"/>
  <c r="AX11" i="41"/>
  <c r="AY10" i="41"/>
  <c r="AX10" i="41"/>
  <c r="BQ18" i="43"/>
  <c r="BO18" i="43"/>
  <c r="AV18" i="43"/>
  <c r="AC18" i="43"/>
  <c r="AA19" i="36" l="1"/>
  <c r="T5" i="36"/>
  <c r="AA5" i="36"/>
  <c r="O17" i="26" s="1"/>
  <c r="X5" i="36"/>
  <c r="T7" i="36"/>
  <c r="AA7" i="36"/>
  <c r="X7" i="36"/>
  <c r="T9" i="36"/>
  <c r="AA9" i="36"/>
  <c r="O21" i="26" s="1"/>
  <c r="X9" i="36"/>
  <c r="T11" i="36"/>
  <c r="AA11" i="36"/>
  <c r="X11" i="36"/>
  <c r="T13" i="36"/>
  <c r="AA13" i="36"/>
  <c r="X13" i="36"/>
  <c r="T15" i="36"/>
  <c r="AA15" i="36"/>
  <c r="X15" i="36"/>
  <c r="T17" i="36"/>
  <c r="AA17" i="36"/>
  <c r="O29" i="26" s="1"/>
  <c r="X17" i="36"/>
  <c r="X19" i="36"/>
  <c r="T4" i="36"/>
  <c r="AA4" i="36"/>
  <c r="O16" i="26" s="1"/>
  <c r="T6" i="36"/>
  <c r="AA6" i="36"/>
  <c r="O18" i="26" s="1"/>
  <c r="O26" i="26"/>
  <c r="O19" i="26"/>
  <c r="O23" i="26"/>
  <c r="M31" i="26"/>
  <c r="L19" i="26"/>
  <c r="L25" i="26"/>
  <c r="L27" i="26"/>
  <c r="O27" i="26"/>
  <c r="L29" i="26"/>
  <c r="O31" i="26"/>
  <c r="M32" i="26"/>
  <c r="M19" i="26"/>
  <c r="M21" i="26"/>
  <c r="M25" i="26"/>
  <c r="M27" i="26"/>
  <c r="M29" i="26"/>
  <c r="M23" i="26"/>
  <c r="O22" i="26"/>
  <c r="N25" i="26"/>
  <c r="L22" i="26"/>
  <c r="L30" i="26"/>
  <c r="N19" i="26"/>
  <c r="N21" i="26"/>
  <c r="N27" i="26"/>
  <c r="L26" i="26"/>
  <c r="L23" i="26"/>
  <c r="L31" i="26"/>
  <c r="M17" i="26"/>
  <c r="N17" i="26"/>
  <c r="N23" i="26"/>
  <c r="O25" i="26"/>
  <c r="N16" i="26"/>
  <c r="M16" i="26"/>
  <c r="N18" i="26"/>
  <c r="M18" i="26"/>
  <c r="N20" i="26"/>
  <c r="M20" i="26"/>
  <c r="O20" i="26"/>
  <c r="N22" i="26"/>
  <c r="M22" i="26"/>
  <c r="N24" i="26"/>
  <c r="M24" i="26"/>
  <c r="O24" i="26"/>
  <c r="N26" i="26"/>
  <c r="M26" i="26"/>
  <c r="N28" i="26"/>
  <c r="M28" i="26"/>
  <c r="O28" i="26"/>
  <c r="N30" i="26"/>
  <c r="M30" i="26"/>
  <c r="O30" i="26"/>
  <c r="N32" i="26"/>
  <c r="O32" i="26"/>
  <c r="N29" i="26"/>
  <c r="N31" i="26"/>
  <c r="D6" i="42"/>
  <c r="F6" i="42" s="1"/>
  <c r="D7" i="42"/>
  <c r="F7" i="42" s="1"/>
  <c r="D8" i="42"/>
  <c r="E8" i="42" s="1"/>
  <c r="D9" i="42"/>
  <c r="F9" i="42" s="1"/>
  <c r="D10" i="42"/>
  <c r="E10" i="42" s="1"/>
  <c r="D11" i="42"/>
  <c r="E11" i="42" s="1"/>
  <c r="D12" i="42"/>
  <c r="E12" i="42" s="1"/>
  <c r="D13" i="42"/>
  <c r="F13" i="42" s="1"/>
  <c r="D14" i="42"/>
  <c r="F14" i="42" s="1"/>
  <c r="D15" i="42"/>
  <c r="F15" i="42" s="1"/>
  <c r="D16" i="42"/>
  <c r="F16" i="42" s="1"/>
  <c r="D17" i="42"/>
  <c r="F17" i="42" s="1"/>
  <c r="D18" i="42"/>
  <c r="E18" i="42" s="1"/>
  <c r="F12" i="42" l="1"/>
  <c r="F8" i="42"/>
  <c r="E17" i="42"/>
  <c r="E16" i="42"/>
  <c r="E15" i="42"/>
  <c r="E14" i="42"/>
  <c r="E7" i="42"/>
  <c r="E6" i="42"/>
  <c r="E9" i="42"/>
  <c r="E13" i="42"/>
  <c r="F11" i="42"/>
  <c r="F18" i="42"/>
  <c r="F10" i="42"/>
  <c r="EO18" i="43"/>
  <c r="DV18" i="43"/>
  <c r="DC18" i="43"/>
  <c r="CJ18" i="43"/>
  <c r="AX18" i="43"/>
  <c r="EM18" i="43"/>
  <c r="DT18" i="43"/>
  <c r="DA18" i="43"/>
  <c r="CH18" i="43"/>
  <c r="AP21" i="41" l="1"/>
  <c r="AO21" i="41"/>
  <c r="AP20" i="41"/>
  <c r="AO20" i="41"/>
  <c r="AP19" i="41"/>
  <c r="AO19" i="41"/>
  <c r="AP18" i="41"/>
  <c r="AO18" i="41"/>
  <c r="AP17" i="41"/>
  <c r="AO17" i="41"/>
  <c r="AP16" i="41"/>
  <c r="AO16" i="41"/>
  <c r="AP15" i="41"/>
  <c r="AO15" i="41"/>
  <c r="AP14" i="41"/>
  <c r="AO14" i="41"/>
  <c r="AP13" i="41"/>
  <c r="AO13" i="41"/>
  <c r="AP12" i="41"/>
  <c r="AO12" i="41"/>
  <c r="AP11" i="41"/>
  <c r="AO11" i="41"/>
  <c r="AP10" i="41"/>
  <c r="AO10" i="41"/>
  <c r="AF10" i="41"/>
  <c r="AG10" i="41"/>
  <c r="AF11" i="41"/>
  <c r="AG11" i="41"/>
  <c r="AF12" i="41"/>
  <c r="AG12" i="41"/>
  <c r="AF13" i="41"/>
  <c r="AG13" i="41"/>
  <c r="AF14" i="41"/>
  <c r="AG14" i="41"/>
  <c r="AF15" i="41"/>
  <c r="AG15" i="41"/>
  <c r="AF16" i="41"/>
  <c r="AG16" i="41"/>
  <c r="AF17" i="41"/>
  <c r="AG17" i="41"/>
  <c r="AF18" i="41"/>
  <c r="AG18" i="41"/>
  <c r="AF19" i="41"/>
  <c r="AG19" i="41"/>
  <c r="AF20" i="41"/>
  <c r="AG20" i="41"/>
  <c r="AF21" i="41"/>
  <c r="AG21" i="41"/>
  <c r="X21" i="41"/>
  <c r="W21" i="41"/>
  <c r="X20" i="41"/>
  <c r="W20" i="41"/>
  <c r="X19" i="41"/>
  <c r="W19" i="41"/>
  <c r="X18" i="41"/>
  <c r="W18" i="41"/>
  <c r="X17" i="41"/>
  <c r="W17" i="41"/>
  <c r="X16" i="41"/>
  <c r="W16" i="41"/>
  <c r="X15" i="41"/>
  <c r="W15" i="41"/>
  <c r="X14" i="41"/>
  <c r="W14" i="41"/>
  <c r="X13" i="41"/>
  <c r="W13" i="41"/>
  <c r="X12" i="41"/>
  <c r="W12" i="41"/>
  <c r="X11" i="41"/>
  <c r="W11" i="41"/>
  <c r="X10" i="41"/>
  <c r="W10" i="41"/>
  <c r="O21" i="41"/>
  <c r="N21" i="41"/>
  <c r="O20" i="41"/>
  <c r="N20" i="41"/>
  <c r="O19" i="41"/>
  <c r="N19" i="41"/>
  <c r="O18" i="41"/>
  <c r="N18" i="41"/>
  <c r="O17" i="41"/>
  <c r="N17" i="41"/>
  <c r="O16" i="41"/>
  <c r="N16" i="41"/>
  <c r="O15" i="41"/>
  <c r="N15" i="41"/>
  <c r="O14" i="41"/>
  <c r="N14" i="41"/>
  <c r="O13" i="41"/>
  <c r="N13" i="41"/>
  <c r="O12" i="41"/>
  <c r="N12" i="41"/>
  <c r="O11" i="41"/>
  <c r="N11" i="41"/>
  <c r="O10" i="41"/>
  <c r="N10" i="41"/>
  <c r="F21" i="41"/>
  <c r="F20" i="41"/>
  <c r="F19" i="41"/>
  <c r="F18" i="41"/>
  <c r="F17" i="41"/>
  <c r="F16" i="41"/>
  <c r="F15" i="41"/>
  <c r="F14" i="41"/>
  <c r="F13" i="41"/>
  <c r="F12" i="41"/>
  <c r="F11" i="41"/>
  <c r="E21" i="41"/>
  <c r="E20" i="41"/>
  <c r="E19" i="41"/>
  <c r="E18" i="41"/>
  <c r="E17" i="41"/>
  <c r="E16" i="41"/>
  <c r="E15" i="41"/>
  <c r="E14" i="41"/>
  <c r="E13" i="41"/>
  <c r="E12" i="41"/>
  <c r="E11" i="41"/>
  <c r="F10" i="41"/>
  <c r="E10" i="41"/>
  <c r="D26" i="39"/>
  <c r="D25" i="39"/>
  <c r="D24" i="39"/>
  <c r="D23" i="39"/>
  <c r="D22" i="39"/>
  <c r="D21" i="39"/>
  <c r="D20" i="39"/>
  <c r="D19" i="39"/>
  <c r="D18" i="39"/>
  <c r="D17" i="39"/>
  <c r="D16" i="39"/>
  <c r="D15" i="39"/>
  <c r="D26" i="38"/>
  <c r="D25" i="38"/>
  <c r="D24" i="38"/>
  <c r="D23" i="38"/>
  <c r="D22" i="38"/>
  <c r="D21" i="38"/>
  <c r="D20" i="38"/>
  <c r="D19" i="38"/>
  <c r="D18" i="38"/>
  <c r="D17" i="38"/>
  <c r="D16" i="38"/>
  <c r="D15" i="38"/>
  <c r="D26" i="40" l="1"/>
  <c r="C26" i="40"/>
  <c r="B26" i="40"/>
  <c r="L26" i="40" s="1"/>
  <c r="D25" i="40"/>
  <c r="C25" i="40"/>
  <c r="B25" i="40"/>
  <c r="M25" i="40" s="1"/>
  <c r="D24" i="40"/>
  <c r="C24" i="40"/>
  <c r="B24" i="40"/>
  <c r="K24" i="40" s="1"/>
  <c r="D23" i="40"/>
  <c r="C23" i="40"/>
  <c r="B23" i="40"/>
  <c r="L23" i="40" s="1"/>
  <c r="D22" i="40"/>
  <c r="C22" i="40"/>
  <c r="B22" i="40"/>
  <c r="M22" i="40" s="1"/>
  <c r="D21" i="40"/>
  <c r="C21" i="40"/>
  <c r="B21" i="40"/>
  <c r="M21" i="40" s="1"/>
  <c r="D20" i="40"/>
  <c r="C20" i="40"/>
  <c r="B20" i="40"/>
  <c r="K20" i="40" s="1"/>
  <c r="D19" i="40"/>
  <c r="C19" i="40"/>
  <c r="B19" i="40"/>
  <c r="L19" i="40" s="1"/>
  <c r="D18" i="40"/>
  <c r="C18" i="40"/>
  <c r="B18" i="40"/>
  <c r="L18" i="40" s="1"/>
  <c r="D17" i="40"/>
  <c r="C17" i="40"/>
  <c r="B17" i="40"/>
  <c r="M17" i="40" s="1"/>
  <c r="D16" i="40"/>
  <c r="C16" i="40"/>
  <c r="B16" i="40"/>
  <c r="K16" i="40" s="1"/>
  <c r="D15" i="40"/>
  <c r="C15" i="40"/>
  <c r="B15" i="40"/>
  <c r="L15" i="40" s="1"/>
  <c r="C15" i="39"/>
  <c r="C16" i="39"/>
  <c r="C17" i="39"/>
  <c r="C18" i="39"/>
  <c r="C19" i="39"/>
  <c r="C20" i="39"/>
  <c r="C21" i="39"/>
  <c r="C22" i="39"/>
  <c r="C23" i="39"/>
  <c r="C24" i="39"/>
  <c r="C25" i="39"/>
  <c r="C26" i="39"/>
  <c r="B26" i="39"/>
  <c r="M26" i="39" s="1"/>
  <c r="B25" i="39"/>
  <c r="K25" i="39" s="1"/>
  <c r="B24" i="39"/>
  <c r="G24" i="39" s="1"/>
  <c r="B23" i="39"/>
  <c r="M23" i="39" s="1"/>
  <c r="B22" i="39"/>
  <c r="L22" i="39" s="1"/>
  <c r="B21" i="39"/>
  <c r="G21" i="39" s="1"/>
  <c r="B20" i="39"/>
  <c r="G20" i="39" s="1"/>
  <c r="B19" i="39"/>
  <c r="M19" i="39" s="1"/>
  <c r="B18" i="39"/>
  <c r="G18" i="39" s="1"/>
  <c r="B17" i="39"/>
  <c r="K17" i="39" s="1"/>
  <c r="B16" i="39"/>
  <c r="G16" i="39" s="1"/>
  <c r="B15" i="39"/>
  <c r="M15" i="39" s="1"/>
  <c r="B26" i="38"/>
  <c r="K26" i="38" s="1"/>
  <c r="B25" i="38"/>
  <c r="M25" i="38" s="1"/>
  <c r="B24" i="38"/>
  <c r="L24" i="38" s="1"/>
  <c r="B23" i="38"/>
  <c r="L23" i="38" s="1"/>
  <c r="B22" i="38"/>
  <c r="K22" i="38" s="1"/>
  <c r="B21" i="38"/>
  <c r="M21" i="38" s="1"/>
  <c r="B20" i="38"/>
  <c r="M20" i="38" s="1"/>
  <c r="B19" i="38"/>
  <c r="M19" i="38" s="1"/>
  <c r="B18" i="38"/>
  <c r="K18" i="38" s="1"/>
  <c r="B17" i="38"/>
  <c r="K17" i="38" s="1"/>
  <c r="B16" i="38"/>
  <c r="L16" i="38" s="1"/>
  <c r="B15" i="38"/>
  <c r="L15" i="38" s="1"/>
  <c r="C26" i="38"/>
  <c r="C25" i="38"/>
  <c r="C24" i="38"/>
  <c r="C23" i="38"/>
  <c r="C22" i="38"/>
  <c r="C21" i="38"/>
  <c r="C20" i="38"/>
  <c r="C19" i="38"/>
  <c r="C18" i="38"/>
  <c r="C17" i="38"/>
  <c r="C16" i="38"/>
  <c r="C15" i="38"/>
  <c r="K8" i="37"/>
  <c r="E30" i="37"/>
  <c r="E15" i="40" s="1"/>
  <c r="B44" i="37"/>
  <c r="F41" i="37"/>
  <c r="F26" i="40" s="1"/>
  <c r="F40" i="37"/>
  <c r="F25" i="40" s="1"/>
  <c r="F39" i="37"/>
  <c r="F24" i="40" s="1"/>
  <c r="F38" i="37"/>
  <c r="F23" i="40" s="1"/>
  <c r="F37" i="37"/>
  <c r="F36" i="37"/>
  <c r="F21" i="39" s="1"/>
  <c r="F35" i="37"/>
  <c r="F34" i="37"/>
  <c r="F19" i="39" s="1"/>
  <c r="F33" i="37"/>
  <c r="F18" i="40" s="1"/>
  <c r="F32" i="37"/>
  <c r="F17" i="39" s="1"/>
  <c r="F31" i="37"/>
  <c r="F16" i="40" s="1"/>
  <c r="F30" i="37"/>
  <c r="F15" i="40" s="1"/>
  <c r="E41" i="37"/>
  <c r="E40" i="37"/>
  <c r="E25" i="40" s="1"/>
  <c r="E39" i="37"/>
  <c r="E24" i="39" s="1"/>
  <c r="E38" i="37"/>
  <c r="E23" i="40" s="1"/>
  <c r="E37" i="37"/>
  <c r="E22" i="40" s="1"/>
  <c r="E36" i="37"/>
  <c r="E21" i="39" s="1"/>
  <c r="E35" i="37"/>
  <c r="E20" i="40" s="1"/>
  <c r="E34" i="37"/>
  <c r="E19" i="39" s="1"/>
  <c r="E33" i="37"/>
  <c r="E32" i="37"/>
  <c r="E17" i="39" s="1"/>
  <c r="E31" i="37"/>
  <c r="E16" i="39" s="1"/>
  <c r="L19" i="38" l="1"/>
  <c r="L26" i="38"/>
  <c r="K20" i="39"/>
  <c r="K21" i="38"/>
  <c r="K19" i="38"/>
  <c r="M19" i="40"/>
  <c r="E20" i="38"/>
  <c r="F20" i="38"/>
  <c r="E21" i="38"/>
  <c r="F21" i="38"/>
  <c r="E22" i="38"/>
  <c r="F22" i="38"/>
  <c r="F18" i="38"/>
  <c r="E18" i="38"/>
  <c r="F26" i="38"/>
  <c r="E26" i="38"/>
  <c r="F19" i="38"/>
  <c r="E19" i="38"/>
  <c r="E15" i="38"/>
  <c r="F15" i="38"/>
  <c r="E23" i="38"/>
  <c r="F23" i="38"/>
  <c r="F16" i="38"/>
  <c r="E16" i="38"/>
  <c r="F24" i="38"/>
  <c r="E24" i="38"/>
  <c r="F17" i="38"/>
  <c r="E17" i="38"/>
  <c r="F25" i="38"/>
  <c r="E25" i="38"/>
  <c r="K24" i="39"/>
  <c r="L21" i="39"/>
  <c r="L25" i="39"/>
  <c r="M25" i="39"/>
  <c r="L17" i="39"/>
  <c r="G25" i="39"/>
  <c r="L18" i="38"/>
  <c r="M17" i="39"/>
  <c r="K17" i="40"/>
  <c r="G23" i="39"/>
  <c r="G17" i="39"/>
  <c r="L20" i="40"/>
  <c r="L17" i="40"/>
  <c r="K15" i="38"/>
  <c r="L17" i="38"/>
  <c r="L20" i="39"/>
  <c r="K21" i="40"/>
  <c r="G22" i="39"/>
  <c r="G19" i="39"/>
  <c r="L24" i="40"/>
  <c r="K25" i="38"/>
  <c r="L21" i="38"/>
  <c r="L15" i="39"/>
  <c r="K23" i="39"/>
  <c r="K25" i="40"/>
  <c r="L21" i="40"/>
  <c r="K15" i="39"/>
  <c r="M22" i="39"/>
  <c r="K23" i="38"/>
  <c r="L25" i="38"/>
  <c r="K16" i="39"/>
  <c r="L23" i="39"/>
  <c r="G15" i="39"/>
  <c r="L16" i="40"/>
  <c r="L25" i="40"/>
  <c r="F16" i="39"/>
  <c r="E23" i="39"/>
  <c r="F25" i="39"/>
  <c r="E19" i="40"/>
  <c r="E21" i="40"/>
  <c r="E25" i="39"/>
  <c r="E17" i="40"/>
  <c r="F19" i="40"/>
  <c r="F22" i="39"/>
  <c r="F20" i="39"/>
  <c r="E15" i="39"/>
  <c r="F20" i="40"/>
  <c r="E22" i="39"/>
  <c r="E20" i="39"/>
  <c r="F18" i="39"/>
  <c r="F17" i="40"/>
  <c r="F26" i="39"/>
  <c r="E18" i="40"/>
  <c r="F21" i="40"/>
  <c r="E26" i="40"/>
  <c r="E16" i="40"/>
  <c r="E24" i="40"/>
  <c r="E26" i="39"/>
  <c r="F24" i="39"/>
  <c r="E18" i="39"/>
  <c r="F22" i="40"/>
  <c r="F23" i="39"/>
  <c r="F15" i="39"/>
  <c r="M22" i="38"/>
  <c r="M18" i="40"/>
  <c r="M23" i="38"/>
  <c r="G16" i="38"/>
  <c r="M20" i="39"/>
  <c r="M20" i="40"/>
  <c r="K20" i="38"/>
  <c r="G17" i="38"/>
  <c r="G25" i="38"/>
  <c r="L20" i="38"/>
  <c r="M17" i="38"/>
  <c r="L18" i="39"/>
  <c r="K21" i="39"/>
  <c r="L26" i="39"/>
  <c r="K18" i="40"/>
  <c r="K22" i="40"/>
  <c r="K26" i="40"/>
  <c r="G22" i="38"/>
  <c r="G24" i="38"/>
  <c r="M16" i="38"/>
  <c r="K18" i="39"/>
  <c r="G18" i="38"/>
  <c r="G26" i="38"/>
  <c r="M18" i="38"/>
  <c r="M26" i="38"/>
  <c r="M18" i="39"/>
  <c r="L22" i="40"/>
  <c r="G19" i="38"/>
  <c r="M15" i="38"/>
  <c r="L22" i="38"/>
  <c r="L16" i="39"/>
  <c r="K19" i="39"/>
  <c r="M21" i="39"/>
  <c r="L24" i="39"/>
  <c r="G26" i="39"/>
  <c r="K15" i="40"/>
  <c r="K19" i="40"/>
  <c r="K23" i="40"/>
  <c r="M15" i="40"/>
  <c r="M23" i="40"/>
  <c r="M26" i="40"/>
  <c r="G15" i="38"/>
  <c r="G23" i="38"/>
  <c r="M24" i="38"/>
  <c r="K26" i="39"/>
  <c r="G20" i="38"/>
  <c r="M16" i="39"/>
  <c r="L19" i="39"/>
  <c r="K22" i="39"/>
  <c r="M24" i="39"/>
  <c r="M16" i="40"/>
  <c r="M24" i="40"/>
  <c r="K24" i="38"/>
  <c r="K16" i="38"/>
  <c r="G21" i="38"/>
  <c r="K11" i="37"/>
  <c r="Z16" i="43" s="1"/>
  <c r="BQ16" i="43" s="1"/>
  <c r="K10" i="37"/>
  <c r="K9" i="37"/>
  <c r="X2" i="43"/>
  <c r="EP18" i="43" l="1"/>
  <c r="AW40" i="41" s="1"/>
  <c r="EN18" i="43"/>
  <c r="AV40" i="41" s="1"/>
  <c r="DW18" i="43"/>
  <c r="AN40" i="41" s="1"/>
  <c r="DU18" i="43"/>
  <c r="AM40" i="41" s="1"/>
  <c r="DD18" i="43"/>
  <c r="AE40" i="41" s="1"/>
  <c r="DB18" i="43"/>
  <c r="AD40" i="41" s="1"/>
  <c r="CK18" i="43"/>
  <c r="V40" i="41" s="1"/>
  <c r="CI18" i="43"/>
  <c r="U40" i="41" s="1"/>
  <c r="BR18" i="43"/>
  <c r="M40" i="41" s="1"/>
  <c r="BR16" i="43"/>
  <c r="M38" i="41" s="1"/>
  <c r="BP18" i="43"/>
  <c r="L40" i="41" s="1"/>
  <c r="BO16" i="43"/>
  <c r="AY18" i="43"/>
  <c r="D40" i="41" s="1"/>
  <c r="AW18" i="43"/>
  <c r="C40" i="41" s="1"/>
  <c r="AC16" i="43"/>
  <c r="AD16" i="43" s="1"/>
  <c r="AV16" i="43"/>
  <c r="AB23" i="43"/>
  <c r="AD18" i="43"/>
  <c r="AA16" i="43"/>
  <c r="AB16" i="43" s="1"/>
  <c r="DV16" i="43"/>
  <c r="EO16" i="43"/>
  <c r="DC16" i="43"/>
  <c r="CJ16" i="43"/>
  <c r="AX16" i="43"/>
  <c r="EM16" i="43"/>
  <c r="DT16" i="43"/>
  <c r="DA16" i="43"/>
  <c r="CH16" i="43"/>
  <c r="Z12" i="43"/>
  <c r="BQ12" i="43" s="1"/>
  <c r="BR12" i="43" s="1"/>
  <c r="M34" i="41" s="1"/>
  <c r="Z5" i="43"/>
  <c r="BQ5" i="43" s="1"/>
  <c r="BR5" i="43" s="1"/>
  <c r="M27" i="41" s="1"/>
  <c r="Z8" i="43"/>
  <c r="BQ8" i="43" s="1"/>
  <c r="BR8" i="43" s="1"/>
  <c r="Z22" i="43"/>
  <c r="BQ22" i="43" s="1"/>
  <c r="BR22" i="43" s="1"/>
  <c r="M31" i="41" s="1"/>
  <c r="Z20" i="43"/>
  <c r="BQ20" i="43" s="1"/>
  <c r="BR20" i="43" s="1"/>
  <c r="Z19" i="43"/>
  <c r="BQ19" i="43" s="1"/>
  <c r="BR19" i="43" s="1"/>
  <c r="Z21" i="43"/>
  <c r="BQ21" i="43" s="1"/>
  <c r="BR21" i="43" s="1"/>
  <c r="Z14" i="43"/>
  <c r="BQ14" i="43" s="1"/>
  <c r="BR14" i="43" s="1"/>
  <c r="M36" i="41" s="1"/>
  <c r="Z3" i="43"/>
  <c r="BQ3" i="43" s="1"/>
  <c r="BR3" i="43" s="1"/>
  <c r="M25" i="41" s="1"/>
  <c r="Y18" i="43"/>
  <c r="Z10" i="43"/>
  <c r="BQ10" i="43" s="1"/>
  <c r="BR10" i="43" s="1"/>
  <c r="M32" i="41" s="1"/>
  <c r="Z7" i="43"/>
  <c r="BQ7" i="43" s="1"/>
  <c r="BR7" i="43" s="1"/>
  <c r="Z4" i="43"/>
  <c r="BQ4" i="43" s="1"/>
  <c r="BR4" i="43" s="1"/>
  <c r="M26" i="41" s="1"/>
  <c r="Z17" i="43"/>
  <c r="BQ17" i="43" s="1"/>
  <c r="BR17" i="43" s="1"/>
  <c r="M39" i="41" s="1"/>
  <c r="Z6" i="43"/>
  <c r="BQ6" i="43" s="1"/>
  <c r="BR6" i="43" s="1"/>
  <c r="AY40" i="41" l="1"/>
  <c r="AX40" i="41"/>
  <c r="AP40" i="41"/>
  <c r="AO40" i="41"/>
  <c r="AF40" i="41"/>
  <c r="AG40" i="41"/>
  <c r="X40" i="41"/>
  <c r="W40" i="41"/>
  <c r="M41" i="41"/>
  <c r="M28" i="41"/>
  <c r="M43" i="41"/>
  <c r="M30" i="41"/>
  <c r="M42" i="41"/>
  <c r="M29" i="41"/>
  <c r="N40" i="41"/>
  <c r="O40" i="41"/>
  <c r="F40" i="41"/>
  <c r="E40" i="41"/>
  <c r="EP16" i="43"/>
  <c r="AW38" i="41" s="1"/>
  <c r="AX38" i="41" s="1"/>
  <c r="EN16" i="43"/>
  <c r="AV38" i="41" s="1"/>
  <c r="DW16" i="43"/>
  <c r="AN38" i="41" s="1"/>
  <c r="DU16" i="43"/>
  <c r="AM38" i="41" s="1"/>
  <c r="DD16" i="43"/>
  <c r="AE38" i="41" s="1"/>
  <c r="DB16" i="43"/>
  <c r="AD38" i="41" s="1"/>
  <c r="CK16" i="43"/>
  <c r="V38" i="41" s="1"/>
  <c r="CI16" i="43"/>
  <c r="U38" i="41" s="1"/>
  <c r="BP16" i="43"/>
  <c r="L38" i="41" s="1"/>
  <c r="O38" i="41" s="1"/>
  <c r="BO17" i="43"/>
  <c r="BP17" i="43" s="1"/>
  <c r="L39" i="41" s="1"/>
  <c r="BO19" i="43"/>
  <c r="BP19" i="43" s="1"/>
  <c r="BO22" i="43"/>
  <c r="BP22" i="43" s="1"/>
  <c r="L31" i="41" s="1"/>
  <c r="BO20" i="43"/>
  <c r="BP20" i="43" s="1"/>
  <c r="BO21" i="43"/>
  <c r="BP21" i="43" s="1"/>
  <c r="BQ15" i="43"/>
  <c r="BO14" i="43"/>
  <c r="BQ13" i="43"/>
  <c r="BO12" i="43"/>
  <c r="BQ11" i="43"/>
  <c r="BO10" i="43"/>
  <c r="BO7" i="43"/>
  <c r="BP7" i="43" s="1"/>
  <c r="BO6" i="43"/>
  <c r="BP6" i="43" s="1"/>
  <c r="BO8" i="43"/>
  <c r="BP8" i="43" s="1"/>
  <c r="BO5" i="43"/>
  <c r="BP5" i="43" s="1"/>
  <c r="L27" i="41" s="1"/>
  <c r="BO4" i="43"/>
  <c r="BP4" i="43" s="1"/>
  <c r="L26" i="41" s="1"/>
  <c r="BO3" i="43"/>
  <c r="BP3" i="43" s="1"/>
  <c r="L25" i="41" s="1"/>
  <c r="BR15" i="43"/>
  <c r="M37" i="41" s="1"/>
  <c r="AY16" i="43"/>
  <c r="D38" i="41" s="1"/>
  <c r="AW16" i="43"/>
  <c r="C38" i="41" s="1"/>
  <c r="AC22" i="43"/>
  <c r="AD22" i="43" s="1"/>
  <c r="AV22" i="43"/>
  <c r="AW22" i="43" s="1"/>
  <c r="C31" i="41" s="1"/>
  <c r="AC21" i="43"/>
  <c r="AD21" i="43" s="1"/>
  <c r="AV21" i="43"/>
  <c r="AC20" i="43"/>
  <c r="AD20" i="43" s="1"/>
  <c r="AV20" i="43"/>
  <c r="AC19" i="43"/>
  <c r="AD19" i="43" s="1"/>
  <c r="AV19" i="43"/>
  <c r="AC17" i="43"/>
  <c r="AD17" i="43" s="1"/>
  <c r="AV17" i="43"/>
  <c r="AC14" i="43"/>
  <c r="AD14" i="43" s="1"/>
  <c r="AD15" i="43" s="1"/>
  <c r="AV14" i="43"/>
  <c r="AV15" i="43" s="1"/>
  <c r="AC12" i="43"/>
  <c r="AD12" i="43" s="1"/>
  <c r="AD13" i="43" s="1"/>
  <c r="AV12" i="43"/>
  <c r="AV13" i="43" s="1"/>
  <c r="AC10" i="43"/>
  <c r="AD10" i="43" s="1"/>
  <c r="AD11" i="43" s="1"/>
  <c r="AV10" i="43"/>
  <c r="AV11" i="43" s="1"/>
  <c r="AC6" i="43"/>
  <c r="AD6" i="43" s="1"/>
  <c r="AV6" i="43"/>
  <c r="AW6" i="43" s="1"/>
  <c r="AC8" i="43"/>
  <c r="AD8" i="43" s="1"/>
  <c r="AD9" i="43" s="1"/>
  <c r="AV8" i="43"/>
  <c r="AV9" i="43" s="1"/>
  <c r="AC5" i="43"/>
  <c r="AD5" i="43" s="1"/>
  <c r="AV5" i="43"/>
  <c r="AC4" i="43"/>
  <c r="AD4" i="43" s="1"/>
  <c r="AV4" i="43"/>
  <c r="AC7" i="43"/>
  <c r="AD7" i="43" s="1"/>
  <c r="AV7" i="43"/>
  <c r="AW7" i="43" s="1"/>
  <c r="AC3" i="43"/>
  <c r="AD3" i="43" s="1"/>
  <c r="AV3" i="43"/>
  <c r="AA21" i="43"/>
  <c r="AA3" i="43"/>
  <c r="AB3" i="43" s="1"/>
  <c r="K15" i="37" s="1"/>
  <c r="AA12" i="43"/>
  <c r="AB12" i="43" s="1"/>
  <c r="AA14" i="43"/>
  <c r="AB14" i="43" s="1"/>
  <c r="AB15" i="43" s="1"/>
  <c r="AA6" i="43"/>
  <c r="AB6" i="43" s="1"/>
  <c r="K18" i="37" s="1"/>
  <c r="AA19" i="43"/>
  <c r="AA4" i="43"/>
  <c r="AB4" i="43" s="1"/>
  <c r="K16" i="37" s="1"/>
  <c r="AA7" i="43"/>
  <c r="AB7" i="43" s="1"/>
  <c r="K19" i="37" s="1"/>
  <c r="AA22" i="43"/>
  <c r="AA20" i="43"/>
  <c r="AA10" i="43"/>
  <c r="AB10" i="43" s="1"/>
  <c r="AA8" i="43"/>
  <c r="AA5" i="43"/>
  <c r="AB5" i="43" s="1"/>
  <c r="K17" i="37" s="1"/>
  <c r="EO8" i="43"/>
  <c r="DV8" i="43"/>
  <c r="CJ8" i="43"/>
  <c r="CK8" i="43" s="1"/>
  <c r="DC8" i="43"/>
  <c r="EO3" i="43"/>
  <c r="EP3" i="43" s="1"/>
  <c r="AW25" i="41" s="1"/>
  <c r="DV3" i="43"/>
  <c r="DW3" i="43" s="1"/>
  <c r="AN25" i="41" s="1"/>
  <c r="CJ3" i="43"/>
  <c r="DC3" i="43"/>
  <c r="DD3" i="43" s="1"/>
  <c r="AE25" i="41" s="1"/>
  <c r="EO5" i="43"/>
  <c r="DV5" i="43"/>
  <c r="CJ5" i="43"/>
  <c r="CK5" i="43" s="1"/>
  <c r="V27" i="41" s="1"/>
  <c r="DC5" i="43"/>
  <c r="EO14" i="43"/>
  <c r="EO15" i="43" s="1"/>
  <c r="DV14" i="43"/>
  <c r="CJ14" i="43"/>
  <c r="CK14" i="43" s="1"/>
  <c r="V36" i="41" s="1"/>
  <c r="DC14" i="43"/>
  <c r="DC12" i="43"/>
  <c r="DV12" i="43"/>
  <c r="CJ12" i="43"/>
  <c r="CK12" i="43" s="1"/>
  <c r="V34" i="41" s="1"/>
  <c r="EO12" i="43"/>
  <c r="EO13" i="43" s="1"/>
  <c r="EO6" i="43"/>
  <c r="EP6" i="43" s="1"/>
  <c r="DV6" i="43"/>
  <c r="DW6" i="43" s="1"/>
  <c r="CJ6" i="43"/>
  <c r="CK6" i="43" s="1"/>
  <c r="DC6" i="43"/>
  <c r="DD6" i="43" s="1"/>
  <c r="EO21" i="43"/>
  <c r="EP21" i="43" s="1"/>
  <c r="DC21" i="43"/>
  <c r="DD21" i="43" s="1"/>
  <c r="DV21" i="43"/>
  <c r="DW21" i="43" s="1"/>
  <c r="CJ21" i="43"/>
  <c r="CK21" i="43" s="1"/>
  <c r="DV17" i="43"/>
  <c r="CJ17" i="43"/>
  <c r="CK17" i="43" s="1"/>
  <c r="V39" i="41" s="1"/>
  <c r="EO17" i="43"/>
  <c r="DC17" i="43"/>
  <c r="EO19" i="43"/>
  <c r="EP19" i="43" s="1"/>
  <c r="DC19" i="43"/>
  <c r="DD19" i="43" s="1"/>
  <c r="DV19" i="43"/>
  <c r="DW19" i="43" s="1"/>
  <c r="CJ19" i="43"/>
  <c r="CK19" i="43" s="1"/>
  <c r="CJ4" i="43"/>
  <c r="CK4" i="43" s="1"/>
  <c r="V26" i="41" s="1"/>
  <c r="DC4" i="43"/>
  <c r="EO4" i="43"/>
  <c r="DV4" i="43"/>
  <c r="EO20" i="43"/>
  <c r="EP20" i="43" s="1"/>
  <c r="DC20" i="43"/>
  <c r="DD20" i="43" s="1"/>
  <c r="DV20" i="43"/>
  <c r="DW20" i="43" s="1"/>
  <c r="CJ20" i="43"/>
  <c r="CK20" i="43" s="1"/>
  <c r="DC7" i="43"/>
  <c r="DD7" i="43" s="1"/>
  <c r="EO7" i="43"/>
  <c r="EP7" i="43" s="1"/>
  <c r="DV7" i="43"/>
  <c r="DW7" i="43" s="1"/>
  <c r="CJ7" i="43"/>
  <c r="CK7" i="43" s="1"/>
  <c r="EO22" i="43"/>
  <c r="DC22" i="43"/>
  <c r="DV22" i="43"/>
  <c r="CJ22" i="43"/>
  <c r="CK22" i="43" s="1"/>
  <c r="V31" i="41" s="1"/>
  <c r="DC10" i="43"/>
  <c r="EO10" i="43"/>
  <c r="EO11" i="43" s="1"/>
  <c r="DV10" i="43"/>
  <c r="CJ10" i="43"/>
  <c r="CK10" i="43" s="1"/>
  <c r="V32" i="41" s="1"/>
  <c r="AX19" i="43"/>
  <c r="AX4" i="43"/>
  <c r="AX22" i="43"/>
  <c r="AX10" i="43"/>
  <c r="AY10" i="43" s="1"/>
  <c r="AX8" i="43"/>
  <c r="AX17" i="43"/>
  <c r="AX7" i="43"/>
  <c r="AY7" i="43" s="1"/>
  <c r="AX3" i="43"/>
  <c r="AY3" i="43" s="1"/>
  <c r="D25" i="41" s="1"/>
  <c r="AX20" i="43"/>
  <c r="AX5" i="43"/>
  <c r="AX14" i="43"/>
  <c r="AY14" i="43" s="1"/>
  <c r="AX12" i="43"/>
  <c r="AY12" i="43" s="1"/>
  <c r="AX6" i="43"/>
  <c r="AY6" i="43" s="1"/>
  <c r="AX21" i="43"/>
  <c r="EM17" i="43"/>
  <c r="EN17" i="43" s="1"/>
  <c r="AV39" i="41" s="1"/>
  <c r="DT17" i="43"/>
  <c r="EM3" i="43"/>
  <c r="EN3" i="43" s="1"/>
  <c r="AV25" i="41" s="1"/>
  <c r="DT3" i="43"/>
  <c r="EM5" i="43"/>
  <c r="EN5" i="43" s="1"/>
  <c r="AV27" i="41" s="1"/>
  <c r="DT5" i="43"/>
  <c r="EM14" i="43"/>
  <c r="EN14" i="43" s="1"/>
  <c r="DT14" i="43"/>
  <c r="DU14" i="43" s="1"/>
  <c r="EM6" i="43"/>
  <c r="EN6" i="43" s="1"/>
  <c r="DT6" i="43"/>
  <c r="DU6" i="43" s="1"/>
  <c r="EM21" i="43"/>
  <c r="EN21" i="43" s="1"/>
  <c r="DT21" i="43"/>
  <c r="DU21" i="43" s="1"/>
  <c r="EM12" i="43"/>
  <c r="EN12" i="43" s="1"/>
  <c r="DT12" i="43"/>
  <c r="DU12" i="43" s="1"/>
  <c r="EM20" i="43"/>
  <c r="EN20" i="43" s="1"/>
  <c r="DT20" i="43"/>
  <c r="DU20" i="43" s="1"/>
  <c r="EM7" i="43"/>
  <c r="EN7" i="43" s="1"/>
  <c r="DT7" i="43"/>
  <c r="DU7" i="43" s="1"/>
  <c r="EM19" i="43"/>
  <c r="EN19" i="43" s="1"/>
  <c r="DT19" i="43"/>
  <c r="DU19" i="43" s="1"/>
  <c r="EM4" i="43"/>
  <c r="EN4" i="43" s="1"/>
  <c r="AV26" i="41" s="1"/>
  <c r="DT4" i="43"/>
  <c r="EM22" i="43"/>
  <c r="EN22" i="43" s="1"/>
  <c r="AV31" i="41" s="1"/>
  <c r="DT22" i="43"/>
  <c r="EM10" i="43"/>
  <c r="EN10" i="43" s="1"/>
  <c r="DT10" i="43"/>
  <c r="DU10" i="43" s="1"/>
  <c r="EM8" i="43"/>
  <c r="DT8" i="43"/>
  <c r="DA7" i="43"/>
  <c r="DB7" i="43" s="1"/>
  <c r="DA10" i="43"/>
  <c r="DB10" i="43" s="1"/>
  <c r="DA8" i="43"/>
  <c r="DA3" i="43"/>
  <c r="DB3" i="43" s="1"/>
  <c r="AD25" i="41" s="1"/>
  <c r="DA5" i="43"/>
  <c r="DA12" i="43"/>
  <c r="DB12" i="43" s="1"/>
  <c r="DA14" i="43"/>
  <c r="DB14" i="43" s="1"/>
  <c r="DA6" i="43"/>
  <c r="DB6" i="43" s="1"/>
  <c r="DA21" i="43"/>
  <c r="DB21" i="43" s="1"/>
  <c r="DA17" i="43"/>
  <c r="DA19" i="43"/>
  <c r="DB19" i="43" s="1"/>
  <c r="DA20" i="43"/>
  <c r="DB20" i="43" s="1"/>
  <c r="DA22" i="43"/>
  <c r="DA4" i="43"/>
  <c r="CH17" i="43"/>
  <c r="CI17" i="43" s="1"/>
  <c r="U39" i="41" s="1"/>
  <c r="CH4" i="43"/>
  <c r="CI4" i="43" s="1"/>
  <c r="U26" i="41" s="1"/>
  <c r="CH20" i="43"/>
  <c r="CI20" i="43" s="1"/>
  <c r="CH7" i="43"/>
  <c r="CI7" i="43" s="1"/>
  <c r="CH22" i="43"/>
  <c r="CI22" i="43" s="1"/>
  <c r="U31" i="41" s="1"/>
  <c r="CH12" i="43"/>
  <c r="CH8" i="43"/>
  <c r="CI8" i="43" s="1"/>
  <c r="CH10" i="43"/>
  <c r="CH19" i="43"/>
  <c r="CI19" i="43" s="1"/>
  <c r="CH3" i="43"/>
  <c r="CI3" i="43" s="1"/>
  <c r="U25" i="41" s="1"/>
  <c r="CH5" i="43"/>
  <c r="CI5" i="43" s="1"/>
  <c r="U27" i="41" s="1"/>
  <c r="CH14" i="43"/>
  <c r="CH6" i="43"/>
  <c r="CI6" i="43" s="1"/>
  <c r="CH21" i="43"/>
  <c r="CI21" i="43" s="1"/>
  <c r="AA17" i="43"/>
  <c r="AB17" i="43" s="1"/>
  <c r="D47" i="39"/>
  <c r="D47" i="38"/>
  <c r="D47" i="40"/>
  <c r="L23" i="37"/>
  <c r="C47" i="39"/>
  <c r="C47" i="40"/>
  <c r="C47" i="38"/>
  <c r="AP38" i="41" l="1"/>
  <c r="AW42" i="41"/>
  <c r="AW29" i="41"/>
  <c r="AW41" i="41"/>
  <c r="AW28" i="41"/>
  <c r="AW43" i="41"/>
  <c r="AW30" i="41"/>
  <c r="AY38" i="41"/>
  <c r="EN11" i="43"/>
  <c r="AV33" i="41" s="1"/>
  <c r="AV32" i="41"/>
  <c r="AV42" i="41"/>
  <c r="AV29" i="41"/>
  <c r="EN13" i="43"/>
  <c r="AV35" i="41" s="1"/>
  <c r="AV34" i="41"/>
  <c r="EN15" i="43"/>
  <c r="AV37" i="41" s="1"/>
  <c r="AV36" i="41"/>
  <c r="AV41" i="41"/>
  <c r="AV28" i="41"/>
  <c r="AV30" i="41"/>
  <c r="AV43" i="41"/>
  <c r="AN42" i="41"/>
  <c r="AN29" i="41"/>
  <c r="AN41" i="41"/>
  <c r="AN28" i="41"/>
  <c r="AN43" i="41"/>
  <c r="AN30" i="41"/>
  <c r="DU13" i="43"/>
  <c r="AM35" i="41" s="1"/>
  <c r="AM34" i="41"/>
  <c r="DU11" i="43"/>
  <c r="AM33" i="41" s="1"/>
  <c r="AM32" i="41"/>
  <c r="AM29" i="41"/>
  <c r="AM42" i="41"/>
  <c r="DU15" i="43"/>
  <c r="AM37" i="41" s="1"/>
  <c r="AM36" i="41"/>
  <c r="AF38" i="41"/>
  <c r="AM41" i="41"/>
  <c r="AM28" i="41"/>
  <c r="AM43" i="41"/>
  <c r="AM30" i="41"/>
  <c r="AO38" i="41"/>
  <c r="DU3" i="43"/>
  <c r="AM25" i="41" s="1"/>
  <c r="X38" i="41"/>
  <c r="AE42" i="41"/>
  <c r="AE29" i="41"/>
  <c r="AE41" i="41"/>
  <c r="AE28" i="41"/>
  <c r="AE43" i="41"/>
  <c r="AE30" i="41"/>
  <c r="DB15" i="43"/>
  <c r="AD37" i="41" s="1"/>
  <c r="AD36" i="41"/>
  <c r="AG38" i="41"/>
  <c r="AD29" i="41"/>
  <c r="AD42" i="41"/>
  <c r="AD41" i="41"/>
  <c r="AD28" i="41"/>
  <c r="DB11" i="43"/>
  <c r="AD33" i="41" s="1"/>
  <c r="AD32" i="41"/>
  <c r="AD30" i="41"/>
  <c r="AD43" i="41"/>
  <c r="DB13" i="43"/>
  <c r="AD35" i="41" s="1"/>
  <c r="AD34" i="41"/>
  <c r="V41" i="41"/>
  <c r="V28" i="41"/>
  <c r="V42" i="41"/>
  <c r="V29" i="41"/>
  <c r="V43" i="41"/>
  <c r="V30" i="41"/>
  <c r="W38" i="41"/>
  <c r="CK3" i="43"/>
  <c r="V25" i="41" s="1"/>
  <c r="U43" i="41"/>
  <c r="U30" i="41"/>
  <c r="U42" i="41"/>
  <c r="U29" i="41"/>
  <c r="U41" i="41"/>
  <c r="U28" i="41"/>
  <c r="L43" i="41"/>
  <c r="L30" i="41"/>
  <c r="L29" i="41"/>
  <c r="L42" i="41"/>
  <c r="N38" i="41"/>
  <c r="L28" i="41"/>
  <c r="L41" i="41"/>
  <c r="E38" i="41"/>
  <c r="AY13" i="43"/>
  <c r="D35" i="41" s="1"/>
  <c r="D34" i="41"/>
  <c r="AY11" i="43"/>
  <c r="D33" i="41" s="1"/>
  <c r="D32" i="41"/>
  <c r="AY15" i="43"/>
  <c r="D37" i="41" s="1"/>
  <c r="D36" i="41"/>
  <c r="F38" i="41"/>
  <c r="AW3" i="43"/>
  <c r="C25" i="41" s="1"/>
  <c r="EP8" i="43"/>
  <c r="EP9" i="43" s="1"/>
  <c r="EO9" i="43"/>
  <c r="EN8" i="43"/>
  <c r="EN9" i="43" s="1"/>
  <c r="EM9" i="43"/>
  <c r="EP22" i="43"/>
  <c r="AW31" i="41" s="1"/>
  <c r="EP17" i="43"/>
  <c r="AW39" i="41" s="1"/>
  <c r="EP14" i="43"/>
  <c r="EP12" i="43"/>
  <c r="EP10" i="43"/>
  <c r="EP5" i="43"/>
  <c r="AW27" i="41" s="1"/>
  <c r="EP4" i="43"/>
  <c r="AW26" i="41" s="1"/>
  <c r="DW14" i="43"/>
  <c r="DV15" i="43"/>
  <c r="DW12" i="43"/>
  <c r="DV13" i="43"/>
  <c r="DW10" i="43"/>
  <c r="DV11" i="43"/>
  <c r="DW8" i="43"/>
  <c r="DW9" i="43" s="1"/>
  <c r="DV9" i="43"/>
  <c r="DU8" i="43"/>
  <c r="DU9" i="43" s="1"/>
  <c r="DT9" i="43"/>
  <c r="DW22" i="43"/>
  <c r="AN31" i="41" s="1"/>
  <c r="DW17" i="43"/>
  <c r="AN39" i="41" s="1"/>
  <c r="DW5" i="43"/>
  <c r="AN27" i="41" s="1"/>
  <c r="DW4" i="43"/>
  <c r="AN26" i="41" s="1"/>
  <c r="DU22" i="43"/>
  <c r="AM31" i="41" s="1"/>
  <c r="DU17" i="43"/>
  <c r="AM39" i="41" s="1"/>
  <c r="DU4" i="43"/>
  <c r="AM26" i="41" s="1"/>
  <c r="DU5" i="43"/>
  <c r="AM27" i="41" s="1"/>
  <c r="DD14" i="43"/>
  <c r="DC15" i="43"/>
  <c r="DD12" i="43"/>
  <c r="DC13" i="43"/>
  <c r="DD10" i="43"/>
  <c r="DC11" i="43"/>
  <c r="DD8" i="43"/>
  <c r="DD9" i="43" s="1"/>
  <c r="DC9" i="43"/>
  <c r="DB8" i="43"/>
  <c r="DB9" i="43" s="1"/>
  <c r="DA9" i="43"/>
  <c r="DD17" i="43"/>
  <c r="AE39" i="41" s="1"/>
  <c r="DD22" i="43"/>
  <c r="AE31" i="41" s="1"/>
  <c r="DD5" i="43"/>
  <c r="AE27" i="41" s="1"/>
  <c r="DD4" i="43"/>
  <c r="AE26" i="41" s="1"/>
  <c r="DB22" i="43"/>
  <c r="AD31" i="41" s="1"/>
  <c r="DB17" i="43"/>
  <c r="AD39" i="41" s="1"/>
  <c r="DB4" i="43"/>
  <c r="AD26" i="41" s="1"/>
  <c r="DB5" i="43"/>
  <c r="AD27" i="41" s="1"/>
  <c r="CI14" i="43"/>
  <c r="CI12" i="43"/>
  <c r="CI10" i="43"/>
  <c r="BP14" i="43"/>
  <c r="BP12" i="43"/>
  <c r="BP10" i="43"/>
  <c r="CK15" i="43"/>
  <c r="V37" i="41" s="1"/>
  <c r="CJ15" i="43"/>
  <c r="CK13" i="43"/>
  <c r="V35" i="41" s="1"/>
  <c r="CJ13" i="43"/>
  <c r="CK11" i="43"/>
  <c r="V33" i="41" s="1"/>
  <c r="CJ11" i="43"/>
  <c r="CK9" i="43"/>
  <c r="CJ9" i="43"/>
  <c r="CI9" i="43"/>
  <c r="CH9" i="43"/>
  <c r="BR13" i="43"/>
  <c r="M35" i="41" s="1"/>
  <c r="BR9" i="43"/>
  <c r="BQ9" i="43"/>
  <c r="BP9" i="43"/>
  <c r="BO9" i="43"/>
  <c r="BR11" i="43"/>
  <c r="M33" i="41" s="1"/>
  <c r="O39" i="41"/>
  <c r="AB8" i="43"/>
  <c r="AB9" i="43" s="1"/>
  <c r="K21" i="37" s="1"/>
  <c r="AY21" i="43"/>
  <c r="AY17" i="43"/>
  <c r="D39" i="41" s="1"/>
  <c r="AY20" i="43"/>
  <c r="AY19" i="43"/>
  <c r="AY22" i="43"/>
  <c r="D31" i="41" s="1"/>
  <c r="AY4" i="43"/>
  <c r="D26" i="41" s="1"/>
  <c r="AX9" i="43"/>
  <c r="AY8" i="43"/>
  <c r="AY9" i="43" s="1"/>
  <c r="AY5" i="43"/>
  <c r="D27" i="41" s="1"/>
  <c r="AX15" i="43"/>
  <c r="AX13" i="43"/>
  <c r="AX11" i="43"/>
  <c r="AW8" i="43"/>
  <c r="AW9" i="43" s="1"/>
  <c r="AW19" i="43"/>
  <c r="AW21" i="43"/>
  <c r="AW17" i="43"/>
  <c r="C39" i="41" s="1"/>
  <c r="AW20" i="43"/>
  <c r="AW14" i="43"/>
  <c r="AW12" i="43"/>
  <c r="AW10" i="43"/>
  <c r="AW5" i="43"/>
  <c r="C27" i="41" s="1"/>
  <c r="AW4" i="43"/>
  <c r="C26" i="41" s="1"/>
  <c r="C32" i="40"/>
  <c r="AB19" i="43"/>
  <c r="K28" i="37" s="1"/>
  <c r="AB22" i="43"/>
  <c r="K31" i="37" s="1"/>
  <c r="AB20" i="43"/>
  <c r="K29" i="37" s="1"/>
  <c r="AB21" i="43"/>
  <c r="K30" i="37" s="1"/>
  <c r="AC13" i="43"/>
  <c r="D44" i="40" s="1"/>
  <c r="AB11" i="43"/>
  <c r="K23" i="37" s="1"/>
  <c r="N23" i="37" s="1"/>
  <c r="K22" i="37"/>
  <c r="K24" i="37"/>
  <c r="AB13" i="43"/>
  <c r="D43" i="38"/>
  <c r="CH11" i="43"/>
  <c r="BO11" i="43"/>
  <c r="DT15" i="43"/>
  <c r="CH15" i="43"/>
  <c r="DA13" i="43"/>
  <c r="DT11" i="43"/>
  <c r="BO15" i="43"/>
  <c r="EM11" i="43"/>
  <c r="EM15" i="43"/>
  <c r="CH13" i="43"/>
  <c r="DA11" i="43"/>
  <c r="EM13" i="43"/>
  <c r="DT13" i="43"/>
  <c r="BO13" i="43"/>
  <c r="DA15" i="43"/>
  <c r="D43" i="39"/>
  <c r="C43" i="40"/>
  <c r="C32" i="38"/>
  <c r="C43" i="39"/>
  <c r="C43" i="38"/>
  <c r="D43" i="40"/>
  <c r="C32" i="39"/>
  <c r="D30" i="38"/>
  <c r="D30" i="39"/>
  <c r="D30" i="40"/>
  <c r="D33" i="39"/>
  <c r="D33" i="40"/>
  <c r="D33" i="38"/>
  <c r="D39" i="39"/>
  <c r="D39" i="40"/>
  <c r="D39" i="38"/>
  <c r="D41" i="39"/>
  <c r="D41" i="40"/>
  <c r="D41" i="38"/>
  <c r="D48" i="39"/>
  <c r="D48" i="40"/>
  <c r="D48" i="38"/>
  <c r="E47" i="38"/>
  <c r="F47" i="38"/>
  <c r="D37" i="38"/>
  <c r="D37" i="40"/>
  <c r="D37" i="39"/>
  <c r="D36" i="40"/>
  <c r="D36" i="38"/>
  <c r="D36" i="39"/>
  <c r="D38" i="38"/>
  <c r="D38" i="39"/>
  <c r="D38" i="40"/>
  <c r="D31" i="39"/>
  <c r="D31" i="38"/>
  <c r="D31" i="40"/>
  <c r="D34" i="40"/>
  <c r="D34" i="39"/>
  <c r="D34" i="38"/>
  <c r="D35" i="40"/>
  <c r="D35" i="38"/>
  <c r="D35" i="39"/>
  <c r="D45" i="38"/>
  <c r="D45" i="39"/>
  <c r="D45" i="40"/>
  <c r="D32" i="39"/>
  <c r="D32" i="40"/>
  <c r="D32" i="38"/>
  <c r="L29" i="37"/>
  <c r="C31" i="40"/>
  <c r="C31" i="39"/>
  <c r="C31" i="38"/>
  <c r="L21" i="37"/>
  <c r="L16" i="37"/>
  <c r="L17" i="37"/>
  <c r="C45" i="39"/>
  <c r="C45" i="38"/>
  <c r="C45" i="40"/>
  <c r="C30" i="38"/>
  <c r="C30" i="40"/>
  <c r="C30" i="39"/>
  <c r="C33" i="38"/>
  <c r="C33" i="39"/>
  <c r="C33" i="40"/>
  <c r="C39" i="40"/>
  <c r="C39" i="38"/>
  <c r="C39" i="39"/>
  <c r="C38" i="39"/>
  <c r="C38" i="40"/>
  <c r="C38" i="38"/>
  <c r="L15" i="37"/>
  <c r="L28" i="37"/>
  <c r="AC9" i="43"/>
  <c r="C36" i="40"/>
  <c r="C36" i="39"/>
  <c r="C36" i="38"/>
  <c r="L19" i="37"/>
  <c r="L24" i="37"/>
  <c r="L31" i="37"/>
  <c r="C41" i="40"/>
  <c r="C41" i="39"/>
  <c r="C41" i="38"/>
  <c r="C48" i="40"/>
  <c r="C48" i="39"/>
  <c r="C48" i="38"/>
  <c r="C44" i="38"/>
  <c r="C44" i="40"/>
  <c r="C44" i="39"/>
  <c r="L18" i="37"/>
  <c r="C34" i="39"/>
  <c r="C34" i="40"/>
  <c r="C34" i="38"/>
  <c r="C35" i="40"/>
  <c r="C35" i="38"/>
  <c r="C35" i="39"/>
  <c r="L30" i="37"/>
  <c r="C37" i="39"/>
  <c r="C37" i="38"/>
  <c r="C37" i="40"/>
  <c r="E47" i="39"/>
  <c r="F47" i="39"/>
  <c r="F47" i="40"/>
  <c r="E47" i="40"/>
  <c r="AC15" i="43"/>
  <c r="AC11" i="43"/>
  <c r="L2" i="32" a="1"/>
  <c r="L2" i="32" s="1"/>
  <c r="EP13" i="43" l="1"/>
  <c r="AW35" i="41" s="1"/>
  <c r="AW34" i="41"/>
  <c r="AY34" i="41" s="1"/>
  <c r="EP15" i="43"/>
  <c r="AW37" i="41" s="1"/>
  <c r="AW36" i="41"/>
  <c r="AY36" i="41" s="1"/>
  <c r="EP11" i="43"/>
  <c r="AW33" i="41" s="1"/>
  <c r="AW32" i="41"/>
  <c r="AX32" i="41" s="1"/>
  <c r="DW13" i="43"/>
  <c r="AN35" i="41" s="1"/>
  <c r="AO35" i="41" s="1"/>
  <c r="AN34" i="41"/>
  <c r="AP34" i="41" s="1"/>
  <c r="DW11" i="43"/>
  <c r="AN33" i="41" s="1"/>
  <c r="AO33" i="41" s="1"/>
  <c r="AN32" i="41"/>
  <c r="AO32" i="41" s="1"/>
  <c r="DW15" i="43"/>
  <c r="AN37" i="41" s="1"/>
  <c r="AO37" i="41" s="1"/>
  <c r="AN36" i="41"/>
  <c r="AO36" i="41" s="1"/>
  <c r="DD13" i="43"/>
  <c r="AE35" i="41" s="1"/>
  <c r="AF35" i="41" s="1"/>
  <c r="AE34" i="41"/>
  <c r="AG34" i="41" s="1"/>
  <c r="DD15" i="43"/>
  <c r="AE37" i="41" s="1"/>
  <c r="AF37" i="41" s="1"/>
  <c r="AE36" i="41"/>
  <c r="AF36" i="41" s="1"/>
  <c r="DD11" i="43"/>
  <c r="AE33" i="41" s="1"/>
  <c r="AG33" i="41" s="1"/>
  <c r="AE32" i="41"/>
  <c r="AF32" i="41" s="1"/>
  <c r="CI15" i="43"/>
  <c r="U37" i="41" s="1"/>
  <c r="X37" i="41" s="1"/>
  <c r="U36" i="41"/>
  <c r="X36" i="41" s="1"/>
  <c r="CI11" i="43"/>
  <c r="U33" i="41" s="1"/>
  <c r="X33" i="41" s="1"/>
  <c r="U32" i="41"/>
  <c r="X32" i="41" s="1"/>
  <c r="CI13" i="43"/>
  <c r="U35" i="41" s="1"/>
  <c r="W35" i="41" s="1"/>
  <c r="U34" i="41"/>
  <c r="W34" i="41" s="1"/>
  <c r="BP11" i="43"/>
  <c r="L33" i="41" s="1"/>
  <c r="O33" i="41" s="1"/>
  <c r="L32" i="41"/>
  <c r="O32" i="41" s="1"/>
  <c r="BP13" i="43"/>
  <c r="L35" i="41" s="1"/>
  <c r="O35" i="41" s="1"/>
  <c r="L34" i="41"/>
  <c r="N34" i="41" s="1"/>
  <c r="BP15" i="43"/>
  <c r="L37" i="41" s="1"/>
  <c r="N37" i="41" s="1"/>
  <c r="L36" i="41"/>
  <c r="N36" i="41" s="1"/>
  <c r="D41" i="41"/>
  <c r="D28" i="41"/>
  <c r="D42" i="41"/>
  <c r="D29" i="41"/>
  <c r="D43" i="41"/>
  <c r="D30" i="41"/>
  <c r="AY28" i="41"/>
  <c r="AX28" i="41"/>
  <c r="AY27" i="41"/>
  <c r="AX27" i="41"/>
  <c r="AX41" i="41"/>
  <c r="AY41" i="41"/>
  <c r="AY43" i="41"/>
  <c r="AX43" i="41"/>
  <c r="AW11" i="43"/>
  <c r="C33" i="41" s="1"/>
  <c r="E33" i="41" s="1"/>
  <c r="C32" i="41"/>
  <c r="F32" i="41" s="1"/>
  <c r="AY26" i="41"/>
  <c r="AX26" i="41"/>
  <c r="AY30" i="41"/>
  <c r="AX30" i="41"/>
  <c r="AW13" i="43"/>
  <c r="C35" i="41" s="1"/>
  <c r="E35" i="41" s="1"/>
  <c r="C34" i="41"/>
  <c r="E34" i="41" s="1"/>
  <c r="AX25" i="41"/>
  <c r="AY25" i="41"/>
  <c r="AY39" i="41"/>
  <c r="AX39" i="41"/>
  <c r="AY31" i="41"/>
  <c r="AX31" i="41"/>
  <c r="AY42" i="41"/>
  <c r="AX42" i="41"/>
  <c r="C30" i="41"/>
  <c r="C43" i="41"/>
  <c r="C28" i="41"/>
  <c r="C41" i="41"/>
  <c r="AW15" i="43"/>
  <c r="C37" i="41" s="1"/>
  <c r="F37" i="41" s="1"/>
  <c r="C36" i="41"/>
  <c r="E36" i="41" s="1"/>
  <c r="C29" i="41"/>
  <c r="C42" i="41"/>
  <c r="AX29" i="41"/>
  <c r="AY29" i="41"/>
  <c r="AO25" i="41"/>
  <c r="AO31" i="41"/>
  <c r="AO39" i="41"/>
  <c r="AP39" i="41"/>
  <c r="AP26" i="41"/>
  <c r="AP27" i="41"/>
  <c r="AP31" i="41"/>
  <c r="AO26" i="41"/>
  <c r="AO27" i="41"/>
  <c r="AP25" i="41"/>
  <c r="AF25" i="41"/>
  <c r="AF39" i="41"/>
  <c r="AG39" i="41"/>
  <c r="AG31" i="41"/>
  <c r="AG26" i="41"/>
  <c r="AF27" i="41"/>
  <c r="AF31" i="41"/>
  <c r="AF26" i="41"/>
  <c r="AG27" i="41"/>
  <c r="AG25" i="41"/>
  <c r="X39" i="41"/>
  <c r="W31" i="41"/>
  <c r="X31" i="41"/>
  <c r="W25" i="41"/>
  <c r="W39" i="41"/>
  <c r="X27" i="41"/>
  <c r="X26" i="41"/>
  <c r="W26" i="41"/>
  <c r="W27" i="41"/>
  <c r="X25" i="41"/>
  <c r="O31" i="41"/>
  <c r="O27" i="41"/>
  <c r="O26" i="41"/>
  <c r="N27" i="41"/>
  <c r="N25" i="41"/>
  <c r="O25" i="41"/>
  <c r="N39" i="41"/>
  <c r="K20" i="37"/>
  <c r="N26" i="41"/>
  <c r="N31" i="41"/>
  <c r="E31" i="41"/>
  <c r="E39" i="41"/>
  <c r="E27" i="41"/>
  <c r="E26" i="41"/>
  <c r="E25" i="41"/>
  <c r="F31" i="41"/>
  <c r="F32" i="40"/>
  <c r="F27" i="41"/>
  <c r="F39" i="41"/>
  <c r="F26" i="41"/>
  <c r="F25" i="41"/>
  <c r="D44" i="38"/>
  <c r="E44" i="38" s="1"/>
  <c r="D44" i="39"/>
  <c r="F44" i="39" s="1"/>
  <c r="M23" i="37"/>
  <c r="F43" i="38"/>
  <c r="F32" i="39"/>
  <c r="E32" i="38"/>
  <c r="F43" i="40"/>
  <c r="AP30" i="41"/>
  <c r="AO30" i="41"/>
  <c r="AG30" i="41"/>
  <c r="AF30" i="41"/>
  <c r="O42" i="41"/>
  <c r="N42" i="41"/>
  <c r="AO43" i="41"/>
  <c r="AP43" i="41"/>
  <c r="W41" i="41"/>
  <c r="X41" i="41"/>
  <c r="AF43" i="41"/>
  <c r="AG43" i="41"/>
  <c r="O29" i="41"/>
  <c r="N29" i="41"/>
  <c r="AG29" i="41"/>
  <c r="AF29" i="41"/>
  <c r="O28" i="41"/>
  <c r="N28" i="41"/>
  <c r="AP28" i="41"/>
  <c r="AO28" i="41"/>
  <c r="X30" i="41"/>
  <c r="W30" i="41"/>
  <c r="AP29" i="41"/>
  <c r="AO29" i="41"/>
  <c r="W29" i="41"/>
  <c r="X29" i="41"/>
  <c r="X28" i="41"/>
  <c r="W28" i="41"/>
  <c r="AG42" i="41"/>
  <c r="AF42" i="41"/>
  <c r="O41" i="41"/>
  <c r="N41" i="41"/>
  <c r="AP41" i="41"/>
  <c r="AO41" i="41"/>
  <c r="X43" i="41"/>
  <c r="W43" i="41"/>
  <c r="AP42" i="41"/>
  <c r="AO42" i="41"/>
  <c r="X42" i="41"/>
  <c r="W42" i="41"/>
  <c r="O43" i="41"/>
  <c r="N43" i="41"/>
  <c r="AF41" i="41"/>
  <c r="AG41" i="41"/>
  <c r="O30" i="41"/>
  <c r="N30" i="41"/>
  <c r="AF28" i="41"/>
  <c r="AG28" i="41"/>
  <c r="F43" i="39"/>
  <c r="E43" i="39"/>
  <c r="E43" i="40"/>
  <c r="E32" i="39"/>
  <c r="E43" i="38"/>
  <c r="E32" i="40"/>
  <c r="E48" i="38"/>
  <c r="F48" i="38"/>
  <c r="E33" i="38"/>
  <c r="F33" i="38"/>
  <c r="D40" i="39"/>
  <c r="D40" i="40"/>
  <c r="D40" i="38"/>
  <c r="F32" i="38"/>
  <c r="F45" i="38"/>
  <c r="E45" i="38"/>
  <c r="D42" i="40"/>
  <c r="D42" i="38"/>
  <c r="D42" i="39"/>
  <c r="E39" i="38"/>
  <c r="F39" i="38"/>
  <c r="E41" i="38"/>
  <c r="F41" i="38"/>
  <c r="F38" i="38"/>
  <c r="E38" i="38"/>
  <c r="F30" i="38"/>
  <c r="E30" i="38"/>
  <c r="E31" i="38"/>
  <c r="F31" i="38"/>
  <c r="F34" i="38"/>
  <c r="E34" i="38"/>
  <c r="F35" i="38"/>
  <c r="E35" i="38"/>
  <c r="F36" i="38"/>
  <c r="E36" i="38"/>
  <c r="D46" i="38"/>
  <c r="D46" i="39"/>
  <c r="D46" i="40"/>
  <c r="F37" i="38"/>
  <c r="E37" i="38"/>
  <c r="M16" i="37"/>
  <c r="N21" i="37"/>
  <c r="M24" i="37"/>
  <c r="N17" i="37"/>
  <c r="N18" i="37"/>
  <c r="N15" i="37"/>
  <c r="N16" i="37"/>
  <c r="F36" i="39"/>
  <c r="E36" i="39"/>
  <c r="F30" i="40"/>
  <c r="E30" i="40"/>
  <c r="F35" i="40"/>
  <c r="E35" i="40"/>
  <c r="E45" i="39"/>
  <c r="F45" i="39"/>
  <c r="E31" i="39"/>
  <c r="F31" i="39"/>
  <c r="M18" i="37"/>
  <c r="E41" i="39"/>
  <c r="F41" i="39"/>
  <c r="F31" i="40"/>
  <c r="E31" i="40"/>
  <c r="F34" i="40"/>
  <c r="E34" i="40"/>
  <c r="F44" i="40"/>
  <c r="E44" i="40"/>
  <c r="F41" i="40"/>
  <c r="E41" i="40"/>
  <c r="E39" i="39"/>
  <c r="F39" i="39"/>
  <c r="F30" i="39"/>
  <c r="E30" i="39"/>
  <c r="F34" i="39"/>
  <c r="E34" i="39"/>
  <c r="M15" i="37"/>
  <c r="N24" i="37"/>
  <c r="C46" i="40"/>
  <c r="C46" i="39"/>
  <c r="C46" i="38"/>
  <c r="F36" i="40"/>
  <c r="E36" i="40"/>
  <c r="F39" i="40"/>
  <c r="E39" i="40"/>
  <c r="M17" i="37"/>
  <c r="E37" i="39"/>
  <c r="F37" i="39"/>
  <c r="E35" i="39"/>
  <c r="F35" i="39"/>
  <c r="F48" i="39"/>
  <c r="E48" i="39"/>
  <c r="F38" i="40"/>
  <c r="E38" i="40"/>
  <c r="C40" i="39"/>
  <c r="C40" i="38"/>
  <c r="C40" i="40"/>
  <c r="C42" i="40"/>
  <c r="C42" i="38"/>
  <c r="C42" i="39"/>
  <c r="F48" i="40"/>
  <c r="E48" i="40"/>
  <c r="F38" i="39"/>
  <c r="E38" i="39"/>
  <c r="F33" i="40"/>
  <c r="E33" i="40"/>
  <c r="F45" i="40"/>
  <c r="E45" i="40"/>
  <c r="F37" i="40"/>
  <c r="E37" i="40"/>
  <c r="L20" i="37"/>
  <c r="E33" i="39"/>
  <c r="F33" i="39"/>
  <c r="L22" i="37"/>
  <c r="M21" i="37"/>
  <c r="N19" i="37"/>
  <c r="M19" i="37"/>
  <c r="B1" i="33" a="1"/>
  <c r="B1" i="33" s="1"/>
  <c r="C4" i="26"/>
  <c r="J29" i="26" l="1"/>
  <c r="J31" i="26"/>
  <c r="J16" i="26"/>
  <c r="J18" i="26"/>
  <c r="J20" i="26"/>
  <c r="J22" i="26"/>
  <c r="J24" i="26"/>
  <c r="J26" i="26"/>
  <c r="J28" i="26"/>
  <c r="J30" i="26"/>
  <c r="J32" i="26"/>
  <c r="J17" i="26"/>
  <c r="J19" i="26"/>
  <c r="J21" i="26"/>
  <c r="J23" i="26"/>
  <c r="J25" i="26"/>
  <c r="J27" i="26"/>
  <c r="C7" i="26"/>
  <c r="I29" i="26" s="1"/>
  <c r="AX34" i="41"/>
  <c r="AO34" i="41"/>
  <c r="AP37" i="41"/>
  <c r="AG37" i="41"/>
  <c r="AP35" i="41"/>
  <c r="AP33" i="41"/>
  <c r="X35" i="41"/>
  <c r="AG36" i="41"/>
  <c r="X34" i="41"/>
  <c r="AX36" i="41"/>
  <c r="AY32" i="41"/>
  <c r="AX37" i="41"/>
  <c r="AY37" i="41"/>
  <c r="AX33" i="41"/>
  <c r="AY33" i="41"/>
  <c r="AY35" i="41"/>
  <c r="AX35" i="41"/>
  <c r="AP36" i="41"/>
  <c r="W32" i="41"/>
  <c r="AF34" i="41"/>
  <c r="AG35" i="41"/>
  <c r="W33" i="41"/>
  <c r="AP32" i="41"/>
  <c r="N35" i="41"/>
  <c r="W37" i="41"/>
  <c r="W36" i="41"/>
  <c r="O34" i="41"/>
  <c r="AG32" i="41"/>
  <c r="AF33" i="41"/>
  <c r="N33" i="41"/>
  <c r="O37" i="41"/>
  <c r="N32" i="41"/>
  <c r="E28" i="41"/>
  <c r="F35" i="41"/>
  <c r="O36" i="41"/>
  <c r="F33" i="41"/>
  <c r="E41" i="41"/>
  <c r="F28" i="41"/>
  <c r="E37" i="41"/>
  <c r="E32" i="41"/>
  <c r="E42" i="41"/>
  <c r="E43" i="41"/>
  <c r="F29" i="41"/>
  <c r="F30" i="41"/>
  <c r="F34" i="41"/>
  <c r="F43" i="41"/>
  <c r="F41" i="41"/>
  <c r="F42" i="41"/>
  <c r="F36" i="41"/>
  <c r="E30" i="41"/>
  <c r="E29" i="41"/>
  <c r="E44" i="39"/>
  <c r="F44" i="38"/>
  <c r="F46" i="38"/>
  <c r="E46" i="38"/>
  <c r="E40" i="38"/>
  <c r="F40" i="38"/>
  <c r="F42" i="38"/>
  <c r="E42" i="38"/>
  <c r="N22" i="37"/>
  <c r="M20" i="37"/>
  <c r="N20" i="37"/>
  <c r="F42" i="39"/>
  <c r="E42" i="39"/>
  <c r="F40" i="39"/>
  <c r="E40" i="39"/>
  <c r="F46" i="40"/>
  <c r="E46" i="40"/>
  <c r="F42" i="40"/>
  <c r="E42" i="40"/>
  <c r="F40" i="40"/>
  <c r="E40" i="40"/>
  <c r="F46" i="39"/>
  <c r="E46" i="39"/>
  <c r="M22" i="37"/>
  <c r="I27" i="26" l="1"/>
  <c r="I25" i="26"/>
  <c r="I21" i="26"/>
  <c r="I17" i="26"/>
  <c r="I30" i="26"/>
  <c r="I26" i="26"/>
  <c r="I22" i="26"/>
  <c r="I18" i="26"/>
  <c r="I31" i="26"/>
  <c r="I28" i="26"/>
  <c r="I23" i="26"/>
  <c r="I19" i="26"/>
  <c r="I32" i="26"/>
  <c r="I24" i="26"/>
  <c r="I20" i="26"/>
  <c r="I16" i="26"/>
</calcChain>
</file>

<file path=xl/comments1.xml><?xml version="1.0" encoding="utf-8"?>
<comments xmlns="http://schemas.openxmlformats.org/spreadsheetml/2006/main">
  <authors>
    <author>Chramosil, Radek</author>
  </authors>
  <commentList>
    <comment ref="C2" authorId="0">
      <text>
        <r>
          <rPr>
            <b/>
            <sz val="9"/>
            <color indexed="81"/>
            <rFont val="Tahoma"/>
            <family val="2"/>
          </rPr>
          <t>Chramosil, Radek:</t>
        </r>
        <r>
          <rPr>
            <sz val="9"/>
            <color indexed="81"/>
            <rFont val="Tahoma"/>
            <family val="2"/>
          </rPr>
          <t xml:space="preserve">
Select the end month for the time period.</t>
        </r>
      </text>
    </comment>
    <comment ref="C3" authorId="0">
      <text>
        <r>
          <rPr>
            <b/>
            <sz val="9"/>
            <color indexed="81"/>
            <rFont val="Tahoma"/>
            <family val="2"/>
          </rPr>
          <t>Chramosil, Radek:</t>
        </r>
        <r>
          <rPr>
            <sz val="9"/>
            <color indexed="81"/>
            <rFont val="Tahoma"/>
            <family val="2"/>
          </rPr>
          <t xml:space="preserve">
Select the year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Chramosil, Radek:</t>
        </r>
        <r>
          <rPr>
            <sz val="9"/>
            <color indexed="81"/>
            <rFont val="Tahoma"/>
            <family val="2"/>
          </rPr>
          <t xml:space="preserve">
Select how many months you would like to cover.</t>
        </r>
      </text>
    </comment>
    <comment ref="Q15" authorId="0">
      <text>
        <r>
          <rPr>
            <b/>
            <sz val="9"/>
            <color indexed="81"/>
            <rFont val="Tahoma"/>
            <family val="2"/>
          </rPr>
          <t>Chramosil, Radek:</t>
        </r>
        <r>
          <rPr>
            <sz val="9"/>
            <color indexed="81"/>
            <rFont val="Tahoma"/>
            <family val="2"/>
          </rPr>
          <t xml:space="preserve">
If you would like to see the return history for a benchmarks without a fund, then list them here. All benchamrk iPas codes are valid (BOneBmkCode, iPasBmkCode, ExternalBmkCode, BbergBmkCode).
Use the 'Load data from iPas DB' option in dropdown menu when right-clicking on the BMK return history table.</t>
        </r>
      </text>
    </comment>
  </commentList>
</comments>
</file>

<file path=xl/comments2.xml><?xml version="1.0" encoding="utf-8"?>
<comments xmlns="http://schemas.openxmlformats.org/spreadsheetml/2006/main">
  <authors>
    <author>Chramosil, Radek</author>
  </authors>
  <commentList>
    <comment ref="AD2" authorId="0">
      <text>
        <r>
          <rPr>
            <b/>
            <sz val="9"/>
            <color indexed="81"/>
            <rFont val="Tahoma"/>
            <family val="2"/>
          </rPr>
          <t>Chramosil, Radek:</t>
        </r>
        <r>
          <rPr>
            <sz val="9"/>
            <color indexed="81"/>
            <rFont val="Tahoma"/>
            <family val="2"/>
          </rPr>
          <t xml:space="preserve">
Remember that you need to set up mapping for fund and benchmark in iPas for this to work.</t>
        </r>
      </text>
    </comment>
  </commentList>
</comments>
</file>

<file path=xl/comments3.xml><?xml version="1.0" encoding="utf-8"?>
<comments xmlns="http://schemas.openxmlformats.org/spreadsheetml/2006/main">
  <authors>
    <author>Meredith, Christine</author>
  </authors>
  <commentList>
    <comment ref="N14" authorId="0">
      <text>
        <r>
          <rPr>
            <b/>
            <sz val="9"/>
            <color indexed="81"/>
            <rFont val="Tahoma"/>
            <family val="2"/>
          </rPr>
          <t xml:space="preserve">3 additional columns can be added:
-WHT
-Rel (arithm) adjusted for WHT
-Rel (geom) adjusted for WHT
Or a separate Dashboard?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27" authorId="0">
      <text>
        <r>
          <rPr>
            <b/>
            <sz val="9"/>
            <color indexed="81"/>
            <rFont val="Tahoma"/>
            <family val="2"/>
          </rPr>
          <t xml:space="preserve">3 additional columns can be added:
-WHT
-Rel (arithm) adjusted for WHT
-Rel (geom) adjusted for WHT
Or a separate Dashboard?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Meredith, Christine</author>
  </authors>
  <commentList>
    <comment ref="F5" authorId="0">
      <text>
        <r>
          <rPr>
            <b/>
            <sz val="9"/>
            <color indexed="81"/>
            <rFont val="Tahoma"/>
            <family val="2"/>
          </rPr>
          <t>3 additional columns can be added:
-WHT
-Rel (arithm) adjusted for WHT
-Rel (geom) adjusted for WHT
Or a separate Dashboard?</t>
        </r>
      </text>
    </comment>
  </commentList>
</comments>
</file>

<file path=xl/connections.xml><?xml version="1.0" encoding="utf-8"?>
<connections xmlns="http://schemas.openxmlformats.org/spreadsheetml/2006/main">
  <connection id="1" odcFile="\\VWNHOME01\RC69175$\Profile\Documents\My Data Sources\VWNDEVSQL19_DEV19 iPAS BenchmarkDetails.odc" keepAlive="1" name="BenchmarkDetails" description="Get BenchmarkDetails table" type="5" refreshedVersion="4" background="1" saveData="1">
    <dbPr connection="Provider=SQLOLEDB.1;Integrated Security=SSPI;Persist Security Info=True;Initial Catalog=iPAS;Data Source=VWNDEVSQL19\DEV19;Use Procedure for Prepare=1;Auto Translate=True;Packet Size=4096;Workstation ID=VPCUK2684;Use Encryption for Data=False;Tag with column collation when possible=False" command="SELECT  _x0009_[BenchmarkDetails].[BOneCode],  _x0009_[BenchmarkDetails].[ExternalCode],  _x0009_[BenchmarkDetails].[BloombergCode], [BenchmarkDetails].[Id] AS [iPasId],   _x0009_[BenchmarkDetails].[Description],  _x0009_[BenchmarkDetails].[Closed]   FROM  _x0009_[iPAS].[trk].[BenchmarkDetails] [BenchmarkDetails]"/>
  </connection>
  <connection id="2" odcFile="\\VWNHOME01\RC69175$\Profile\Documents\My Data Sources\VWNDEVSQL19_DEV19 iPAS ReturnFrequency.odc" keepAlive="1" name="ReturnFrequency" description="Get ReturnFrequency table" type="5" refreshedVersion="4" background="1" saveData="1">
    <dbPr connection="Provider=SQLOLEDB.1;Integrated Security=SSPI;Persist Security Info=True;Initial Catalog=iPAS;Data Source=VWNDEVSQL19\DEV19;Use Procedure for Prepare=1;Auto Translate=True;Packet Size=4096;Workstation ID=VPCUK2684;Use Encryption for Data=False;Tag with column collation when possible=False" command="SELECT Id, Description AS ReturnFrequency FROM trk.ReturnFrequency ORDER BY Id"/>
  </connection>
  <connection id="3" odcFile="\\Vwnhome01\rc69175$\Profile\Documents\My Data Sources\VWNDEVSQL19_DEV19 iPAS ReturnType.odc" keepAlive="1" name="trk.tblReturnType" description="Get ReturnType config table" type="5" refreshedVersion="4" background="1" saveData="1">
    <dbPr connection="Provider=SQLOLEDB.1;Integrated Security=SSPI;Persist Security Info=True;Initial Catalog=iPAS;Data Source=VWNDEVSQL19\DEV19;Use Procedure for Prepare=1;Auto Translate=True;Packet Size=4096;Workstation ID=VPCUK2684;Use Encryption for Data=False;Tag with column collation when possible=False" command="SELECT Id, Description AS ReturnType FROM trk.ReturnType ORDER BY Id"/>
  </connection>
  <connection id="4" keepAlive="1" name="trk.vReturnFund" description="Get vReturnFund veiw" type="5" refreshedVersion="4" background="1" saveData="1">
    <dbPr connection="Provider=SQLOLEDB.1;Integrated Security=SSPI;Persist Security Info=True;Initial Catalog=iPAS;Data Source=VWNDEVSQL19\DEV19;Use Procedure for Prepare=1;Auto Translate=True;Packet Size=4096;Workstation ID=VPCUK2684;Use Encryption for Data=False;Tag with column collation when possible=False" command="/* Edit this in the VBA sub RefreshReturnFundViewFromDB */ _x000d__x000a_SELECT _x000d__x000a_[vRF].[Id], [vRF].[BOneFundCode], [vRF].[iPasFundCode], [vRF].[QuasarFundCode], [vRF].[ScopeFundCode], [vRF].[LipperFundCode], _x000d__x000a_[vRF].[NorthernTrustFundCode],[vRF].[StartDate],[vRF].[EndDate],[vRF].[ReturnFrequency], _x000d__x000a_[vRF].[FullPeriod],[vRF].[ReturnType],[vRF].[Currency],[vRF].[ReturnSource],[vRF].[ReturnStatus],[vRF].[Approved], _x000d__x000a_[vRF].[GrossReturn], [vRF].[NetReturn], [vRF].[CapitalReturn], [vRF].[ProfitAndLoss],[vRF].[WhtImpact],  [vRF].[DealingCost],[vRF].[ReturnComment], _x000d__x000a_[vRF].[EndNavPerShare],[vRF].[StartNav] ,[vRF].[EndNav],[vRF].[RowVersion] _x000d__x000a_FROM trk.vReturnFund vRF _x000d__x000a_WHERE BOneFundCode in ('1191','1258','1278','1261','1967','1286','1956','1397','1253','1267','1257','1156','1966','5422','5423','5424','5422+5423+5424')"/>
  </connection>
  <connection id="5" odcFile="\\VWNHOME01\RC69175$\Profile\Documents\My Data Sources\VWNDEVSQL19_DEV19 iPAS vAggregateFund.odc" keepAlive="1" name="vAggregateFund view" description="Get vAggrefateFund view" type="5" refreshedVersion="4" background="1" saveData="1">
    <dbPr connection="Provider=SQLOLEDB.1;Integrated Security=SSPI;Persist Security Info=True;Initial Catalog=iPAS;Data Source=VWNDEVSQL19\DEV19;Use Procedure for Prepare=1;Auto Translate=True;Packet Size=4096;Workstation ID=VPCUK2684;Use Encryption for Data=False;Tag with column collation when possible=False" command="&quot;iPAS&quot;.&quot;trk&quot;.&quot;vAggregateFund&quot;" commandType="3"/>
  </connection>
  <connection id="6" odcFile="\\VWNHOME01\RC69175$\Profile\Documents\My Data Sources\VWNDEVSQL19_DEV19 iPAS vComposite.odc" keepAlive="1" name="vComposite" description="Get vComposite view" type="5" refreshedVersion="4" background="1" saveData="1">
    <dbPr connection="Provider=SQLOLEDB.1;Integrated Security=SSPI;Persist Security Info=True;Initial Catalog=iPAS;Data Source=VWNDEVSQL19\DEV19;Use Procedure for Prepare=1;Auto Translate=True;Packet Size=4096;Workstation ID=VPCUK2684;Use Encryption for Data=False;Tag with column collation when possible=False" command="&quot;iPAS&quot;.&quot;trk&quot;.&quot;vComposite&quot;" commandType="3"/>
  </connection>
  <connection id="7" odcFile="\\VWNHOME01\RC69175$\Profile\Documents\My Data Sources\VWNDEVSQL19_DEV19 iPAS vCompositeFund.odc" keepAlive="1" name="vCompositeFund" description="Get vCompositeFund view" type="5" refreshedVersion="4" background="1" saveData="1">
    <dbPr connection="Provider=SQLOLEDB.1;Integrated Security=SSPI;Persist Security Info=True;Initial Catalog=iPAS;Data Source=VWNDEVSQL19\DEV19;Use Procedure for Prepare=1;Auto Translate=True;Packet Size=4096;Workstation ID=VPCUK2684;Use Encryption for Data=False;Tag with column collation when possible=False" command="&quot;iPAS&quot;.&quot;trk&quot;.&quot;vCompositeFund&quot;" commandType="3"/>
  </connection>
  <connection id="8" keepAlive="1" name="vReturnBenchmark" description="Get vReturnBenchmark view" type="5" refreshedVersion="4" background="1" saveData="1">
    <dbPr connection="Provider=SQLOLEDB.1;Integrated Security=SSPI;Persist Security Info=True;Initial Catalog=iPAS;Data Source=VWNDEVSQL19\DEV19;Use Procedure for Prepare=1;Auto Translate=True;Packet Size=4096;Workstation ID=VPCUK2684;Use Encryption for Data=False;Tag with column collation when possible=False" command="/* Edit this in the VBA sub RefreshReturnBmkViewFromDB */ _x000d__x000a_SELECT _x000d__x000a_[vReturnBenchmark].[Id], _x000d__x000a_[vReturnBenchmark].[BOneBmkCode], _x000d__x000a_[vReturnBenchmark].[iPasBmkCode], _x000d__x000a_[vReturnBenchmark].[ExternalBmkCode], _x000d__x000a_[vReturnBenchmark].[BbergBmkCode], _x000d__x000a_[vReturnBenchmark].[BOneFundCode], _x000d__x000a_[vReturnBenchmark].[QuasarFundCode], _x000d__x000a_[vReturnBenchmark].[StartDate], _x000d__x000a_[vReturnBenchmark].[EndDate], _x000d__x000a_[vReturnBenchmark].[ReturnFrequency], _x000d__x000a_[vReturnBenchmark].[FullPeriod], _x000d__x000a_[vReturnBenchmark].[ReturnType], _x000d__x000a_[vReturnBenchmark].[Currency], _x000d__x000a_[vReturnBenchmark].[ReturnSource], _x000d__x000a_[vReturnBenchmark].[GrossReturn], _x000d__x000a_[vReturnBenchmark].[NetReturn], _x000d__x000a_[vReturnBenchmark].[CapitalReturn], _x000d__x000a_[vReturnBenchmark].[IndexRebased], _x000d__x000a_[vReturnBenchmark].[StartIndexLevel], _x000d__x000a_[vReturnBenchmark].[EndIndexLevel], _x000d__x000a_[vReturnBenchmark].[ReturnComment], _x000d__x000a_[vReturnBenchmark].[RowVersion] _x000d__x000a_FROM _x000d__x000a_ [iPAS].[trk].[vReturnBenchmark] [vReturnBenchmark] _x000d__x000a_WHERE _x000d__x000a_ [vReturnBenchmark].[BOneFundCode] IN ('1191','1258','1278','1261','1967','1286','1956','1397','1253','1267','1257','1156','1966','5422','5423','5424','5422+5423+5424') _x000d__x000a_OR [vReturnBenchmark].[QuasarFundCode] IN ('1191','1258','1278','1261','1967','1286','1956','1397','1253','1267','1257','1156','1966','5422','5423','5424','5422+5423+5424') "/>
  </connection>
  <connection id="9" odcFile="\\VWNHOME01\RC69175$\Profile\Documents\My Data Sources\VWNDEVSQL19_DEV19 iPAS Currency.odc" keepAlive="1" name="VWNDEVSQL19_DEV19 iPAS Currency" description="Get Currency table." type="5" refreshedVersion="4" background="1" saveData="1">
    <dbPr connection="Provider=SQLOLEDB.1;Integrated Security=SSPI;Persist Security Info=True;Initial Catalog=iPAS;Data Source=VWNDEVSQL19\DEV19;Use Procedure for Prepare=1;Auto Translate=True;Packet Size=4096;Workstation ID=VPCUK2684;Use Encryption for Data=False;Tag with column collation when possible=False" command="&quot;iPAS&quot;.&quot;dbo&quot;.&quot;Currency&quot;" commandType="3"/>
  </connection>
  <connection id="10" odcFile="\\VWNHOME01\RC69175$\Profile\Documents\My Data Sources\VWNDEVSQL19_DEV19 iPAS ReturnSource.odc" keepAlive="1" name="VWNDEVSQL19_DEV19 iPAS ReturnSource" description="Get the returnSource table." type="5" refreshedVersion="4" background="1" saveData="1">
    <dbPr connection="Provider=SQLOLEDB.1;Integrated Security=SSPI;Persist Security Info=True;Initial Catalog=iPAS;Data Source=VWNDEVSQL19\DEV19;Use Procedure for Prepare=1;Auto Translate=True;Packet Size=4096;Workstation ID=VPCUK2684;Use Encryption for Data=False;Tag with column collation when possible=False" command="select Id, Description AS ReturnSource from trk.ReturnSource ORDER BY Id"/>
  </connection>
  <connection id="11" odcFile="\\VWNHOME01\RC69175$\Profile\Documents\My Data Sources\VWNDEVSQL19_DEV19 iPAS ReturnStatus.odc" keepAlive="1" name="VWNDEVSQL19_DEV19 iPAS ReturnStatus" description="Get returnStatus Config table" type="5" refreshedVersion="4" background="1" saveData="1">
    <dbPr connection="Provider=SQLOLEDB.1;Integrated Security=SSPI;Persist Security Info=True;Initial Catalog=iPAS;Data Source=VWNDEVSQL19\DEV19;Use Procedure for Prepare=1;Auto Translate=True;Packet Size=4096;Workstation ID=VPCUK2684;Use Encryption for Data=False;Tag with column collation when possible=False" command="SELECT Id, Description AS ReturnStatus FROM trk.ReturnStatus ORDER BY Id"/>
  </connection>
  <connection id="12" odcFile="\\VWNHOME01\RC69175$\Profile\Documents\My Data Sources\VWNDEVSQL19_DEV19 iPAS vFundCodeMap.odc" keepAlive="1" name="VWNDEVSQL19_DEV19 iPAS vFundCodeMap" description="Get fund code mapping" type="5" refreshedVersion="4" background="1" saveData="1">
    <dbPr connection="Provider=SQLOLEDB.1;Integrated Security=SSPI;Persist Security Info=True;Initial Catalog=iPAS;Data Source=VWNDEVSQL19\DEV19;Use Procedure for Prepare=1;Auto Translate=True;Packet Size=4096;Workstation ID=VPCUK2684;Use Encryption for Data=False;Tag with column collation when possible=False" command="SELECT      [vFundDetails].[B-One Fund Code]  AS [BOneFundCode],    _x0009_[vFundDetails].[Quasar Fund Code] AS [QuasarFundCode],    _x0009_[vFundDetails].[Fund Id]          AS [IPasFundCode],    _x0009_[vFundDetails].[Scope Fund Code]  AS [ScopeFundCode],  _x0009_      [vFundDetails].[Lipper Fund Code] AS [LipperFundCode],    _x0009_[vFundDetails].[Currency Code]    AS [CCY],  _x0009_      [vFundDetails].[Division],      [vFundDetails].[Inception Date],      [vFundDetails].[Return Target Level],      [vFundDetails].[Return Tolerance Level],      [vFundDetails].[Closed] , [vFundDetails].[Fund Description], [vFundDetails].[Benchmark Description]          FROM   _x0009_[iPAS].[trk].[vFundDetails] [vFundDetails]"/>
  </connection>
  <connection id="13" odcFile="\\VWNHOME01\RC69175$\Profile\Documents\My Data Sources\VWNDEVSQL19_DEV19 iPAS vReturnCoverPageComment.odc" keepAlive="1" name="VWNDEVSQL19_DEV19 iPAS vReturnCoverPageComment" type="5" refreshedVersion="4" background="1" saveData="1">
    <dbPr connection="Provider=SQLOLEDB.1;Integrated Security=SSPI;Persist Security Info=True;Initial Catalog=iPAS;Data Source=VWNDEVSQL19\DEV19;Use Procedure for Prepare=1;Auto Translate=True;Packet Size=4096;Workstation ID=VPCUK2684;Use Encryption for Data=False;Tag with column collation when possible=False" command="&quot;iPAS&quot;.&quot;trk&quot;.&quot;vReturnCoverPageComment&quot;" commandType="3"/>
  </connection>
  <connection id="14" odcFile="\\VWNHOME01\RC69175$\Profile\Documents\My Data Sources\VWNDEVSQL19_DEV19 iPAS vReturnTolarance.odc" keepAlive="1" name="VWNDEVSQL19_DEV19 iPAS vReturnTolarance" description="Get vReturnTolarance view" type="5" refreshedVersion="4" background="1" saveData="1">
    <dbPr connection="Provider=SQLOLEDB.1;Integrated Security=SSPI;Persist Security Info=True;Initial Catalog=iPAS;Data Source=VWNDEVSQL19\DEV19;Use Procedure for Prepare=1;Auto Translate=True;Packet Size=4096;Workstation ID=VPCUK2684;Use Encryption for Data=False;Tag with column collation when possible=False" command="SELECT  _x0009_[vReturnTolerance].[iPasFundId],  _x0009_[vReturnTolerance].[BOneFundCode],                    [vReturnTolerance].[Division],             [vReturnTolerance].[CCY]     ,    _x0009_[vReturnTolerance].[ToleranceFundBench],  _x0009_[vReturnTolerance].[ToleranceGrossDecomposed],  _x0009_[vReturnTolerance].[ToleranceCashflow],  _x0009_[vReturnTolerance].[ToleranceNavChange],  _x0009_[vReturnTolerance].[ToleranceFree1],  _x0009_[vReturnTolerance].[ToleranceFree2],  _x0009_[vReturnTolerance].[ToleranceFree3]     FROM  _x0009_[iPAS].[trk].[vReturnTolerance] [vReturnTolerance]  ORDER BY [vReturnTolerance].[BOneFundCode] ASC"/>
  </connection>
</connections>
</file>

<file path=xl/sharedStrings.xml><?xml version="1.0" encoding="utf-8"?>
<sst xmlns="http://schemas.openxmlformats.org/spreadsheetml/2006/main" count="8017" uniqueCount="2589">
  <si>
    <t>Start Date:</t>
  </si>
  <si>
    <t>End Date:</t>
  </si>
  <si>
    <t>END_DATE</t>
  </si>
  <si>
    <t>START_DATE</t>
  </si>
  <si>
    <t>GROSS_TOTAL_RETURN</t>
  </si>
  <si>
    <t>NET_TOTAL_RETURN</t>
  </si>
  <si>
    <t>BMK_TOTAL_RETURN</t>
  </si>
  <si>
    <t>BMK_TOTAL_LESS_DECOMPOSED</t>
  </si>
  <si>
    <t>FUND_PL</t>
  </si>
  <si>
    <t># of Months:</t>
  </si>
  <si>
    <t>End Year:</t>
  </si>
  <si>
    <t>End Month:</t>
  </si>
  <si>
    <t>TOTAL_LESS_DECOMPOSED</t>
  </si>
  <si>
    <t>FUND_CURRENCY</t>
  </si>
  <si>
    <t>DECOMPOSED</t>
  </si>
  <si>
    <t>BMK_DECOMPOSED</t>
  </si>
  <si>
    <t>FUND_INCOME</t>
  </si>
  <si>
    <t>MANAG_FEES</t>
  </si>
  <si>
    <t>FUND_NAME</t>
  </si>
  <si>
    <t>StartDate</t>
  </si>
  <si>
    <t>EndDate</t>
  </si>
  <si>
    <t>FullPeriod</t>
  </si>
  <si>
    <t>GrossReturn</t>
  </si>
  <si>
    <t>NetReturn</t>
  </si>
  <si>
    <t>CapitalReturn</t>
  </si>
  <si>
    <t>ProfitAndLoss</t>
  </si>
  <si>
    <t>WhtImpact</t>
  </si>
  <si>
    <t>DealingCost</t>
  </si>
  <si>
    <t>ReturnComment</t>
  </si>
  <si>
    <t>FundReturns</t>
  </si>
  <si>
    <t>ReturnType</t>
  </si>
  <si>
    <t>Currency</t>
  </si>
  <si>
    <t>Frequency</t>
  </si>
  <si>
    <t>Current User</t>
  </si>
  <si>
    <t>DB Environment</t>
  </si>
  <si>
    <t>DEV</t>
  </si>
  <si>
    <t>Application Name:</t>
  </si>
  <si>
    <t>Application Version</t>
  </si>
  <si>
    <t>1.0.0</t>
  </si>
  <si>
    <t>DBVersion</t>
  </si>
  <si>
    <t>PerformanceReturn</t>
  </si>
  <si>
    <t>VersionEnvironment</t>
  </si>
  <si>
    <t>LoadFlag</t>
  </si>
  <si>
    <t>Source</t>
  </si>
  <si>
    <t>Status</t>
  </si>
  <si>
    <t>Approved</t>
  </si>
  <si>
    <t>Id</t>
  </si>
  <si>
    <t>Description</t>
  </si>
  <si>
    <t>ReturnSources</t>
  </si>
  <si>
    <t>ReturnStatus</t>
  </si>
  <si>
    <t>Currencies</t>
  </si>
  <si>
    <t>CurrencyCode</t>
  </si>
  <si>
    <t>iPasFundCode</t>
  </si>
  <si>
    <t>QuasarFundCode</t>
  </si>
  <si>
    <t>BOneFundCode</t>
  </si>
  <si>
    <t>ScopeFundCode</t>
  </si>
  <si>
    <t>LipperFundCode</t>
  </si>
  <si>
    <t>NorthernTrustFundCode</t>
  </si>
  <si>
    <t>ReturnSource</t>
  </si>
  <si>
    <t>Sheets auto protection</t>
  </si>
  <si>
    <t>IPasFundCode</t>
  </si>
  <si>
    <t>1156</t>
  </si>
  <si>
    <t>1191</t>
  </si>
  <si>
    <t>1253</t>
  </si>
  <si>
    <t>1257</t>
  </si>
  <si>
    <t>1258</t>
  </si>
  <si>
    <t>1261</t>
  </si>
  <si>
    <t>1267</t>
  </si>
  <si>
    <t>1278</t>
  </si>
  <si>
    <t>1286</t>
  </si>
  <si>
    <t>1397</t>
  </si>
  <si>
    <t>1956</t>
  </si>
  <si>
    <t>1966</t>
  </si>
  <si>
    <t>1967</t>
  </si>
  <si>
    <t>ReturnTypes</t>
  </si>
  <si>
    <t>Comment</t>
  </si>
  <si>
    <t>CoverPageComment</t>
  </si>
  <si>
    <t>FundCode</t>
  </si>
  <si>
    <t>FundReturnHistory</t>
  </si>
  <si>
    <t>BOneReturns</t>
  </si>
  <si>
    <t>FUND_CODE</t>
  </si>
  <si>
    <t>FundCodeType</t>
  </si>
  <si>
    <t>StartNav</t>
  </si>
  <si>
    <t>EndNav</t>
  </si>
  <si>
    <t>EndNavPerShare</t>
  </si>
  <si>
    <t>RowVersion</t>
  </si>
  <si>
    <t>DoNotDelete</t>
  </si>
  <si>
    <t>BenchamarkReturns</t>
  </si>
  <si>
    <t>BmkCode</t>
  </si>
  <si>
    <t>BmkCodeType</t>
  </si>
  <si>
    <t>IndexRebased</t>
  </si>
  <si>
    <t>StartIndexLevel</t>
  </si>
  <si>
    <t>EndIndexLevel</t>
  </si>
  <si>
    <t>BOneCode</t>
  </si>
  <si>
    <t>BloombergCode</t>
  </si>
  <si>
    <t>Closed</t>
  </si>
  <si>
    <t>iPasId</t>
  </si>
  <si>
    <t>FundCodeMapping</t>
  </si>
  <si>
    <t>BenchmarkCodeMapping</t>
  </si>
  <si>
    <t>BENCH_CODE</t>
  </si>
  <si>
    <t>NET_CASHFLOW</t>
  </si>
  <si>
    <t>START_NAV_PER_SHARE</t>
  </si>
  <si>
    <t>END_NAV_PER_SHARE</t>
  </si>
  <si>
    <t>START_NAV</t>
  </si>
  <si>
    <t>END_NAV</t>
  </si>
  <si>
    <t>BMK_START_INDEX_LEVEL</t>
  </si>
  <si>
    <t>BMK_END_INDEX_LEVEL</t>
  </si>
  <si>
    <t>ExternalCode</t>
  </si>
  <si>
    <t>BOneBmkCode</t>
  </si>
  <si>
    <t>iPasBmkCode</t>
  </si>
  <si>
    <t>ExternalBmkCode</t>
  </si>
  <si>
    <t>BbergBmkCode</t>
  </si>
  <si>
    <t>BOne Fund Code</t>
  </si>
  <si>
    <t>Fund Type</t>
  </si>
  <si>
    <t>Fund CCY</t>
  </si>
  <si>
    <t>Bmk Return In IPas</t>
  </si>
  <si>
    <t>Historical Returns Approved</t>
  </si>
  <si>
    <t>Fund Gross Return In IPas</t>
  </si>
  <si>
    <t>Significant NAV Movement</t>
  </si>
  <si>
    <t>All Previous Months Approved</t>
  </si>
  <si>
    <t>Gross Fund Return</t>
  </si>
  <si>
    <t>Benchmark Return</t>
  </si>
  <si>
    <t>Decomposed</t>
  </si>
  <si>
    <t>Start NAV</t>
  </si>
  <si>
    <t>End NAV</t>
  </si>
  <si>
    <t>NAV Movement</t>
  </si>
  <si>
    <t>CCY</t>
  </si>
  <si>
    <t>Division</t>
  </si>
  <si>
    <t>Fund Division</t>
  </si>
  <si>
    <t>Start Date</t>
  </si>
  <si>
    <t>End Date</t>
  </si>
  <si>
    <t>Inception Date</t>
  </si>
  <si>
    <t>Return Target Level</t>
  </si>
  <si>
    <t>Return Tolerance Level</t>
  </si>
  <si>
    <t>Difference - Gross Fund Bmk</t>
  </si>
  <si>
    <t>Tolerance - Gross</t>
  </si>
  <si>
    <t>Tolerance - Decomposed</t>
  </si>
  <si>
    <t>Difference - Total Decomposed</t>
  </si>
  <si>
    <t>BOne Cashflows (Net)</t>
  </si>
  <si>
    <t>Proportion of  End NAV</t>
  </si>
  <si>
    <t>BOne End NAV</t>
  </si>
  <si>
    <t>Tolerance - NAV Change</t>
  </si>
  <si>
    <t>Previous Month Return in iPas</t>
  </si>
  <si>
    <t>Gross Return</t>
  </si>
  <si>
    <t>Cashflow % of  End NAV</t>
  </si>
  <si>
    <t>Tolerance - Cashflow</t>
  </si>
  <si>
    <t>iPasFundId</t>
  </si>
  <si>
    <t>ToleranceFundBench</t>
  </si>
  <si>
    <t>ToleranceGrossDecomposed</t>
  </si>
  <si>
    <t>ToleranceCashflow</t>
  </si>
  <si>
    <t>ToleranceNavChange</t>
  </si>
  <si>
    <t>ToleranceFree1</t>
  </si>
  <si>
    <t>ToleranceFree2</t>
  </si>
  <si>
    <t>ToleranceFree3</t>
  </si>
  <si>
    <t>ReturnTolerance</t>
  </si>
  <si>
    <t>Fund Gross Return in BOne</t>
  </si>
  <si>
    <t>Bmk Return in BOne</t>
  </si>
  <si>
    <t>ReturnFrequency</t>
  </si>
  <si>
    <t>Prelim</t>
  </si>
  <si>
    <t>1 Month</t>
  </si>
  <si>
    <t>3 Month</t>
  </si>
  <si>
    <t>6 Month</t>
  </si>
  <si>
    <t>YTD</t>
  </si>
  <si>
    <t>Since Inception</t>
  </si>
  <si>
    <t>James Bond Fund</t>
  </si>
  <si>
    <t>APPROVED</t>
  </si>
  <si>
    <t>Monthly Fund vs. Benchmark Performance Graph</t>
  </si>
  <si>
    <t>Fund Details</t>
  </si>
  <si>
    <t>Fund Name</t>
  </si>
  <si>
    <t>Benchmark Name</t>
  </si>
  <si>
    <t>Fund Currency</t>
  </si>
  <si>
    <t>Fund Inception</t>
  </si>
  <si>
    <t>Performance Overview</t>
  </si>
  <si>
    <t>Calculation Period</t>
  </si>
  <si>
    <t>Fund</t>
  </si>
  <si>
    <t>Benchmark</t>
  </si>
  <si>
    <t>Rel (arithm.)</t>
  </si>
  <si>
    <t>Rel (geom.)</t>
  </si>
  <si>
    <t>1 Yr</t>
  </si>
  <si>
    <t xml:space="preserve">3 Yr. </t>
  </si>
  <si>
    <t>3 Yr. - Annualized</t>
  </si>
  <si>
    <t xml:space="preserve">5 Yr. </t>
  </si>
  <si>
    <t>5 Yr. - Annualized</t>
  </si>
  <si>
    <t>Annualized</t>
  </si>
  <si>
    <t>Quarterly Fund &amp; Benchmark Returns</t>
  </si>
  <si>
    <t>Monthly Fund &amp; Benchmark Returns</t>
  </si>
  <si>
    <t>2016 Q1</t>
  </si>
  <si>
    <t>Date</t>
  </si>
  <si>
    <t>Comment Section</t>
  </si>
  <si>
    <t>2016 Q2</t>
  </si>
  <si>
    <t>2016 Q3</t>
  </si>
  <si>
    <t>2016 Q4</t>
  </si>
  <si>
    <t>Risk Statistics Summary</t>
  </si>
  <si>
    <t>3 yr.</t>
  </si>
  <si>
    <t>5 yr.</t>
  </si>
  <si>
    <t>Tracking Error</t>
  </si>
  <si>
    <t>Information Ratio</t>
  </si>
  <si>
    <t>Beta (Fund v Benchmark)</t>
  </si>
  <si>
    <t>Standard Deviation - Fund (Annualised)</t>
  </si>
  <si>
    <t>Standard Deviation - Benchmark (Annualised)</t>
  </si>
  <si>
    <t>Sharpe Ratio (annualised)</t>
  </si>
  <si>
    <t>Sortino Ratio (annualised)</t>
  </si>
  <si>
    <t>Commentary</t>
  </si>
  <si>
    <t>007 - James Bond Fund</t>
  </si>
  <si>
    <t>1 Yr Rolling Fund &amp; Benchmark Returns</t>
  </si>
  <si>
    <t>Total Fund</t>
  </si>
  <si>
    <t>WHT</t>
  </si>
  <si>
    <t>Residual Value</t>
  </si>
  <si>
    <t>NAV</t>
  </si>
  <si>
    <t>P&amp;L</t>
  </si>
  <si>
    <t>2 Yr -</t>
  </si>
  <si>
    <t>2 Yr - Annualized</t>
  </si>
  <si>
    <t>4 Yr.</t>
  </si>
  <si>
    <t>4 Yr. - Annualized</t>
  </si>
  <si>
    <t>Capital Fund Return</t>
  </si>
  <si>
    <t>Benchmark Capital Return</t>
  </si>
  <si>
    <t>Excluded Securities Fund Return</t>
  </si>
  <si>
    <t>Average NAV</t>
  </si>
  <si>
    <t>Average P&amp;L</t>
  </si>
  <si>
    <t>Annualised Tracking Error</t>
  </si>
  <si>
    <t>Jensen's Alpha</t>
  </si>
  <si>
    <t>Downside Deviation</t>
  </si>
  <si>
    <t>Treynor Ratio</t>
  </si>
  <si>
    <t>Correlation</t>
  </si>
  <si>
    <t>BMValue</t>
  </si>
  <si>
    <t>Gross</t>
  </si>
  <si>
    <t>Net</t>
  </si>
  <si>
    <t>ExclSec</t>
  </si>
  <si>
    <t>Cap</t>
  </si>
  <si>
    <t>PNL</t>
  </si>
  <si>
    <t>Months</t>
  </si>
  <si>
    <t>Date less months</t>
  </si>
  <si>
    <t>Variable</t>
  </si>
  <si>
    <t>Return</t>
  </si>
  <si>
    <t/>
  </si>
  <si>
    <t>Fund Description</t>
  </si>
  <si>
    <t>Benchmark Description</t>
  </si>
  <si>
    <t>2 Yr.</t>
  </si>
  <si>
    <t>2 Yr. - Annualized</t>
  </si>
  <si>
    <t>4 Yr</t>
  </si>
  <si>
    <t>Code</t>
  </si>
  <si>
    <t>Ccy</t>
  </si>
  <si>
    <t>Investment Strategy</t>
  </si>
  <si>
    <t>Region</t>
  </si>
  <si>
    <t>Gips</t>
  </si>
  <si>
    <t>Composites</t>
  </si>
  <si>
    <t>CompositeCode</t>
  </si>
  <si>
    <t>CompositeFundMap</t>
  </si>
  <si>
    <t>5422+5423+5424</t>
  </si>
  <si>
    <t>1.0.6</t>
  </si>
  <si>
    <t>BM</t>
  </si>
  <si>
    <t>Gross of Fees</t>
  </si>
  <si>
    <t>BOneFundCode_Master</t>
  </si>
  <si>
    <t>BOneFundCode_SubFund</t>
  </si>
  <si>
    <t>Weight</t>
  </si>
  <si>
    <t>Aggregate Funds</t>
  </si>
  <si>
    <t>Return Frequency</t>
  </si>
  <si>
    <t>Benchmarks for selected fund</t>
  </si>
  <si>
    <t>Returns for selected fund</t>
  </si>
  <si>
    <t>Time period calc</t>
  </si>
  <si>
    <t>Returns for first sub-fund</t>
  </si>
  <si>
    <t>Movement %</t>
  </si>
  <si>
    <t>BM Movement %</t>
  </si>
  <si>
    <t>BMRtn</t>
  </si>
  <si>
    <t>BM data for first sub-fund</t>
  </si>
  <si>
    <t>Returns for second sub-fund</t>
  </si>
  <si>
    <t>BM data for second sub-fund</t>
  </si>
  <si>
    <t>Returns for third sub-fund</t>
  </si>
  <si>
    <t>BM data for third sub-fund</t>
  </si>
  <si>
    <t>Returns for fourth sub-fund</t>
  </si>
  <si>
    <t>BM data for fourth sub-fund</t>
  </si>
  <si>
    <t>Returns for fifth sub-fund</t>
  </si>
  <si>
    <t>BM data for fifth sub-fund</t>
  </si>
  <si>
    <t>Returns for sixth sub-fund</t>
  </si>
  <si>
    <t>BM data for sixth sub-fund</t>
  </si>
  <si>
    <t>Return Movement</t>
  </si>
  <si>
    <t>BM Movement</t>
  </si>
  <si>
    <t>NAW</t>
  </si>
  <si>
    <t>BenchmarkReturnHistory</t>
  </si>
  <si>
    <t>RC69175</t>
  </si>
  <si>
    <t>Development</t>
  </si>
  <si>
    <t>BOne Starting NAV</t>
  </si>
  <si>
    <t>Benchmark Code</t>
  </si>
  <si>
    <t>iPas previous month ending NAV</t>
  </si>
  <si>
    <t>Diff</t>
  </si>
  <si>
    <t>NAV Consistency Diff</t>
  </si>
  <si>
    <t>Return Checks</t>
  </si>
  <si>
    <t>B-One</t>
  </si>
  <si>
    <t>Lipper</t>
  </si>
  <si>
    <t>Other - Detail Information</t>
  </si>
  <si>
    <t>Quasar</t>
  </si>
  <si>
    <t>Scope</t>
  </si>
  <si>
    <t>AED</t>
  </si>
  <si>
    <t>UAE Dirham</t>
  </si>
  <si>
    <t>AFN</t>
  </si>
  <si>
    <t>Afghani</t>
  </si>
  <si>
    <t>ALL</t>
  </si>
  <si>
    <t>Lek</t>
  </si>
  <si>
    <t>AMD</t>
  </si>
  <si>
    <t>Armenian Dram</t>
  </si>
  <si>
    <t>ANG</t>
  </si>
  <si>
    <t>Netherlands Antillian Guilder</t>
  </si>
  <si>
    <t>AOA</t>
  </si>
  <si>
    <t>Kwanza</t>
  </si>
  <si>
    <t>ARS</t>
  </si>
  <si>
    <t>Argentine Peso</t>
  </si>
  <si>
    <t>ATS</t>
  </si>
  <si>
    <t>Austrian schilling</t>
  </si>
  <si>
    <t>AUD</t>
  </si>
  <si>
    <t>Australian Dollar</t>
  </si>
  <si>
    <t>AWG</t>
  </si>
  <si>
    <t>Aruban Guilder</t>
  </si>
  <si>
    <t>AZN</t>
  </si>
  <si>
    <t>Azerbaijanian Manat</t>
  </si>
  <si>
    <t>BAM</t>
  </si>
  <si>
    <t>Convertible Marks</t>
  </si>
  <si>
    <t>BBD</t>
  </si>
  <si>
    <t>Barbados Dollar</t>
  </si>
  <si>
    <t>BDT</t>
  </si>
  <si>
    <t>Taka</t>
  </si>
  <si>
    <t>BEF</t>
  </si>
  <si>
    <t>Belgian franc</t>
  </si>
  <si>
    <t>BGN</t>
  </si>
  <si>
    <t>Bulgarian Lev</t>
  </si>
  <si>
    <t>BHD</t>
  </si>
  <si>
    <t>Bahraini Dinar</t>
  </si>
  <si>
    <t>BIF</t>
  </si>
  <si>
    <t>Burundi Franc</t>
  </si>
  <si>
    <t>BMD</t>
  </si>
  <si>
    <t>Bermudian Dollar (Bermuda Dollar)</t>
  </si>
  <si>
    <t>BND</t>
  </si>
  <si>
    <t>Brunei Dollar</t>
  </si>
  <si>
    <t>BOB</t>
  </si>
  <si>
    <t>Boliviano</t>
  </si>
  <si>
    <t>BOV</t>
  </si>
  <si>
    <t>Mvdol</t>
  </si>
  <si>
    <t>BRL</t>
  </si>
  <si>
    <t>Brazilian Real</t>
  </si>
  <si>
    <t>BSD</t>
  </si>
  <si>
    <t>Bahamian Dollar</t>
  </si>
  <si>
    <t>BTN</t>
  </si>
  <si>
    <t>Ngultrum</t>
  </si>
  <si>
    <t>BWP</t>
  </si>
  <si>
    <t>Pula</t>
  </si>
  <si>
    <t>BYR</t>
  </si>
  <si>
    <t>Belarussian Ruble</t>
  </si>
  <si>
    <t>BZD</t>
  </si>
  <si>
    <t>Belize Dollar</t>
  </si>
  <si>
    <t>CAD</t>
  </si>
  <si>
    <t>Canadian Dollar</t>
  </si>
  <si>
    <t>CDF</t>
  </si>
  <si>
    <t>Congolese Franc</t>
  </si>
  <si>
    <t>CHE</t>
  </si>
  <si>
    <t>WIR Euro</t>
  </si>
  <si>
    <t>CHF</t>
  </si>
  <si>
    <t>Swiss Franc</t>
  </si>
  <si>
    <t>CHW</t>
  </si>
  <si>
    <t>WIR Franc</t>
  </si>
  <si>
    <t>CLF</t>
  </si>
  <si>
    <t>Unidades de fomento</t>
  </si>
  <si>
    <t>CLP</t>
  </si>
  <si>
    <t>Chilean Peso</t>
  </si>
  <si>
    <t>CNY</t>
  </si>
  <si>
    <t>Yuan Renminbi</t>
  </si>
  <si>
    <t>COP</t>
  </si>
  <si>
    <t>Colombian Peso</t>
  </si>
  <si>
    <t>COU</t>
  </si>
  <si>
    <t>Unidad de Valor Real</t>
  </si>
  <si>
    <t>CRC</t>
  </si>
  <si>
    <t>Costa Rican Colon</t>
  </si>
  <si>
    <t>CUC</t>
  </si>
  <si>
    <t>Peso Convertible</t>
  </si>
  <si>
    <t>CUP</t>
  </si>
  <si>
    <t>Cuban Peso</t>
  </si>
  <si>
    <t>CVE</t>
  </si>
  <si>
    <t>Cape Verde Escudo</t>
  </si>
  <si>
    <t>CYP</t>
  </si>
  <si>
    <t>Cypriot pound</t>
  </si>
  <si>
    <t>CZK</t>
  </si>
  <si>
    <t>Czech Koruna</t>
  </si>
  <si>
    <t>DEM</t>
  </si>
  <si>
    <t>German mark</t>
  </si>
  <si>
    <t>DJF</t>
  </si>
  <si>
    <t>Djibouti Franc</t>
  </si>
  <si>
    <t>DKK</t>
  </si>
  <si>
    <t>Danish Krone</t>
  </si>
  <si>
    <t>DOP</t>
  </si>
  <si>
    <t>Dominican Peso</t>
  </si>
  <si>
    <t>DZD</t>
  </si>
  <si>
    <t>Algerian Dinar</t>
  </si>
  <si>
    <t>EEK</t>
  </si>
  <si>
    <t>Kroon</t>
  </si>
  <si>
    <t>EGP</t>
  </si>
  <si>
    <t>Egyptian Pound</t>
  </si>
  <si>
    <t>ERN</t>
  </si>
  <si>
    <t>Nakfa</t>
  </si>
  <si>
    <t>ESP</t>
  </si>
  <si>
    <t>Spanish peseta</t>
  </si>
  <si>
    <t>ETB</t>
  </si>
  <si>
    <t>Ethiopian Birr</t>
  </si>
  <si>
    <t>EUR</t>
  </si>
  <si>
    <t>Euro</t>
  </si>
  <si>
    <t>FIM</t>
  </si>
  <si>
    <t>Finnish markka</t>
  </si>
  <si>
    <t>FJD</t>
  </si>
  <si>
    <t>Fiji Dollar</t>
  </si>
  <si>
    <t>FKP</t>
  </si>
  <si>
    <t>Falkland Islands Pound</t>
  </si>
  <si>
    <t>FRF</t>
  </si>
  <si>
    <t>French franc</t>
  </si>
  <si>
    <t>GBP</t>
  </si>
  <si>
    <t>Pound Sterling</t>
  </si>
  <si>
    <t>GEL</t>
  </si>
  <si>
    <t>Lari</t>
  </si>
  <si>
    <t>GHS</t>
  </si>
  <si>
    <t>Cedi</t>
  </si>
  <si>
    <t>GIP</t>
  </si>
  <si>
    <t>Gibraltar Pound</t>
  </si>
  <si>
    <t>GMD</t>
  </si>
  <si>
    <t>Dalasi</t>
  </si>
  <si>
    <t>GNF</t>
  </si>
  <si>
    <t>Guinea Franc</t>
  </si>
  <si>
    <t>GRD</t>
  </si>
  <si>
    <t>Greek drachma</t>
  </si>
  <si>
    <t>GTQ</t>
  </si>
  <si>
    <t>Quetzal</t>
  </si>
  <si>
    <t>GWP</t>
  </si>
  <si>
    <t>Guinea-Bissau Peso</t>
  </si>
  <si>
    <t>GYD</t>
  </si>
  <si>
    <t>Guyana Dollar</t>
  </si>
  <si>
    <t>HKD</t>
  </si>
  <si>
    <t>Hong Kong Dollar</t>
  </si>
  <si>
    <t>HNL</t>
  </si>
  <si>
    <t>Lempira</t>
  </si>
  <si>
    <t>HRK</t>
  </si>
  <si>
    <t>Croatian Kuna</t>
  </si>
  <si>
    <t>HTG</t>
  </si>
  <si>
    <t>Gourde</t>
  </si>
  <si>
    <t>HUF</t>
  </si>
  <si>
    <t>Forint</t>
  </si>
  <si>
    <t>IDR</t>
  </si>
  <si>
    <t>Rupiah</t>
  </si>
  <si>
    <t>IEP</t>
  </si>
  <si>
    <t>Irish punt</t>
  </si>
  <si>
    <t>ILS</t>
  </si>
  <si>
    <t>New Israeli Sheqel</t>
  </si>
  <si>
    <t>INR</t>
  </si>
  <si>
    <t>Indian Rupee</t>
  </si>
  <si>
    <t>IQD</t>
  </si>
  <si>
    <t>Iraqi Dinar</t>
  </si>
  <si>
    <t>IRR</t>
  </si>
  <si>
    <t>Iranian Rial</t>
  </si>
  <si>
    <t>ISK</t>
  </si>
  <si>
    <t>Iceland Krona</t>
  </si>
  <si>
    <t>ITL</t>
  </si>
  <si>
    <t>Italian Lira</t>
  </si>
  <si>
    <t>JMD</t>
  </si>
  <si>
    <t>Jamaican Dollar</t>
  </si>
  <si>
    <t>JOD</t>
  </si>
  <si>
    <t>Jordanian Dinar</t>
  </si>
  <si>
    <t>JPY</t>
  </si>
  <si>
    <t>Yen</t>
  </si>
  <si>
    <t>KES</t>
  </si>
  <si>
    <t>Kenyan Shilling</t>
  </si>
  <si>
    <t>KGS</t>
  </si>
  <si>
    <t>Som</t>
  </si>
  <si>
    <t>KHR</t>
  </si>
  <si>
    <t>Riel</t>
  </si>
  <si>
    <t>KMF</t>
  </si>
  <si>
    <t>Comoro Franc</t>
  </si>
  <si>
    <t>KPW</t>
  </si>
  <si>
    <t>North Korean Won</t>
  </si>
  <si>
    <t>KRW</t>
  </si>
  <si>
    <t>Won</t>
  </si>
  <si>
    <t>KWD</t>
  </si>
  <si>
    <t>Kuwaiti Dinar</t>
  </si>
  <si>
    <t>KYD</t>
  </si>
  <si>
    <t>Cayman Islands Dollar</t>
  </si>
  <si>
    <t>KZT</t>
  </si>
  <si>
    <t>Tenge</t>
  </si>
  <si>
    <t>LAK</t>
  </si>
  <si>
    <t>Kip</t>
  </si>
  <si>
    <t>LBP</t>
  </si>
  <si>
    <t>Lebanese Pound</t>
  </si>
  <si>
    <t>LKR</t>
  </si>
  <si>
    <t>Sri Lanka Rupee</t>
  </si>
  <si>
    <t>LRD</t>
  </si>
  <si>
    <t>Liberian Dollar</t>
  </si>
  <si>
    <t>LSL</t>
  </si>
  <si>
    <t>Loti</t>
  </si>
  <si>
    <t>LTL</t>
  </si>
  <si>
    <t>Lithuanian Litas</t>
  </si>
  <si>
    <t>LUF</t>
  </si>
  <si>
    <t>Luxembourg franc</t>
  </si>
  <si>
    <t>LVL</t>
  </si>
  <si>
    <t>Latvian Lats</t>
  </si>
  <si>
    <t>LYD</t>
  </si>
  <si>
    <t>Libyan Dinar</t>
  </si>
  <si>
    <t>MAD</t>
  </si>
  <si>
    <t>Moroccan Dirham</t>
  </si>
  <si>
    <t>MDL</t>
  </si>
  <si>
    <t>Moldovan Leu</t>
  </si>
  <si>
    <t>MGA</t>
  </si>
  <si>
    <t>Malagasy Ariary</t>
  </si>
  <si>
    <t>MKD</t>
  </si>
  <si>
    <t>Denar</t>
  </si>
  <si>
    <t>MMK</t>
  </si>
  <si>
    <t>Kyat</t>
  </si>
  <si>
    <t>MNT</t>
  </si>
  <si>
    <t>Tugrik</t>
  </si>
  <si>
    <t>MOP</t>
  </si>
  <si>
    <t>Pataca</t>
  </si>
  <si>
    <t>MRO</t>
  </si>
  <si>
    <t>Ouguiya</t>
  </si>
  <si>
    <t>MUR</t>
  </si>
  <si>
    <t>Mauritius Rupee</t>
  </si>
  <si>
    <t>MVR</t>
  </si>
  <si>
    <t>Rufiyaa</t>
  </si>
  <si>
    <t>MWK</t>
  </si>
  <si>
    <t>Kwacha</t>
  </si>
  <si>
    <t>MXN</t>
  </si>
  <si>
    <t>Mexican Peso</t>
  </si>
  <si>
    <t>MXV</t>
  </si>
  <si>
    <t>Mexican Unidad de Inversion (UDI)</t>
  </si>
  <si>
    <t>MYR</t>
  </si>
  <si>
    <t>Malaysian Ringgit</t>
  </si>
  <si>
    <t>MZN</t>
  </si>
  <si>
    <t>Metical</t>
  </si>
  <si>
    <t>NAD</t>
  </si>
  <si>
    <t>Namibia Dollar</t>
  </si>
  <si>
    <t>NGN</t>
  </si>
  <si>
    <t>Naira</t>
  </si>
  <si>
    <t>NIO</t>
  </si>
  <si>
    <t>Cordoba Oro</t>
  </si>
  <si>
    <t>NLG</t>
  </si>
  <si>
    <t>Netherlands guilder</t>
  </si>
  <si>
    <t>NOK</t>
  </si>
  <si>
    <t>Norwegian Krone</t>
  </si>
  <si>
    <t>NPR</t>
  </si>
  <si>
    <t>Nepalese Rupee</t>
  </si>
  <si>
    <t>NZD</t>
  </si>
  <si>
    <t>New Zealand Dollar</t>
  </si>
  <si>
    <t>OMR</t>
  </si>
  <si>
    <t>Rial Omani</t>
  </si>
  <si>
    <t>PAB</t>
  </si>
  <si>
    <t>Balboa</t>
  </si>
  <si>
    <t>PEN</t>
  </si>
  <si>
    <t>Nuevo Sol</t>
  </si>
  <si>
    <t>PGK</t>
  </si>
  <si>
    <t>Kina</t>
  </si>
  <si>
    <t>PHP</t>
  </si>
  <si>
    <t>Philippine Peso</t>
  </si>
  <si>
    <t>PKR</t>
  </si>
  <si>
    <t>Pakistan Rupee</t>
  </si>
  <si>
    <t>PLN</t>
  </si>
  <si>
    <t>Zloty</t>
  </si>
  <si>
    <t>PTE</t>
  </si>
  <si>
    <t>Portuguese escudo</t>
  </si>
  <si>
    <t>PYG</t>
  </si>
  <si>
    <t>Guarani</t>
  </si>
  <si>
    <t>QAR</t>
  </si>
  <si>
    <t>Qatari Rial</t>
  </si>
  <si>
    <t>RON</t>
  </si>
  <si>
    <t>New Leu</t>
  </si>
  <si>
    <t>RSD</t>
  </si>
  <si>
    <t>Serbian Dinar</t>
  </si>
  <si>
    <t>RUB</t>
  </si>
  <si>
    <t>Russian Ruble</t>
  </si>
  <si>
    <t>RWF</t>
  </si>
  <si>
    <t>Rwanda Franc</t>
  </si>
  <si>
    <t>SAR</t>
  </si>
  <si>
    <t>Saudi Riyal</t>
  </si>
  <si>
    <t>SBD</t>
  </si>
  <si>
    <t>Solomon Islands Dollar</t>
  </si>
  <si>
    <t>SCR</t>
  </si>
  <si>
    <t>Seychelles Rupee</t>
  </si>
  <si>
    <t>SDG</t>
  </si>
  <si>
    <t>Sudanese Pound</t>
  </si>
  <si>
    <t>SEK</t>
  </si>
  <si>
    <t>Swedish Krona</t>
  </si>
  <si>
    <t>SGD</t>
  </si>
  <si>
    <t>Singapore Dollar</t>
  </si>
  <si>
    <t>SHP</t>
  </si>
  <si>
    <t>Saint Helena Pound</t>
  </si>
  <si>
    <t>SIT</t>
  </si>
  <si>
    <t>Slovenian tolar</t>
  </si>
  <si>
    <t>SKK</t>
  </si>
  <si>
    <t>Slovak Koruna</t>
  </si>
  <si>
    <t>SLL</t>
  </si>
  <si>
    <t>Leone</t>
  </si>
  <si>
    <t>SOS</t>
  </si>
  <si>
    <t>Somali Shilling</t>
  </si>
  <si>
    <t>SRD</t>
  </si>
  <si>
    <t>Surinam Dollar</t>
  </si>
  <si>
    <t>STD</t>
  </si>
  <si>
    <t>Dobra</t>
  </si>
  <si>
    <t>SVC</t>
  </si>
  <si>
    <t>El Salvador Colon</t>
  </si>
  <si>
    <t>SYP</t>
  </si>
  <si>
    <t>Syrian Pound</t>
  </si>
  <si>
    <t>SZL</t>
  </si>
  <si>
    <t>Lilangeni</t>
  </si>
  <si>
    <t>THB</t>
  </si>
  <si>
    <t>Baht</t>
  </si>
  <si>
    <t>TJS</t>
  </si>
  <si>
    <t>Somoni</t>
  </si>
  <si>
    <t>TMT</t>
  </si>
  <si>
    <t>Manat</t>
  </si>
  <si>
    <t>TND</t>
  </si>
  <si>
    <t>Tunisian Dinar</t>
  </si>
  <si>
    <t>TOP</t>
  </si>
  <si>
    <t>Pa'anga</t>
  </si>
  <si>
    <t>TRY</t>
  </si>
  <si>
    <t>Turkish Lira</t>
  </si>
  <si>
    <t>TTD</t>
  </si>
  <si>
    <t>Trinidad and Tobago Dollar</t>
  </si>
  <si>
    <t>TWD</t>
  </si>
  <si>
    <t>New Taiwan Dollar</t>
  </si>
  <si>
    <t>TZS</t>
  </si>
  <si>
    <t>Tanzanian Shilling</t>
  </si>
  <si>
    <t>UAH</t>
  </si>
  <si>
    <t>Hryvnia</t>
  </si>
  <si>
    <t>UGX</t>
  </si>
  <si>
    <t>Uganda Shilling</t>
  </si>
  <si>
    <t>UNK</t>
  </si>
  <si>
    <t>Unknown Currency (Placeholder Only)</t>
  </si>
  <si>
    <t>USD</t>
  </si>
  <si>
    <t>US Dollar</t>
  </si>
  <si>
    <t>USN</t>
  </si>
  <si>
    <t>US Dollar (Next day)</t>
  </si>
  <si>
    <t>USS</t>
  </si>
  <si>
    <t>US Dollar (Same day)</t>
  </si>
  <si>
    <t>UYI</t>
  </si>
  <si>
    <t>Uruguay Peso en Unidades Indexadas</t>
  </si>
  <si>
    <t>UYU</t>
  </si>
  <si>
    <t>Peso Uruguayo</t>
  </si>
  <si>
    <t>UZS</t>
  </si>
  <si>
    <t>Uzbekistan Sum</t>
  </si>
  <si>
    <t>VEB</t>
  </si>
  <si>
    <t>Venezuelan bolívar</t>
  </si>
  <si>
    <t>VEF</t>
  </si>
  <si>
    <t>Bolivar Fuerte</t>
  </si>
  <si>
    <t>VND</t>
  </si>
  <si>
    <t>Dong</t>
  </si>
  <si>
    <t>VUV</t>
  </si>
  <si>
    <t>Vatu</t>
  </si>
  <si>
    <t>WST</t>
  </si>
  <si>
    <t>Tala</t>
  </si>
  <si>
    <t>XAF</t>
  </si>
  <si>
    <t>CFA Franc BEAC</t>
  </si>
  <si>
    <t>XAG</t>
  </si>
  <si>
    <t>Silver</t>
  </si>
  <si>
    <t>XAU</t>
  </si>
  <si>
    <t>Gold</t>
  </si>
  <si>
    <t>XBA</t>
  </si>
  <si>
    <t>Bond Markets Units Eur.Comp. Unit(EURCO)</t>
  </si>
  <si>
    <t>XBB</t>
  </si>
  <si>
    <t>European Monetary Unit (E.M.U.-6)</t>
  </si>
  <si>
    <t>XBC</t>
  </si>
  <si>
    <t>European Unit of Account 9(E.U.A.-9)</t>
  </si>
  <si>
    <t>XBD</t>
  </si>
  <si>
    <t>European Unit of Account 17(E.U.A.-17)</t>
  </si>
  <si>
    <t>XCD</t>
  </si>
  <si>
    <t>East Caribbean Dollar</t>
  </si>
  <si>
    <t>XDR</t>
  </si>
  <si>
    <t>SDR</t>
  </si>
  <si>
    <t>XOF</t>
  </si>
  <si>
    <t>CFA Franc BCEAO</t>
  </si>
  <si>
    <t>XPD</t>
  </si>
  <si>
    <t>Palladium</t>
  </si>
  <si>
    <t>XPF</t>
  </si>
  <si>
    <t>CFP Franc</t>
  </si>
  <si>
    <t>XPT</t>
  </si>
  <si>
    <t>Platinum</t>
  </si>
  <si>
    <t>XTS</t>
  </si>
  <si>
    <t>Codes reserved for testing purposes</t>
  </si>
  <si>
    <t>XXX</t>
  </si>
  <si>
    <t>Investment Units</t>
  </si>
  <si>
    <t>YER</t>
  </si>
  <si>
    <t>Yemeni Rial</t>
  </si>
  <si>
    <t>ZAR</t>
  </si>
  <si>
    <t>Rand</t>
  </si>
  <si>
    <t>Zim</t>
  </si>
  <si>
    <t xml:space="preserve">Zimbabwean Dollar </t>
  </si>
  <si>
    <t>ZMK</t>
  </si>
  <si>
    <t>Zambian Kwacha</t>
  </si>
  <si>
    <t>ZWL</t>
  </si>
  <si>
    <t>Zimbabwe Dollar</t>
  </si>
  <si>
    <t>4227</t>
  </si>
  <si>
    <t>Structured Solutions</t>
  </si>
  <si>
    <t>2012-12-31</t>
  </si>
  <si>
    <t>4228</t>
  </si>
  <si>
    <t>4316</t>
  </si>
  <si>
    <t>2014-07-23</t>
  </si>
  <si>
    <t>4590</t>
  </si>
  <si>
    <t>2011-01-31</t>
  </si>
  <si>
    <t>4653</t>
  </si>
  <si>
    <t>2012-01-11</t>
  </si>
  <si>
    <t>4654</t>
  </si>
  <si>
    <t>4666</t>
  </si>
  <si>
    <t>4667</t>
  </si>
  <si>
    <t>4668</t>
  </si>
  <si>
    <t>4669</t>
  </si>
  <si>
    <t>4758</t>
  </si>
  <si>
    <t>2012-11-13</t>
  </si>
  <si>
    <t>4953</t>
  </si>
  <si>
    <t>5320</t>
  </si>
  <si>
    <t>2015-01-15</t>
  </si>
  <si>
    <t>5344</t>
  </si>
  <si>
    <t>2015-06-23</t>
  </si>
  <si>
    <t>4176</t>
  </si>
  <si>
    <t>2012-02-29</t>
  </si>
  <si>
    <t>Bespoke</t>
  </si>
  <si>
    <t>4754</t>
  </si>
  <si>
    <t>2016-04-05</t>
  </si>
  <si>
    <t>4766</t>
  </si>
  <si>
    <t>2012-11-20</t>
  </si>
  <si>
    <t>5357</t>
  </si>
  <si>
    <t>2016-02-01</t>
  </si>
  <si>
    <t>4719</t>
  </si>
  <si>
    <t>Index Equity</t>
  </si>
  <si>
    <t>2015-09-30</t>
  </si>
  <si>
    <t>FTSE World North America Index - Gross</t>
  </si>
  <si>
    <t>5358</t>
  </si>
  <si>
    <t>Active Bond</t>
  </si>
  <si>
    <t>2016-06-09</t>
  </si>
  <si>
    <t>5600</t>
  </si>
  <si>
    <t>9032</t>
  </si>
  <si>
    <t>2002-12-31</t>
  </si>
  <si>
    <t>FTSE W Pacific x J</t>
  </si>
  <si>
    <t>9045</t>
  </si>
  <si>
    <t>2008-03-31</t>
  </si>
  <si>
    <t>FTSE World ex UK Index - Net</t>
  </si>
  <si>
    <t>9048</t>
  </si>
  <si>
    <t>2008-11-30</t>
  </si>
  <si>
    <t>FTSE All Share - Capital</t>
  </si>
  <si>
    <t>9458</t>
  </si>
  <si>
    <t>4719G</t>
  </si>
  <si>
    <t>2012-07-10</t>
  </si>
  <si>
    <t>9045T</t>
  </si>
  <si>
    <t>FTSE World ex UK Index- Capital</t>
  </si>
  <si>
    <t>9048T</t>
  </si>
  <si>
    <t>FTSE All Share - Gross</t>
  </si>
  <si>
    <t>9458T</t>
  </si>
  <si>
    <t>1485</t>
  </si>
  <si>
    <t>Asset Allocation</t>
  </si>
  <si>
    <t>2016-02-05</t>
  </si>
  <si>
    <t>FTSE World Asia Pacific ex Japan (GBP) Net Top level</t>
  </si>
  <si>
    <t>4032</t>
  </si>
  <si>
    <t>Index Bond</t>
  </si>
  <si>
    <t>Citi EMU Govt Over 5 Yrs (EUR) - Gross</t>
  </si>
  <si>
    <t>4033</t>
  </si>
  <si>
    <t>2012-01-31</t>
  </si>
  <si>
    <t>ISEQ Overall - Gross</t>
  </si>
  <si>
    <t>4529</t>
  </si>
  <si>
    <t>JP Morgan GBI-EM Global Diversified Index (EUR Unhedged) - Gross</t>
  </si>
  <si>
    <t>1003</t>
  </si>
  <si>
    <t>2002-06-30</t>
  </si>
  <si>
    <t>1004</t>
  </si>
  <si>
    <t>Active Mixed</t>
  </si>
  <si>
    <t>2012-07-31</t>
  </si>
  <si>
    <t>1011</t>
  </si>
  <si>
    <t>1997-03-31</t>
  </si>
  <si>
    <t>Citi EMU GBI &gt;3 Years Index - Gross</t>
  </si>
  <si>
    <t>1052</t>
  </si>
  <si>
    <t>2009-08-26</t>
  </si>
  <si>
    <t>FTSE Emerging Index (GBP) - Net (Top level)</t>
  </si>
  <si>
    <t>1054</t>
  </si>
  <si>
    <t>Cash only</t>
  </si>
  <si>
    <t>2014-12-31</t>
  </si>
  <si>
    <t>4531</t>
  </si>
  <si>
    <t>2015-09-22</t>
  </si>
  <si>
    <t>4533</t>
  </si>
  <si>
    <t>2015-06-18</t>
  </si>
  <si>
    <t>4542</t>
  </si>
  <si>
    <t>2014-02-18</t>
  </si>
  <si>
    <t>MSCI LGIM Emerging Markets - Net</t>
  </si>
  <si>
    <t>4544</t>
  </si>
  <si>
    <t>Currency Hedging</t>
  </si>
  <si>
    <t>2014-01-14</t>
  </si>
  <si>
    <t>4547</t>
  </si>
  <si>
    <t>2015-05-06</t>
  </si>
  <si>
    <t>4548</t>
  </si>
  <si>
    <t>2016-02-29</t>
  </si>
  <si>
    <t>Bloomberg Barclays U.S. Long Credit (Rtns) - Hedged GBP (Gross)</t>
  </si>
  <si>
    <t>4554</t>
  </si>
  <si>
    <t>2010-05-19</t>
  </si>
  <si>
    <t>FTSE British Government Index-Linked Over 5 Years - Gross</t>
  </si>
  <si>
    <t>4559</t>
  </si>
  <si>
    <t>2010-05-01</t>
  </si>
  <si>
    <t>Markit iBoxx £ Non-Gilts ex-BBB 15+ - Gross</t>
  </si>
  <si>
    <t>4565</t>
  </si>
  <si>
    <t>2016-02-08</t>
  </si>
  <si>
    <t>BofA Merrill Lynch Q883 Custom Index (GBP) - Gross</t>
  </si>
  <si>
    <t>4566</t>
  </si>
  <si>
    <t>2010-05-25</t>
  </si>
  <si>
    <t>4567</t>
  </si>
  <si>
    <t>4569</t>
  </si>
  <si>
    <t>2010-12-08</t>
  </si>
  <si>
    <t>7 Day GBP LIBID - Gross</t>
  </si>
  <si>
    <t>4570</t>
  </si>
  <si>
    <t>2010-07-12</t>
  </si>
  <si>
    <t>4576</t>
  </si>
  <si>
    <t>2010-04-30</t>
  </si>
  <si>
    <t>Bloomberg Barclays Euro Aggregate Corporate 25% Sector Cap (EUR Rtns) - Gross</t>
  </si>
  <si>
    <t>4579</t>
  </si>
  <si>
    <t>2010-06-09</t>
  </si>
  <si>
    <t>4581</t>
  </si>
  <si>
    <t>2010-07-31</t>
  </si>
  <si>
    <t>Markit iBoxx Euro Corporates - Gross</t>
  </si>
  <si>
    <t>4589</t>
  </si>
  <si>
    <t>2013-12-02</t>
  </si>
  <si>
    <t>BofA Merrill Lynch Q779 Custom Index - Gross</t>
  </si>
  <si>
    <t>4593</t>
  </si>
  <si>
    <t>2010-11-30</t>
  </si>
  <si>
    <t>4595</t>
  </si>
  <si>
    <t>2016-03-01</t>
  </si>
  <si>
    <t>Markit iBoxx £ Non-Gilts 10+ - Gross</t>
  </si>
  <si>
    <t>4597</t>
  </si>
  <si>
    <t>2012-04-03</t>
  </si>
  <si>
    <t>4599</t>
  </si>
  <si>
    <t>2010-10-31</t>
  </si>
  <si>
    <t>4601</t>
  </si>
  <si>
    <t>2011-01-25</t>
  </si>
  <si>
    <t>4602</t>
  </si>
  <si>
    <t>2012-04-30</t>
  </si>
  <si>
    <t>MSCI EU SC exUK exEQ REITS ex M REITS TX 2016 - Net</t>
  </si>
  <si>
    <t>4615</t>
  </si>
  <si>
    <t>2011-07-20</t>
  </si>
  <si>
    <t>4616</t>
  </si>
  <si>
    <t>2011-04-01</t>
  </si>
  <si>
    <t>4621</t>
  </si>
  <si>
    <t>2011-02-07</t>
  </si>
  <si>
    <t>MSCI WORLD ex Israel ex Non US REITs ex Stapled Securities ex TRUST - Net</t>
  </si>
  <si>
    <t>4624</t>
  </si>
  <si>
    <t>2011-03-28</t>
  </si>
  <si>
    <t>4630</t>
  </si>
  <si>
    <t>4631</t>
  </si>
  <si>
    <t>2016-11-07</t>
  </si>
  <si>
    <t>FTSE Developed Index - Net</t>
  </si>
  <si>
    <t>4636</t>
  </si>
  <si>
    <t>2012-07-25</t>
  </si>
  <si>
    <t>4642</t>
  </si>
  <si>
    <t>2011-07-01</t>
  </si>
  <si>
    <t>4643</t>
  </si>
  <si>
    <t>2011-12-31</t>
  </si>
  <si>
    <t>4645</t>
  </si>
  <si>
    <t>4646</t>
  </si>
  <si>
    <t>2012-11-30</t>
  </si>
  <si>
    <t>4647</t>
  </si>
  <si>
    <t>4649</t>
  </si>
  <si>
    <t>2012-02-14</t>
  </si>
  <si>
    <t>FTSE All World Index- Gross</t>
  </si>
  <si>
    <t>4650</t>
  </si>
  <si>
    <t>2011-07-31</t>
  </si>
  <si>
    <t>4655</t>
  </si>
  <si>
    <t>2011-10-13</t>
  </si>
  <si>
    <t>MSCI World ex Select Securities - Net</t>
  </si>
  <si>
    <t>4657</t>
  </si>
  <si>
    <t>2012-08-31</t>
  </si>
  <si>
    <t>4658</t>
  </si>
  <si>
    <t>2011-12-01</t>
  </si>
  <si>
    <t>4659</t>
  </si>
  <si>
    <t>4673</t>
  </si>
  <si>
    <t>2012-03-22</t>
  </si>
  <si>
    <t>4674</t>
  </si>
  <si>
    <t>4675</t>
  </si>
  <si>
    <t>4676</t>
  </si>
  <si>
    <t>4681</t>
  </si>
  <si>
    <t>4683</t>
  </si>
  <si>
    <t>2013-01-22</t>
  </si>
  <si>
    <t>4685</t>
  </si>
  <si>
    <t>2012-03-15</t>
  </si>
  <si>
    <t>Markit iBoxx Euro Non-Financials - Gross</t>
  </si>
  <si>
    <t>4686</t>
  </si>
  <si>
    <t>FTSE World Index - Net</t>
  </si>
  <si>
    <t>4689</t>
  </si>
  <si>
    <t>2012-11-14</t>
  </si>
  <si>
    <t>4691</t>
  </si>
  <si>
    <t>4693</t>
  </si>
  <si>
    <t>2012-07-13</t>
  </si>
  <si>
    <t>Bloomberg Barclays Global Inflation-Linked: U.S. TIPS (Rtns) - Gross</t>
  </si>
  <si>
    <t>4695</t>
  </si>
  <si>
    <t>2013-07-08</t>
  </si>
  <si>
    <t>MSCI All Country Asia Ex Japan - Net</t>
  </si>
  <si>
    <t>4696</t>
  </si>
  <si>
    <t>Operations</t>
  </si>
  <si>
    <t>2016-03-03</t>
  </si>
  <si>
    <t>FTSE RAFI UK Equity Income Index</t>
  </si>
  <si>
    <t>4697</t>
  </si>
  <si>
    <t>2016-03-02</t>
  </si>
  <si>
    <t>FTSE RAFI Developed Europe Equity Income Index</t>
  </si>
  <si>
    <t>4699</t>
  </si>
  <si>
    <t>FTSE RAFI US Equity Income Index</t>
  </si>
  <si>
    <t>4707</t>
  </si>
  <si>
    <t>2012-05-21</t>
  </si>
  <si>
    <t>BofA Merrill Lynch 5+ Year AAA-AA Euro Government Index - Gross</t>
  </si>
  <si>
    <t>4709</t>
  </si>
  <si>
    <t>2012-05-31</t>
  </si>
  <si>
    <t>MSCI Europe - Net</t>
  </si>
  <si>
    <t>4713</t>
  </si>
  <si>
    <t>2012-06-30</t>
  </si>
  <si>
    <t>4722</t>
  </si>
  <si>
    <t>2012-08-08</t>
  </si>
  <si>
    <t>4723</t>
  </si>
  <si>
    <t>Bloomberg Barclays Global Aggregate Corporate - European Euro (Rtns) - Gross</t>
  </si>
  <si>
    <t>4729</t>
  </si>
  <si>
    <t>2012-10-05</t>
  </si>
  <si>
    <t>BofA Merrill Lynch Custom Q714 - Gross</t>
  </si>
  <si>
    <t>4734</t>
  </si>
  <si>
    <t>2012-09-05</t>
  </si>
  <si>
    <t>4736</t>
  </si>
  <si>
    <t>2012-09-04</t>
  </si>
  <si>
    <t>4747</t>
  </si>
  <si>
    <t>Synthetic Equity Portfolio</t>
  </si>
  <si>
    <t>2012-10-25</t>
  </si>
  <si>
    <t>4748</t>
  </si>
  <si>
    <t>4756</t>
  </si>
  <si>
    <t>2012-11-15</t>
  </si>
  <si>
    <t>4762</t>
  </si>
  <si>
    <t>2013-09-30</t>
  </si>
  <si>
    <t>JP Morgan GBI-EM Global Diversified Index (GBP Unhedged) - Gross</t>
  </si>
  <si>
    <t>4767</t>
  </si>
  <si>
    <t>BofA Merrill Lynch 1-5 Year US Treasury &amp; Agency Index - Gross</t>
  </si>
  <si>
    <t>4772</t>
  </si>
  <si>
    <t>2016-01-18</t>
  </si>
  <si>
    <t>4773</t>
  </si>
  <si>
    <t>2013-07-31</t>
  </si>
  <si>
    <t>4774</t>
  </si>
  <si>
    <t>4776</t>
  </si>
  <si>
    <t>4777</t>
  </si>
  <si>
    <t>Bloomberg Barclays US Corporate ex BBB 1-5 Years (Rtns) - Gross</t>
  </si>
  <si>
    <t>4779</t>
  </si>
  <si>
    <t>Bloomberg Barclays US Treasury TIPS 1-5 Year (Rtns) - Gross</t>
  </si>
  <si>
    <t>4782</t>
  </si>
  <si>
    <t>2016-04-11</t>
  </si>
  <si>
    <t>4783</t>
  </si>
  <si>
    <t>2012-11-01</t>
  </si>
  <si>
    <t>JP Morgan Global Government (ex-UK) traded bond - Hedged GBP - Gross</t>
  </si>
  <si>
    <t>4787</t>
  </si>
  <si>
    <t>2015-05-25</t>
  </si>
  <si>
    <t>MSCI Hong Kong ex ineligibles @ ADIA custom tax rates ND - Net</t>
  </si>
  <si>
    <t>4789</t>
  </si>
  <si>
    <t>MSCI China ex ineligibles @ ADIA custom tax rates ND - Net</t>
  </si>
  <si>
    <t>4799</t>
  </si>
  <si>
    <t>MSCI Taiwan Ex Ineligibles @ ADIA Custom Tax Rate ND - Net</t>
  </si>
  <si>
    <t>4809</t>
  </si>
  <si>
    <t>2016-05-04</t>
  </si>
  <si>
    <t>4816</t>
  </si>
  <si>
    <t>2013-01-31</t>
  </si>
  <si>
    <t>4817</t>
  </si>
  <si>
    <t>2013-02-27</t>
  </si>
  <si>
    <t>4842</t>
  </si>
  <si>
    <t>2013-05-31</t>
  </si>
  <si>
    <t>4843</t>
  </si>
  <si>
    <t>4844</t>
  </si>
  <si>
    <t>2013-03-26</t>
  </si>
  <si>
    <t>FTSE 350 Screened Equity Index - Gross</t>
  </si>
  <si>
    <t>4846</t>
  </si>
  <si>
    <t>2013-04-01</t>
  </si>
  <si>
    <t>4847</t>
  </si>
  <si>
    <t>Bloomberg Barclays GDP Global Tsy 1-3 year: A and Above - Hedged NOK (Rtns) - Gross</t>
  </si>
  <si>
    <t>4848</t>
  </si>
  <si>
    <t>2013-03-27</t>
  </si>
  <si>
    <t>Bloomberg Barclays Jasmijn Euro Treasury Long Bond (Rtns) - Gross</t>
  </si>
  <si>
    <t>4849</t>
  </si>
  <si>
    <t>2013-07-18</t>
  </si>
  <si>
    <t>MSCI World - Net</t>
  </si>
  <si>
    <t>4853</t>
  </si>
  <si>
    <t>2013-09-23</t>
  </si>
  <si>
    <t>MSCI EM ex Select Sub-Industries - Net</t>
  </si>
  <si>
    <t>4854</t>
  </si>
  <si>
    <t>2014-07-09</t>
  </si>
  <si>
    <t>FTSE Custom 76% British Govt I-L over 15years 24%British Govt I-L upto 15years Index - Gross</t>
  </si>
  <si>
    <t>4859</t>
  </si>
  <si>
    <t>2014-07-11</t>
  </si>
  <si>
    <t>Markit iBoxx £ Non-Gilts ex-BBB - Gross</t>
  </si>
  <si>
    <t>4869</t>
  </si>
  <si>
    <t>2011-09-30</t>
  </si>
  <si>
    <t>Markit iBoxx £ Collateralized &amp; Corporates - Gross</t>
  </si>
  <si>
    <t>4874</t>
  </si>
  <si>
    <t>2016-04-08</t>
  </si>
  <si>
    <t>4876</t>
  </si>
  <si>
    <t>2013-08-01</t>
  </si>
  <si>
    <t>JP Morgan Global - All Maturities ex EMU (Hedged EUR) - Gross</t>
  </si>
  <si>
    <t>4877</t>
  </si>
  <si>
    <t>2015-12-10</t>
  </si>
  <si>
    <t>JP Morgan EMBIG Hedged EUR - Gross</t>
  </si>
  <si>
    <t>4902</t>
  </si>
  <si>
    <t>2013-06-21</t>
  </si>
  <si>
    <t>4903</t>
  </si>
  <si>
    <t>2013-06-18</t>
  </si>
  <si>
    <t>4904</t>
  </si>
  <si>
    <t>4906</t>
  </si>
  <si>
    <t>2013-07-01</t>
  </si>
  <si>
    <t>4907</t>
  </si>
  <si>
    <t>4908</t>
  </si>
  <si>
    <t>4909</t>
  </si>
  <si>
    <t>4917</t>
  </si>
  <si>
    <t>2013-12-16</t>
  </si>
  <si>
    <t>4928</t>
  </si>
  <si>
    <t>2014-08-18</t>
  </si>
  <si>
    <t>4929</t>
  </si>
  <si>
    <t>2014-05-31</t>
  </si>
  <si>
    <t>4946</t>
  </si>
  <si>
    <t>2014-01-28</t>
  </si>
  <si>
    <t>MSCI Europe Custom ESG Special Tax Index - Net</t>
  </si>
  <si>
    <t>4954</t>
  </si>
  <si>
    <t>2013-10-24</t>
  </si>
  <si>
    <t>4956</t>
  </si>
  <si>
    <t>4959</t>
  </si>
  <si>
    <t>2009-10-31</t>
  </si>
  <si>
    <t>FTSE British Government Index-Linked Over 15 Years - Gross</t>
  </si>
  <si>
    <t>4961</t>
  </si>
  <si>
    <t>2009-08-31</t>
  </si>
  <si>
    <t>4963</t>
  </si>
  <si>
    <t>2014-07-17</t>
  </si>
  <si>
    <t>MSCI Europe ex UK ex REITS Special Tax - Net</t>
  </si>
  <si>
    <t>4988</t>
  </si>
  <si>
    <t>5200</t>
  </si>
  <si>
    <t>2010-10-01</t>
  </si>
  <si>
    <t>5201</t>
  </si>
  <si>
    <t>Control FOG</t>
  </si>
  <si>
    <t>2011-01-05</t>
  </si>
  <si>
    <t>5202</t>
  </si>
  <si>
    <t>2014-03-03</t>
  </si>
  <si>
    <t>5210</t>
  </si>
  <si>
    <t>2016-03-31</t>
  </si>
  <si>
    <t>5211</t>
  </si>
  <si>
    <t>2012-09-30</t>
  </si>
  <si>
    <t>Bloomberg Barclays USD/EUR/GBP Corp 1% Issuer Capped - Unhedged GBP (Rtns) - Gross</t>
  </si>
  <si>
    <t>5213</t>
  </si>
  <si>
    <t>Bloomberg Barclays EUR Corp 1% Issuer Cap (Rtns)- Gross</t>
  </si>
  <si>
    <t>5215</t>
  </si>
  <si>
    <t>5341</t>
  </si>
  <si>
    <t>2015-07-22</t>
  </si>
  <si>
    <t>5349</t>
  </si>
  <si>
    <t>2015-08-31</t>
  </si>
  <si>
    <t>5350</t>
  </si>
  <si>
    <t>2015-08-24</t>
  </si>
  <si>
    <t>5355</t>
  </si>
  <si>
    <t>2016-07-01</t>
  </si>
  <si>
    <t>5356</t>
  </si>
  <si>
    <t>2015-11-16</t>
  </si>
  <si>
    <t>5359</t>
  </si>
  <si>
    <t>2016-04-22</t>
  </si>
  <si>
    <t>5360</t>
  </si>
  <si>
    <t>5371</t>
  </si>
  <si>
    <t>2016-06-01</t>
  </si>
  <si>
    <t>5374</t>
  </si>
  <si>
    <t>2016-07-07</t>
  </si>
  <si>
    <t>5375</t>
  </si>
  <si>
    <t>2016-07-15</t>
  </si>
  <si>
    <t>5376</t>
  </si>
  <si>
    <t>2016-10-03</t>
  </si>
  <si>
    <t>5401</t>
  </si>
  <si>
    <t>2013-11-28</t>
  </si>
  <si>
    <t>BofA Merrill Lynch US Dollar 3-Month Deposit Offered Rate Constant Maturity Index (USD) Top Level - Gross</t>
  </si>
  <si>
    <t>5404</t>
  </si>
  <si>
    <t>5405</t>
  </si>
  <si>
    <t>ML 3M Libor</t>
  </si>
  <si>
    <t>5410</t>
  </si>
  <si>
    <t>2008-04-30</t>
  </si>
  <si>
    <t>Markit iBoxx £ Non-Gilts - Gross</t>
  </si>
  <si>
    <t>5411</t>
  </si>
  <si>
    <t>2014-03-31</t>
  </si>
  <si>
    <t>5412</t>
  </si>
  <si>
    <t>Bloomberg Barclays U.S. Credit (Rtns) - Gross</t>
  </si>
  <si>
    <t>5413</t>
  </si>
  <si>
    <t>2014-05-08</t>
  </si>
  <si>
    <t>5414</t>
  </si>
  <si>
    <t>2014-05-09</t>
  </si>
  <si>
    <t>Bloomberg Barclays Pan Euro Credit ex Subordinated Custom (Rtns) - Gross</t>
  </si>
  <si>
    <t>5415</t>
  </si>
  <si>
    <t>5416</t>
  </si>
  <si>
    <t>Other</t>
  </si>
  <si>
    <t>2014-05-22</t>
  </si>
  <si>
    <t>5417</t>
  </si>
  <si>
    <t>5418</t>
  </si>
  <si>
    <t>2015-09-02</t>
  </si>
  <si>
    <t>5420</t>
  </si>
  <si>
    <t>2016-10-24</t>
  </si>
  <si>
    <t>JP Morgan 50% JPM EMBI-GD 3-5year &amp; 50% JPM CEMBI-BD 3-5year - Gross</t>
  </si>
  <si>
    <t>5422</t>
  </si>
  <si>
    <t>2015-05-11</t>
  </si>
  <si>
    <t>5423</t>
  </si>
  <si>
    <t>5424</t>
  </si>
  <si>
    <t>5427</t>
  </si>
  <si>
    <t>JP Morgan Custom 50% EMBI Global Diversified and 50% CEMBI Diversified index - Gross</t>
  </si>
  <si>
    <t>5538</t>
  </si>
  <si>
    <t>2015-03-02</t>
  </si>
  <si>
    <t>5572</t>
  </si>
  <si>
    <t>2015-04-17</t>
  </si>
  <si>
    <t>5573</t>
  </si>
  <si>
    <t>5579</t>
  </si>
  <si>
    <t>2015-10-05</t>
  </si>
  <si>
    <t>5683</t>
  </si>
  <si>
    <t>5684</t>
  </si>
  <si>
    <t>5686</t>
  </si>
  <si>
    <t>5937</t>
  </si>
  <si>
    <t>2013-07-24</t>
  </si>
  <si>
    <t>5938</t>
  </si>
  <si>
    <t>2014-09-30</t>
  </si>
  <si>
    <t>5974</t>
  </si>
  <si>
    <t>2012-10-31</t>
  </si>
  <si>
    <t>5975</t>
  </si>
  <si>
    <t>2013-07-23</t>
  </si>
  <si>
    <t>5976</t>
  </si>
  <si>
    <t>2012-11-22</t>
  </si>
  <si>
    <t>5977</t>
  </si>
  <si>
    <t>5978</t>
  </si>
  <si>
    <t>2012-12-12</t>
  </si>
  <si>
    <t>6501</t>
  </si>
  <si>
    <t>Active Equity</t>
  </si>
  <si>
    <t>CPI+4% (LGIM methodology)</t>
  </si>
  <si>
    <t>8401</t>
  </si>
  <si>
    <t>8402</t>
  </si>
  <si>
    <t>2016-05-19</t>
  </si>
  <si>
    <t>JP Morgan GBI-EM Global Diversified Index - Gross Top level</t>
  </si>
  <si>
    <t>8409</t>
  </si>
  <si>
    <t>2016-04-12</t>
  </si>
  <si>
    <t>8414</t>
  </si>
  <si>
    <t>2016-04-29</t>
  </si>
  <si>
    <t>8415</t>
  </si>
  <si>
    <t>FTSE Emerging Index - Net</t>
  </si>
  <si>
    <t>8421</t>
  </si>
  <si>
    <t>2016-07-12</t>
  </si>
  <si>
    <t>BofA Merrill Lynch 1-3 Year US Treasury &amp; Agency Index - Gross</t>
  </si>
  <si>
    <t>8425</t>
  </si>
  <si>
    <t>8433</t>
  </si>
  <si>
    <t>2016-07-19</t>
  </si>
  <si>
    <t>8435</t>
  </si>
  <si>
    <t>2016-07-31</t>
  </si>
  <si>
    <t>MSCI UK Small Cap ex REITs Special Tax - Net</t>
  </si>
  <si>
    <t>8448</t>
  </si>
  <si>
    <t>2016-09-19</t>
  </si>
  <si>
    <t>8454</t>
  </si>
  <si>
    <t>8460</t>
  </si>
  <si>
    <t>Segregated Funds</t>
  </si>
  <si>
    <t>2016-11-01</t>
  </si>
  <si>
    <t>8461</t>
  </si>
  <si>
    <t>8463</t>
  </si>
  <si>
    <t>2016-10-31</t>
  </si>
  <si>
    <t>8466</t>
  </si>
  <si>
    <t>2016-11-04</t>
  </si>
  <si>
    <t>8467</t>
  </si>
  <si>
    <t>8549</t>
  </si>
  <si>
    <t>2016-11-22</t>
  </si>
  <si>
    <t>8550</t>
  </si>
  <si>
    <t>8811</t>
  </si>
  <si>
    <t>8920</t>
  </si>
  <si>
    <t>8922</t>
  </si>
  <si>
    <t>8925</t>
  </si>
  <si>
    <t>8926</t>
  </si>
  <si>
    <t>2015-09-08</t>
  </si>
  <si>
    <t>8983</t>
  </si>
  <si>
    <t>9013</t>
  </si>
  <si>
    <t>2003-12-31</t>
  </si>
  <si>
    <t>NSCI ex-Investment Companies ICB</t>
  </si>
  <si>
    <t>9014</t>
  </si>
  <si>
    <t>2006-12-31</t>
  </si>
  <si>
    <t>Markit iBoxx £ Corporates</t>
  </si>
  <si>
    <t>9015</t>
  </si>
  <si>
    <t>2000-06-05</t>
  </si>
  <si>
    <t>FTSE All Gilts</t>
  </si>
  <si>
    <t>9017</t>
  </si>
  <si>
    <t>FTSE World Europe ex UK Index- Gross</t>
  </si>
  <si>
    <t>9018</t>
  </si>
  <si>
    <t>2008-11-10</t>
  </si>
  <si>
    <t>FTSE AW Asia Pacific ex Japan</t>
  </si>
  <si>
    <t>9022</t>
  </si>
  <si>
    <t>2014-09-24</t>
  </si>
  <si>
    <t>FTSE World Index - Capital</t>
  </si>
  <si>
    <t>9024</t>
  </si>
  <si>
    <t>FTSE World Europe ex UK Index - Capital</t>
  </si>
  <si>
    <t>9025</t>
  </si>
  <si>
    <t>FTA Japan</t>
  </si>
  <si>
    <t>9028</t>
  </si>
  <si>
    <t>9029</t>
  </si>
  <si>
    <t>FTSE USA</t>
  </si>
  <si>
    <t>9031</t>
  </si>
  <si>
    <t>2007-12-31</t>
  </si>
  <si>
    <t>FTSE 100 - Gross</t>
  </si>
  <si>
    <t>9033</t>
  </si>
  <si>
    <t>2000-12-31</t>
  </si>
  <si>
    <t>FTSE 350 ex Investment Trusts - Gross</t>
  </si>
  <si>
    <t>9038</t>
  </si>
  <si>
    <t>FTSE All Share</t>
  </si>
  <si>
    <t>9041</t>
  </si>
  <si>
    <t>2008-12-31</t>
  </si>
  <si>
    <t>iBoxx £ Corporates</t>
  </si>
  <si>
    <t>9043</t>
  </si>
  <si>
    <t>9046</t>
  </si>
  <si>
    <t>FTSE All Share (Capital to 30.09.10)</t>
  </si>
  <si>
    <t>9055</t>
  </si>
  <si>
    <t>2012-03-29</t>
  </si>
  <si>
    <t>9151</t>
  </si>
  <si>
    <t>2004-09-30</t>
  </si>
  <si>
    <t>FTSE 350 - Capital</t>
  </si>
  <si>
    <t>9344</t>
  </si>
  <si>
    <t>2016-09-07</t>
  </si>
  <si>
    <t>3 Month GBP LIBOR - Gross</t>
  </si>
  <si>
    <t>9456</t>
  </si>
  <si>
    <t>FTSE 350 Custom Weighted Index + additional Scope index</t>
  </si>
  <si>
    <t>9457</t>
  </si>
  <si>
    <t>2004-02-02</t>
  </si>
  <si>
    <t>FTSE British Government Index-Linked All Stocks - Gross</t>
  </si>
  <si>
    <t>9459</t>
  </si>
  <si>
    <t>2005-05-31</t>
  </si>
  <si>
    <t>9463</t>
  </si>
  <si>
    <t>2015-12-31</t>
  </si>
  <si>
    <t>FTSE All World Emerging (Total Net)</t>
  </si>
  <si>
    <t>9464</t>
  </si>
  <si>
    <t>2011-03-31</t>
  </si>
  <si>
    <t>9466</t>
  </si>
  <si>
    <t>9468</t>
  </si>
  <si>
    <t>2013-08-28</t>
  </si>
  <si>
    <t>Bloomberg Barclays World ex-UK Inflation-linked all Maturities - Hedged GBP - Gross</t>
  </si>
  <si>
    <t>9471</t>
  </si>
  <si>
    <t>2015-03-20</t>
  </si>
  <si>
    <t>MSCI World Minimum Volatility (GBP) - Net</t>
  </si>
  <si>
    <t>9474</t>
  </si>
  <si>
    <t>2014-05-15</t>
  </si>
  <si>
    <t>Markit iBoxx Sterling Corporate Bonds 1-5Yr - Gross</t>
  </si>
  <si>
    <t>9477</t>
  </si>
  <si>
    <t>9478</t>
  </si>
  <si>
    <t>9485</t>
  </si>
  <si>
    <t>3 Month USD LIBOR - Gross</t>
  </si>
  <si>
    <t>9487</t>
  </si>
  <si>
    <t>9491</t>
  </si>
  <si>
    <t>2016-01-31</t>
  </si>
  <si>
    <t>9492</t>
  </si>
  <si>
    <t>FTSE EPRA/NAREIT Developed Dividend+ Index - Gross</t>
  </si>
  <si>
    <t>9600</t>
  </si>
  <si>
    <t>Property</t>
  </si>
  <si>
    <t>2008-04-14</t>
  </si>
  <si>
    <t>4079C</t>
  </si>
  <si>
    <t>2010-06-30</t>
  </si>
  <si>
    <t>FTSE Custom 350 Index ex LG exclusions Investment Trusts - Capital</t>
  </si>
  <si>
    <t>4079T</t>
  </si>
  <si>
    <t>2005-11-14</t>
  </si>
  <si>
    <t>FTSE Custom 350 Index ex LG exclusions Investment Trusts - Gross</t>
  </si>
  <si>
    <t>5212-GBP</t>
  </si>
  <si>
    <t>Barclays USD Corp 1% issuer capped index</t>
  </si>
  <si>
    <t>9022T</t>
  </si>
  <si>
    <t>9024T</t>
  </si>
  <si>
    <t>FTSE World Europe ex UK Index - Net</t>
  </si>
  <si>
    <t>9025T</t>
  </si>
  <si>
    <t>FTSE Japan Index - Net</t>
  </si>
  <si>
    <t>9028T</t>
  </si>
  <si>
    <t>9029T</t>
  </si>
  <si>
    <t>1992-09-23</t>
  </si>
  <si>
    <t>FTSE USA (Capital)</t>
  </si>
  <si>
    <t>9031T</t>
  </si>
  <si>
    <t>FTSE 100 - Capital</t>
  </si>
  <si>
    <t>9032T</t>
  </si>
  <si>
    <t>1992-02-27</t>
  </si>
  <si>
    <t>FTSE W Pacific x J (Capital)</t>
  </si>
  <si>
    <t>9463T</t>
  </si>
  <si>
    <t>9467A</t>
  </si>
  <si>
    <t>2012-12-11</t>
  </si>
  <si>
    <t>JP Morgan EMBI+ Index - Gross</t>
  </si>
  <si>
    <t>1055</t>
  </si>
  <si>
    <t>2003-06-30</t>
  </si>
  <si>
    <t>1057</t>
  </si>
  <si>
    <t>2015-03-23</t>
  </si>
  <si>
    <t>Bank of England Official Bank Rate + 5% - Gross</t>
  </si>
  <si>
    <t>1119</t>
  </si>
  <si>
    <t>1138</t>
  </si>
  <si>
    <t>2012-11-05</t>
  </si>
  <si>
    <t>1155</t>
  </si>
  <si>
    <t>2016-05-31</t>
  </si>
  <si>
    <t>2013-02-08</t>
  </si>
  <si>
    <t>1162</t>
  </si>
  <si>
    <t>Active Fixed Income</t>
  </si>
  <si>
    <t>1182</t>
  </si>
  <si>
    <t>1187</t>
  </si>
  <si>
    <t>2014-10-14</t>
  </si>
  <si>
    <t>1208</t>
  </si>
  <si>
    <t>Private Equity</t>
  </si>
  <si>
    <t>1209</t>
  </si>
  <si>
    <t>1232</t>
  </si>
  <si>
    <t>1237</t>
  </si>
  <si>
    <t>1241</t>
  </si>
  <si>
    <t>1242</t>
  </si>
  <si>
    <t>1243</t>
  </si>
  <si>
    <t>FTSE British Government Over 15 Years - Gross</t>
  </si>
  <si>
    <t>2014-11-03</t>
  </si>
  <si>
    <t>1262</t>
  </si>
  <si>
    <t>Bloomberg Barclays U.S. Corporate Investment Grade (Rtns) - Gross</t>
  </si>
  <si>
    <t>2014-06-30</t>
  </si>
  <si>
    <t>2012-10-16</t>
  </si>
  <si>
    <t>2014-02-20</t>
  </si>
  <si>
    <t>1290</t>
  </si>
  <si>
    <t>2013-09-26</t>
  </si>
  <si>
    <t>JP Morgan GBI-EM Global Diversified Index (USD Unhedged) - Gross</t>
  </si>
  <si>
    <t>1291</t>
  </si>
  <si>
    <t>1292</t>
  </si>
  <si>
    <t>iBoxx £ Collateralised (51%), Non-Financials (44%) &amp; Financials Subordinated (5%)</t>
  </si>
  <si>
    <t>1298</t>
  </si>
  <si>
    <t>2014-10-23</t>
  </si>
  <si>
    <t>1346</t>
  </si>
  <si>
    <t>2015-04-02</t>
  </si>
  <si>
    <t>1349</t>
  </si>
  <si>
    <t>2015-10-02</t>
  </si>
  <si>
    <t>1356</t>
  </si>
  <si>
    <t>1391</t>
  </si>
  <si>
    <t>2015-12-22</t>
  </si>
  <si>
    <t>FTSE Europe Ex uk Index - Net</t>
  </si>
  <si>
    <t>1392</t>
  </si>
  <si>
    <t>2016-05-11</t>
  </si>
  <si>
    <t>1470</t>
  </si>
  <si>
    <t>Bloomberg Barclays Euro Agg Corp 20% 7-10yr 80% 10+yr (Rtns) - Gross</t>
  </si>
  <si>
    <t>1472</t>
  </si>
  <si>
    <t>1479</t>
  </si>
  <si>
    <t>2015-12-03</t>
  </si>
  <si>
    <t>1481</t>
  </si>
  <si>
    <t>2015-12-17</t>
  </si>
  <si>
    <t>IPD on combined report</t>
  </si>
  <si>
    <t>1482</t>
  </si>
  <si>
    <t>FTSE USA (GBP) Net Top level</t>
  </si>
  <si>
    <t>1483</t>
  </si>
  <si>
    <t>FTSE Japan Index (GBP) Net Top level</t>
  </si>
  <si>
    <t>1484</t>
  </si>
  <si>
    <t>FTSE World Europe ex UK Index (GBP) Net Top level</t>
  </si>
  <si>
    <t>1492</t>
  </si>
  <si>
    <t>2016-07-25</t>
  </si>
  <si>
    <t>1496</t>
  </si>
  <si>
    <t>1497</t>
  </si>
  <si>
    <t>1498</t>
  </si>
  <si>
    <t>1612</t>
  </si>
  <si>
    <t>2013-05-02</t>
  </si>
  <si>
    <t>1613</t>
  </si>
  <si>
    <t>1616</t>
  </si>
  <si>
    <t>2014-11-27</t>
  </si>
  <si>
    <t>1617</t>
  </si>
  <si>
    <t>2013-05-10</t>
  </si>
  <si>
    <t>1834</t>
  </si>
  <si>
    <t>1903</t>
  </si>
  <si>
    <t>FTSE Custom 350 Weighted Index - Gross</t>
  </si>
  <si>
    <t>1917</t>
  </si>
  <si>
    <t>2016-01-19</t>
  </si>
  <si>
    <t>1923</t>
  </si>
  <si>
    <t>1931</t>
  </si>
  <si>
    <t>FTSE World North America Index - Net</t>
  </si>
  <si>
    <t>1936</t>
  </si>
  <si>
    <t>FTSE Developed Asia Pacific ex Japan Index - Net</t>
  </si>
  <si>
    <t>1943</t>
  </si>
  <si>
    <t>1953</t>
  </si>
  <si>
    <t>1954</t>
  </si>
  <si>
    <t>1955</t>
  </si>
  <si>
    <t>1961</t>
  </si>
  <si>
    <t>1962</t>
  </si>
  <si>
    <t>FTSE Emerging Asia Pacific Index - Net</t>
  </si>
  <si>
    <t>1963</t>
  </si>
  <si>
    <t>FTSE Emerging Europe Index - Net</t>
  </si>
  <si>
    <t>1964</t>
  </si>
  <si>
    <t>FTSE Emerging Latin America Index - Net</t>
  </si>
  <si>
    <t>1965</t>
  </si>
  <si>
    <t>FTSE Middle East &amp; Africa Index - Net</t>
  </si>
  <si>
    <t>2013-11-29</t>
  </si>
  <si>
    <t>2015-10-22</t>
  </si>
  <si>
    <t>2868</t>
  </si>
  <si>
    <t>2014-05-01</t>
  </si>
  <si>
    <t>FTSE All World Minimum Variance Index - Gross</t>
  </si>
  <si>
    <t>3014</t>
  </si>
  <si>
    <t>NSCI ex-Investment Companies  - Gross</t>
  </si>
  <si>
    <t>3019</t>
  </si>
  <si>
    <t>Bloomberg Barclays Global Capital Securities- Hedged GBP (Rtns)- Gross</t>
  </si>
  <si>
    <t>3022</t>
  </si>
  <si>
    <t>3023</t>
  </si>
  <si>
    <t>2013-03-31</t>
  </si>
  <si>
    <t>FTSE Asia Pacific ex Japan Index - Net</t>
  </si>
  <si>
    <t>3024</t>
  </si>
  <si>
    <t>3026</t>
  </si>
  <si>
    <t>3028</t>
  </si>
  <si>
    <t>FTSE 350 - Gross</t>
  </si>
  <si>
    <t>3045</t>
  </si>
  <si>
    <t>3060</t>
  </si>
  <si>
    <t>FTSE British Government All Stocks - Gross</t>
  </si>
  <si>
    <t>3080</t>
  </si>
  <si>
    <t>FTSE &gt; 5 yr IL Gilts (50%) / FTSE IL Gilts (50%)</t>
  </si>
  <si>
    <t>3107</t>
  </si>
  <si>
    <t>LGIM CPI+4% (standard)</t>
  </si>
  <si>
    <t>3131</t>
  </si>
  <si>
    <t>Russell 2000 - Net</t>
  </si>
  <si>
    <t>3132</t>
  </si>
  <si>
    <t>MSCI USA Minimum Volatility (USD) - Net</t>
  </si>
  <si>
    <t>3133</t>
  </si>
  <si>
    <t>FTSE RAFI All World 3000 North America (QSR) - Net</t>
  </si>
  <si>
    <t>3150</t>
  </si>
  <si>
    <t>3160</t>
  </si>
  <si>
    <t>3163</t>
  </si>
  <si>
    <t>3165</t>
  </si>
  <si>
    <t>3170</t>
  </si>
  <si>
    <t>FTSE World Europe ex UK - net</t>
  </si>
  <si>
    <t>3180</t>
  </si>
  <si>
    <t>3195</t>
  </si>
  <si>
    <t>3200</t>
  </si>
  <si>
    <t>3205</t>
  </si>
  <si>
    <t>3230</t>
  </si>
  <si>
    <t>3231</t>
  </si>
  <si>
    <t>3232</t>
  </si>
  <si>
    <t>3233</t>
  </si>
  <si>
    <t>3250</t>
  </si>
  <si>
    <t>3252</t>
  </si>
  <si>
    <t>3253</t>
  </si>
  <si>
    <t>FTSE AW Asia Pacific ex Japan - Net</t>
  </si>
  <si>
    <t>3254</t>
  </si>
  <si>
    <t>3300</t>
  </si>
  <si>
    <t>JP Morgan Global (ex UK) Traded - Gross</t>
  </si>
  <si>
    <t>4026</t>
  </si>
  <si>
    <t>4037</t>
  </si>
  <si>
    <t>4071</t>
  </si>
  <si>
    <t>MSCI ACWI Value Weighted - Net</t>
  </si>
  <si>
    <t>4097</t>
  </si>
  <si>
    <t>4144</t>
  </si>
  <si>
    <t>Bloomberg Barclays UK Govt Inflation-Linked 5-10 Yrs - Gross</t>
  </si>
  <si>
    <t>4147</t>
  </si>
  <si>
    <t>4203</t>
  </si>
  <si>
    <t>2009-12-31</t>
  </si>
  <si>
    <t>4211</t>
  </si>
  <si>
    <t>4222</t>
  </si>
  <si>
    <t>JP Morgan GBI-EM Global Diversified Ex-Russia Index - Gross</t>
  </si>
  <si>
    <t>4249</t>
  </si>
  <si>
    <t>4261</t>
  </si>
  <si>
    <t>4262</t>
  </si>
  <si>
    <t>4272</t>
  </si>
  <si>
    <t>2015-02-03</t>
  </si>
  <si>
    <t>4301</t>
  </si>
  <si>
    <t>iBoxx £ Non-gilts All stocks</t>
  </si>
  <si>
    <t>4303</t>
  </si>
  <si>
    <t>2015-11-30</t>
  </si>
  <si>
    <t>MSCI LGIM World Custom ESG - Net</t>
  </si>
  <si>
    <t>4304</t>
  </si>
  <si>
    <t>2014-04-30</t>
  </si>
  <si>
    <t>4308</t>
  </si>
  <si>
    <t>2015-01-31</t>
  </si>
  <si>
    <t>4362</t>
  </si>
  <si>
    <t>2014-01-22</t>
  </si>
  <si>
    <t>MSCI United Kingdom - Gross</t>
  </si>
  <si>
    <t>4363</t>
  </si>
  <si>
    <t>2013-09-04</t>
  </si>
  <si>
    <t>MSCI EM (Emerging Markets) - Net</t>
  </si>
  <si>
    <t>4364</t>
  </si>
  <si>
    <t>2013-10-10</t>
  </si>
  <si>
    <t>MSCI Europe ex UK - Net</t>
  </si>
  <si>
    <t>4365</t>
  </si>
  <si>
    <t>2013-08-31</t>
  </si>
  <si>
    <t>MSCI North America - Gros</t>
  </si>
  <si>
    <t>4372</t>
  </si>
  <si>
    <t>4374</t>
  </si>
  <si>
    <t>4375</t>
  </si>
  <si>
    <t>4376</t>
  </si>
  <si>
    <t>4381</t>
  </si>
  <si>
    <t>2014-02-14</t>
  </si>
  <si>
    <t>4382</t>
  </si>
  <si>
    <t>2014-02-17</t>
  </si>
  <si>
    <t>4387</t>
  </si>
  <si>
    <t>2014-01-27</t>
  </si>
  <si>
    <t>4389</t>
  </si>
  <si>
    <t>2014-06-04</t>
  </si>
  <si>
    <t>4401</t>
  </si>
  <si>
    <t>2014-04-08</t>
  </si>
  <si>
    <t>MSCI World Telecom SVC - Net</t>
  </si>
  <si>
    <t>4402</t>
  </si>
  <si>
    <t>MSCI World Healthcare - Net</t>
  </si>
  <si>
    <t>4407</t>
  </si>
  <si>
    <t>2014-04-14</t>
  </si>
  <si>
    <t>Bloomberg Barclays US+France+Germany Govt Inflation-Linked All Maturities (Hedged EUR) - Gross</t>
  </si>
  <si>
    <t>4414</t>
  </si>
  <si>
    <t>Bloomberg Barclays Euro Govt Inflation-Linked All Maturities in EUR - Gross</t>
  </si>
  <si>
    <t>4416</t>
  </si>
  <si>
    <t>2015-08-06</t>
  </si>
  <si>
    <t>4417</t>
  </si>
  <si>
    <t>2015-08-17</t>
  </si>
  <si>
    <t>4418</t>
  </si>
  <si>
    <t>2015-08-07</t>
  </si>
  <si>
    <t>4419</t>
  </si>
  <si>
    <t>2015-01-30</t>
  </si>
  <si>
    <t>4429</t>
  </si>
  <si>
    <t>2014-07-30</t>
  </si>
  <si>
    <t>BofA Merrill Lynch EMU Corporates Non-Financial Index - Gross</t>
  </si>
  <si>
    <t>4432</t>
  </si>
  <si>
    <t>2014-07-16</t>
  </si>
  <si>
    <t>4437</t>
  </si>
  <si>
    <t>MSCI UK ex REITS Special Tax - Gross</t>
  </si>
  <si>
    <t>4441</t>
  </si>
  <si>
    <t>4442</t>
  </si>
  <si>
    <t>4447</t>
  </si>
  <si>
    <t>4448</t>
  </si>
  <si>
    <t>2015-08-11</t>
  </si>
  <si>
    <t>MSCI ACWI Quality Index - Net</t>
  </si>
  <si>
    <t>4449</t>
  </si>
  <si>
    <t>4451</t>
  </si>
  <si>
    <t>2014-09-01</t>
  </si>
  <si>
    <t>4453</t>
  </si>
  <si>
    <t>2014-10-03</t>
  </si>
  <si>
    <t>4458</t>
  </si>
  <si>
    <t>MSCI EM ex Tobacco ex Sel Sec Special Tax - Net</t>
  </si>
  <si>
    <t>4459</t>
  </si>
  <si>
    <t>4462</t>
  </si>
  <si>
    <t>2015-07-21</t>
  </si>
  <si>
    <t>MSCI EM ex Korea - Net</t>
  </si>
  <si>
    <t>4463</t>
  </si>
  <si>
    <t>2015-09-23</t>
  </si>
  <si>
    <t>4466</t>
  </si>
  <si>
    <t>4471</t>
  </si>
  <si>
    <t>JP Morgan Global ex-EMU 1-3 EUR - Gross</t>
  </si>
  <si>
    <t>4474</t>
  </si>
  <si>
    <t>BofA Merrill Lynch US Treasury Bill 3-6 months - Gross</t>
  </si>
  <si>
    <t>4475</t>
  </si>
  <si>
    <t>JP Morgan EMU IG - All Maturities (EUR) - Gross</t>
  </si>
  <si>
    <t>4476</t>
  </si>
  <si>
    <t>JP Morgan EMU IG - 1-3 Years - Gross</t>
  </si>
  <si>
    <t>4481</t>
  </si>
  <si>
    <t>MSCI EM( Emerging Markets) - Net</t>
  </si>
  <si>
    <t>4482</t>
  </si>
  <si>
    <t>MSCI USA - Net</t>
  </si>
  <si>
    <t>4484</t>
  </si>
  <si>
    <t>JP Morgan Global - All Maturities ex EMU (Unhedged EUR) - Gross</t>
  </si>
  <si>
    <t>4486</t>
  </si>
  <si>
    <t>2015-02-27</t>
  </si>
  <si>
    <t>FTSE4Good Global Benchmark Net Tax (UKPN) Index - Net</t>
  </si>
  <si>
    <t>4488</t>
  </si>
  <si>
    <t>2015-12-18</t>
  </si>
  <si>
    <t>4495</t>
  </si>
  <si>
    <t>2015-09-25</t>
  </si>
  <si>
    <t>MSCI LGIM USA with Special Tax - Net</t>
  </si>
  <si>
    <t>4496</t>
  </si>
  <si>
    <t>4497</t>
  </si>
  <si>
    <t>2015-09-11</t>
  </si>
  <si>
    <t>4501</t>
  </si>
  <si>
    <t>2014-11-28</t>
  </si>
  <si>
    <t>4502</t>
  </si>
  <si>
    <t>2015-09-28</t>
  </si>
  <si>
    <t>4503</t>
  </si>
  <si>
    <t>4504</t>
  </si>
  <si>
    <t>4506</t>
  </si>
  <si>
    <t>4512</t>
  </si>
  <si>
    <t>2015-12-04</t>
  </si>
  <si>
    <t>4513</t>
  </si>
  <si>
    <t>4516</t>
  </si>
  <si>
    <t>2015-04-16</t>
  </si>
  <si>
    <t>4518</t>
  </si>
  <si>
    <t>4519</t>
  </si>
  <si>
    <t>4524</t>
  </si>
  <si>
    <t>2016-11-10</t>
  </si>
  <si>
    <t>4528</t>
  </si>
  <si>
    <t>2016-01-28</t>
  </si>
  <si>
    <t>_DO NOT DELETE</t>
  </si>
  <si>
    <t>1901-01-01</t>
  </si>
  <si>
    <t>0</t>
  </si>
  <si>
    <t>5219</t>
  </si>
  <si>
    <t>1144</t>
  </si>
  <si>
    <t>3280</t>
  </si>
  <si>
    <t>6403</t>
  </si>
  <si>
    <t>5406</t>
  </si>
  <si>
    <t>5951</t>
  </si>
  <si>
    <t>3323</t>
  </si>
  <si>
    <t>1860</t>
  </si>
  <si>
    <t>4726</t>
  </si>
  <si>
    <t>5403</t>
  </si>
  <si>
    <t>8468</t>
  </si>
  <si>
    <t>5962</t>
  </si>
  <si>
    <t>8452</t>
  </si>
  <si>
    <t>9035</t>
  </si>
  <si>
    <t>1861</t>
  </si>
  <si>
    <t>5593-B</t>
  </si>
  <si>
    <t>4156</t>
  </si>
  <si>
    <t>4947</t>
  </si>
  <si>
    <t>1082</t>
  </si>
  <si>
    <t>5348</t>
  </si>
  <si>
    <t>5935</t>
  </si>
  <si>
    <t>9040</t>
  </si>
  <si>
    <t>1647</t>
  </si>
  <si>
    <t>4644</t>
  </si>
  <si>
    <t>6405</t>
  </si>
  <si>
    <t>5576</t>
  </si>
  <si>
    <t>5407</t>
  </si>
  <si>
    <t>5936</t>
  </si>
  <si>
    <t>5952</t>
  </si>
  <si>
    <t>3175</t>
  </si>
  <si>
    <t>1142</t>
  </si>
  <si>
    <t>6316</t>
  </si>
  <si>
    <t>4693 B</t>
  </si>
  <si>
    <t>5402</t>
  </si>
  <si>
    <t>4821</t>
  </si>
  <si>
    <t>5408</t>
  </si>
  <si>
    <t>8453</t>
  </si>
  <si>
    <t>5945</t>
  </si>
  <si>
    <t>5973</t>
  </si>
  <si>
    <t>6401</t>
  </si>
  <si>
    <t>1149</t>
  </si>
  <si>
    <t>5421</t>
  </si>
  <si>
    <t>5950</t>
  </si>
  <si>
    <t>8428</t>
  </si>
  <si>
    <t>4117</t>
  </si>
  <si>
    <t>3322</t>
  </si>
  <si>
    <t>5961</t>
  </si>
  <si>
    <t>6406</t>
  </si>
  <si>
    <t>9483</t>
  </si>
  <si>
    <t>1347</t>
  </si>
  <si>
    <t>5958</t>
  </si>
  <si>
    <t>1143</t>
  </si>
  <si>
    <t>5216</t>
  </si>
  <si>
    <t>9036</t>
  </si>
  <si>
    <t>5685</t>
  </si>
  <si>
    <t>4822</t>
  </si>
  <si>
    <t>100% Barclays Capital USD/ EUR /GBP Corp 1% issuer capped index unhedged in Sterling</t>
  </si>
  <si>
    <t>20% Barclays Euro Aggregate Corporate 7-10 Year / 80% Barclays Euro Aggregate Corporate Over 10 Years</t>
  </si>
  <si>
    <t>GBPLIBOR3M_G</t>
  </si>
  <si>
    <t>3 Month Sterling Libor</t>
  </si>
  <si>
    <t>USDLIBOR3M_G</t>
  </si>
  <si>
    <t>Scope Code   MAAA</t>
  </si>
  <si>
    <t>50% FTSE All World Developed (unhedged) &amp; 50% FTSE All World Developed ( hedged to GBP)</t>
  </si>
  <si>
    <t>GBPLIBID1WK_G</t>
  </si>
  <si>
    <t>7 Day GBP LIBID</t>
  </si>
  <si>
    <t>7 Day LIBID</t>
  </si>
  <si>
    <t>JPGLTALLXEMU_G; EMBIGHEUR_G; 538EUR_G</t>
  </si>
  <si>
    <t>70% JPM Global ex EMU Euro Hedged + 20% - JPM EMBI Global Euro Hedged + 10% Barclays Euro Govt Inflation-Linked All Maturities Euro</t>
  </si>
  <si>
    <t>95% ML Global High Yield BB-B Rated 2% Constrained ex Financials, fully hedged, 5% £ libid overnight All with a day lag.</t>
  </si>
  <si>
    <t>IUDBEDR5PCTGBP_G</t>
  </si>
  <si>
    <t>Scope Code   MAAC</t>
  </si>
  <si>
    <t>Bank of England Official Base Rate + 4.5% p.a</t>
  </si>
  <si>
    <t>Barclays Capital Global Aggregate Corporate Bond Index Hedged in USD</t>
  </si>
  <si>
    <t>28215R_G</t>
  </si>
  <si>
    <t>Benchmark - FTSE AllShare: FTSE W Europe ex-UK : FTSE W NA:FTSE W AP ex-JPN : FTSE JPN (50:17.5:17.5:6.25:8.75)</t>
  </si>
  <si>
    <t>Benchmark - FTSE AllShare: FTSE W Europe ex-UK : FTSE W NA:FTSE W AP ex-JPN : FTSE JPN (60:14:14:6:6)</t>
  </si>
  <si>
    <t>28216R_G</t>
  </si>
  <si>
    <t>17362R_G</t>
  </si>
  <si>
    <t>32526R_G</t>
  </si>
  <si>
    <t>538EUR_G</t>
  </si>
  <si>
    <t>27778RHNOK_G</t>
  </si>
  <si>
    <t>9909R_G</t>
  </si>
  <si>
    <t>4399RHGDGBP_G</t>
  </si>
  <si>
    <t>1551R_G</t>
  </si>
  <si>
    <t>28458R_G</t>
  </si>
  <si>
    <t>30247R_G</t>
  </si>
  <si>
    <t>2765R_G</t>
  </si>
  <si>
    <t>11R_G</t>
  </si>
  <si>
    <t>152RHGBP_G</t>
  </si>
  <si>
    <t>515_G</t>
  </si>
  <si>
    <t>32143R_G</t>
  </si>
  <si>
    <t>14126R_G</t>
  </si>
  <si>
    <t>29720RHEUR_G</t>
  </si>
  <si>
    <t>20879R_G</t>
  </si>
  <si>
    <t>525RHGBP_G</t>
  </si>
  <si>
    <t>G1A0_G</t>
  </si>
  <si>
    <t>GVA0_G</t>
  </si>
  <si>
    <t>EG6L_G</t>
  </si>
  <si>
    <t>H4UN_G</t>
  </si>
  <si>
    <t>BofA Merrill Lynch BB-B US Non-Financial HY US &amp; Canadian Issuers Constrained Index - Gross</t>
  </si>
  <si>
    <t>BofA Merrill Lynch British Pound 3-Month Deposit Offered Rate Constant Maturity Index GBP (Top Level)- Gross</t>
  </si>
  <si>
    <t>Q714_G</t>
  </si>
  <si>
    <t>EN00_G</t>
  </si>
  <si>
    <t>LEC3USD_G</t>
  </si>
  <si>
    <t>BofA Merrill Lynch Euro Currency 3-Month Deposit Offered Rate Constant Maturity Index USD (Top Level) - Gross</t>
  </si>
  <si>
    <t>HWXCRHUSD_G</t>
  </si>
  <si>
    <t>BofA Merrill Lynch Global High Yield BB-B Rated 2% Constrained Ex FNCL (Hedged USD) - Gross</t>
  </si>
  <si>
    <t>Q548_G</t>
  </si>
  <si>
    <t>BofA Merrill Lynch High Yield US Emerging Markets Ltd Constrained ex Financials and Quasi_G</t>
  </si>
  <si>
    <t>Q779_G</t>
  </si>
  <si>
    <t>Q874_G</t>
  </si>
  <si>
    <t>BofA Merrill Lynch Q874 Custom Index (USD) - Gross</t>
  </si>
  <si>
    <t>Q883_G</t>
  </si>
  <si>
    <t>Q926HEUR_G</t>
  </si>
  <si>
    <t>BofA Merrill Lynch Q926 Custom Index Hedged to EUR - Gross</t>
  </si>
  <si>
    <t>LUS3_G</t>
  </si>
  <si>
    <t>BofA Merrill Lynch US Dollar 3-Month Deposit Offered Rate Constant Maturity Index (GBP) Top Level - Gross</t>
  </si>
  <si>
    <t>LUS3USD_G</t>
  </si>
  <si>
    <t>G0B2_G</t>
  </si>
  <si>
    <t>SBEGU3P_G</t>
  </si>
  <si>
    <t>SBEG5PEU_G</t>
  </si>
  <si>
    <t>LGIMGBCPI4PCT</t>
  </si>
  <si>
    <t>Customised Consumer Prices Index +4%</t>
  </si>
  <si>
    <t>Emerging Market Blended Benchmark Short Duration</t>
  </si>
  <si>
    <t>9025 A</t>
  </si>
  <si>
    <t>IL03_G; IL01_G</t>
  </si>
  <si>
    <t>FTSE3R_G</t>
  </si>
  <si>
    <t>GPLAG041_G</t>
  </si>
  <si>
    <t>FTSE3RXT_G</t>
  </si>
  <si>
    <t>GPLAG056_G</t>
  </si>
  <si>
    <t>Scope Fund   Y</t>
  </si>
  <si>
    <t>FTSE A Index-Linked (All Stocks)</t>
  </si>
  <si>
    <t>Scope Fund   AP</t>
  </si>
  <si>
    <t>FTSE A Index-Linked &gt; 5 Years</t>
  </si>
  <si>
    <t>Scope Fund   AF</t>
  </si>
  <si>
    <t>FTSE A UK Gilts &gt; 15 Years</t>
  </si>
  <si>
    <t>FTSE A UK Gilts All Stocks</t>
  </si>
  <si>
    <t>BG05_G</t>
  </si>
  <si>
    <t>FTSEAS_G</t>
  </si>
  <si>
    <t>FTSEAS_C</t>
  </si>
  <si>
    <t>FTSE All Share 70:30 CAPS Pooled Survey weights (FTSE World Indices Overseas)</t>
  </si>
  <si>
    <t>FTRAWI_G</t>
  </si>
  <si>
    <t>AWLDMV_G</t>
  </si>
  <si>
    <t>FTRAOJ_N</t>
  </si>
  <si>
    <t>Scope Fund   HN</t>
  </si>
  <si>
    <t>FTSE AW - All Emerging (net of irrecoverable withholding tax)</t>
  </si>
  <si>
    <t>FTRAOJ_G</t>
  </si>
  <si>
    <t>From Cover page   4719</t>
  </si>
  <si>
    <t>FTSE AW Dev NA</t>
  </si>
  <si>
    <t>From Coverpage 3205</t>
  </si>
  <si>
    <t>FTSE AW Japan</t>
  </si>
  <si>
    <t>Scope Fund   DB</t>
  </si>
  <si>
    <t>FTSE AW World</t>
  </si>
  <si>
    <t>Scope Fund   T</t>
  </si>
  <si>
    <t>FTSE AW World Europe (ex UK)</t>
  </si>
  <si>
    <t>Scope Code   AE</t>
  </si>
  <si>
    <t>FTSE AW World ex UK</t>
  </si>
  <si>
    <t>IL01_G</t>
  </si>
  <si>
    <t>IL05_G</t>
  </si>
  <si>
    <t>IL03_G</t>
  </si>
  <si>
    <t>BG03_G</t>
  </si>
  <si>
    <t>GPLAG062_C</t>
  </si>
  <si>
    <t>GPLAG062_G</t>
  </si>
  <si>
    <t>GPLAG195_G</t>
  </si>
  <si>
    <t>From Scope, fund W</t>
  </si>
  <si>
    <t>FTSE Dev Asia Pacific ex Jap</t>
  </si>
  <si>
    <t>FTRDOJ_N</t>
  </si>
  <si>
    <t>FTRDWI_N</t>
  </si>
  <si>
    <t>FTREAP_N</t>
  </si>
  <si>
    <t>FTREEU_N</t>
  </si>
  <si>
    <t>FTREWI_N</t>
  </si>
  <si>
    <t>FTREWI_2_N</t>
  </si>
  <si>
    <t>FTSE Emerging Index - Net Top Level</t>
  </si>
  <si>
    <t>FTREWI_GBP_2_N</t>
  </si>
  <si>
    <t>FTRELA_N</t>
  </si>
  <si>
    <t>ENGD_G</t>
  </si>
  <si>
    <t>GPLGIM01_C</t>
  </si>
  <si>
    <t>FTSE Health &amp; Pharmaeutical Index (EUR) - Capital</t>
  </si>
  <si>
    <t>FTAJP_N</t>
  </si>
  <si>
    <t>FTAJP_GBP_N</t>
  </si>
  <si>
    <t>FTRAMF_N</t>
  </si>
  <si>
    <t>Scope Code   YX</t>
  </si>
  <si>
    <t>FTSE RAFI ALL WORLD 3000 Index</t>
  </si>
  <si>
    <t>FR3NAQ_N</t>
  </si>
  <si>
    <t>FREIDE_N</t>
  </si>
  <si>
    <t>FREIUK_N</t>
  </si>
  <si>
    <t>FREIUSA_N</t>
  </si>
  <si>
    <t>Scope Fund   AA</t>
  </si>
  <si>
    <t>FTSE UK Gilts All Stocks Index</t>
  </si>
  <si>
    <t>FTAUS_GBP_N</t>
  </si>
  <si>
    <t>FTRWOJ_GBP_N</t>
  </si>
  <si>
    <t>FTRWEK_N</t>
  </si>
  <si>
    <t>FTRWEK_C</t>
  </si>
  <si>
    <t>FTRWEK_GBP_N</t>
  </si>
  <si>
    <t>FTRWEK_G</t>
  </si>
  <si>
    <t>FTRWWK_N</t>
  </si>
  <si>
    <t>FTRWWK_C</t>
  </si>
  <si>
    <t>FTRWWI_C</t>
  </si>
  <si>
    <t>FTRWWI_N</t>
  </si>
  <si>
    <t>FTRWNA_G</t>
  </si>
  <si>
    <t>FTRWNA_N</t>
  </si>
  <si>
    <t>FTRWWI9000_G</t>
  </si>
  <si>
    <t>FTSE World Technology - Gross</t>
  </si>
  <si>
    <t>4GGLP_N</t>
  </si>
  <si>
    <t>IBXXCNF1_G</t>
  </si>
  <si>
    <t>IYDT_G</t>
  </si>
  <si>
    <t>iBoxx £ Non Gilt 10 Year + Index</t>
  </si>
  <si>
    <t>iBoxx £ Non Gilt All Stocks Index</t>
  </si>
  <si>
    <t>Scope Fund   EB</t>
  </si>
  <si>
    <t>iBoxx £ Non-Gilts (All Stocks)</t>
  </si>
  <si>
    <t>IXBV_G</t>
  </si>
  <si>
    <t>Scope Fund   CN</t>
  </si>
  <si>
    <t>iBoxx £ Non-Gilts ex BBB</t>
  </si>
  <si>
    <t>Scope Fund   4559</t>
  </si>
  <si>
    <t>iBoxx £ Non-Gilts ex BBB Over 15 Year</t>
  </si>
  <si>
    <t>iBoxx EUR Corp Bond Index</t>
  </si>
  <si>
    <t>iBoxx EUR Corporates , World Index Fund (Net WHT) Eur Hdg (PB) ,</t>
  </si>
  <si>
    <t>IBoxx Euro Corporate Index</t>
  </si>
  <si>
    <t>iBoxx Sterling Collateralized and Corporates Index</t>
  </si>
  <si>
    <t>iBoxx Sterling Corporate and Collaterised Index</t>
  </si>
  <si>
    <t>ISEQALL_G</t>
  </si>
  <si>
    <t>EM50S50C35Y_G</t>
  </si>
  <si>
    <t>EM50S50C_G</t>
  </si>
  <si>
    <t>EMBIP_G</t>
  </si>
  <si>
    <t>EMBIGHEUR_G</t>
  </si>
  <si>
    <t>JPEMUIG13_G</t>
  </si>
  <si>
    <t>JPEMUIGALLEUR_G</t>
  </si>
  <si>
    <t>GBIEMGDXRU_G</t>
  </si>
  <si>
    <t>GBIEMGDTREUR_G</t>
  </si>
  <si>
    <t>GBIEMGDTRGBP_G</t>
  </si>
  <si>
    <t>GBIEMGD_G</t>
  </si>
  <si>
    <t>JPGLTALLXEMU_G</t>
  </si>
  <si>
    <t>JPGLTALLXEMUTREU_G</t>
  </si>
  <si>
    <t>JPGLALLXGB_G</t>
  </si>
  <si>
    <t>JPGLALLXEMU13_G</t>
  </si>
  <si>
    <t>JPGLALLXGBRHGBP_G</t>
  </si>
  <si>
    <t>GBCPI4PCT_G</t>
  </si>
  <si>
    <t xml:space="preserve">LP Consensus - Scope Ad-Hoc BM
</t>
  </si>
  <si>
    <t>QX64_G</t>
  </si>
  <si>
    <t>IY6T_G</t>
  </si>
  <si>
    <t>Markit iBoxx £ Non-Financials 5-15 - Gross</t>
  </si>
  <si>
    <t>IXEC_G</t>
  </si>
  <si>
    <t>IXLI_G</t>
  </si>
  <si>
    <t>IXLK_G</t>
  </si>
  <si>
    <t>QW5_G</t>
  </si>
  <si>
    <t>QW51_G</t>
  </si>
  <si>
    <t>IYD4_G</t>
  </si>
  <si>
    <t>Merrill Lynch EMU Corporate Non Financial Index</t>
  </si>
  <si>
    <t>Merrill Lynch Global High Yield BB-B 2% Constrained (ex Fin) GBP Hedged Index</t>
  </si>
  <si>
    <t>Merrill Lynch Global High Yield BB-B 2% Constrained (ex Fin) USD Hedged Index</t>
  </si>
  <si>
    <t>ML 3 Month Libor</t>
  </si>
  <si>
    <t>ML 3 Month US Libor</t>
  </si>
  <si>
    <t>ACWIRQTY_N</t>
  </si>
  <si>
    <t>ACWIRVWT_N</t>
  </si>
  <si>
    <t>CAJPR_N</t>
  </si>
  <si>
    <t>MS707419_N</t>
  </si>
  <si>
    <t>EMGLR_N</t>
  </si>
  <si>
    <t>MS129612_N</t>
  </si>
  <si>
    <t>MS703589_N</t>
  </si>
  <si>
    <t>MS708158_N</t>
  </si>
  <si>
    <t>From Cover page   4363</t>
  </si>
  <si>
    <t>MSCI EM in GBP</t>
  </si>
  <si>
    <t>MS711549_N</t>
  </si>
  <si>
    <t>EUROR_N</t>
  </si>
  <si>
    <t>MS703879_N</t>
  </si>
  <si>
    <t>EUGBR_N</t>
  </si>
  <si>
    <t>MS704936_N</t>
  </si>
  <si>
    <t>MS707421_N</t>
  </si>
  <si>
    <t>MS708826_N</t>
  </si>
  <si>
    <t>MS708255_N</t>
  </si>
  <si>
    <t>MS708891_N</t>
  </si>
  <si>
    <t>NTHAR_G</t>
  </si>
  <si>
    <t>MS707420_N</t>
  </si>
  <si>
    <t>MS704937_G</t>
  </si>
  <si>
    <t>MS710945_N</t>
  </si>
  <si>
    <t>GBR_G</t>
  </si>
  <si>
    <t>USR_N</t>
  </si>
  <si>
    <t>USRMVLUSD_N</t>
  </si>
  <si>
    <t>WRLDR_N</t>
  </si>
  <si>
    <t>MS701078_N</t>
  </si>
  <si>
    <t>MS700496_N</t>
  </si>
  <si>
    <t>WRLD35R_N</t>
  </si>
  <si>
    <t>Scope Code   PT</t>
  </si>
  <si>
    <t>MSCI World Index</t>
  </si>
  <si>
    <t>WRLDRMVLGBP_N</t>
  </si>
  <si>
    <t>WRLD50R_N</t>
  </si>
  <si>
    <t>HGSCEX_G</t>
  </si>
  <si>
    <t>USSC_N</t>
  </si>
  <si>
    <t>SPG100_N</t>
  </si>
  <si>
    <t>S&amp;P Gloval 100 - Net</t>
  </si>
  <si>
    <t>USD 3m Libor</t>
  </si>
  <si>
    <t>ABBI0001</t>
  </si>
  <si>
    <t>UK &amp; Europe - Investment Grade Corp Bonds</t>
  </si>
  <si>
    <t>2017-01-01</t>
  </si>
  <si>
    <t>ABBM0001</t>
  </si>
  <si>
    <t>Buy and Maintain Credit</t>
  </si>
  <si>
    <t>ABBM0002</t>
  </si>
  <si>
    <t>Buy and Maintain Credit 9Y duration GBP only - no financials</t>
  </si>
  <si>
    <t>ABE0001</t>
  </si>
  <si>
    <t>Euro Total Return</t>
  </si>
  <si>
    <t>ABEC0001</t>
  </si>
  <si>
    <t>Euro Corporate Non Financial</t>
  </si>
  <si>
    <t>ABEC0002</t>
  </si>
  <si>
    <t>ABEC0003</t>
  </si>
  <si>
    <t>Euro Corporate Long Dated</t>
  </si>
  <si>
    <t>ABEC0004</t>
  </si>
  <si>
    <t>Euro Corporate</t>
  </si>
  <si>
    <t>ABEC0005</t>
  </si>
  <si>
    <t>Euro Corporate High Alpha</t>
  </si>
  <si>
    <t>ABEC0006</t>
  </si>
  <si>
    <t>Euro Corporate Non Financial Constrained</t>
  </si>
  <si>
    <t>ABEC0007</t>
  </si>
  <si>
    <t>Euro Corporate Constrained</t>
  </si>
  <si>
    <t>ABECR0001</t>
  </si>
  <si>
    <t>EURO CREDIT OPPORTUNITIES</t>
  </si>
  <si>
    <t>ABEMD0001</t>
  </si>
  <si>
    <t>Emerging Market Debt - Blended Benchmark Short Duration</t>
  </si>
  <si>
    <t>ABEMD0002</t>
  </si>
  <si>
    <t>Emerging Market Debt - Absolute Return</t>
  </si>
  <si>
    <t>ABEMD0003</t>
  </si>
  <si>
    <t>Emerging Market Debt - Blended Benchmark All Duration</t>
  </si>
  <si>
    <t>ABEMHYC0001</t>
  </si>
  <si>
    <t>Emerging Market High Yield Corporate Bond (US Clients)</t>
  </si>
  <si>
    <t>ABEMHYC0002</t>
  </si>
  <si>
    <t>Emerging Market High Yield Corporate Bond</t>
  </si>
  <si>
    <t>ABEMHYC0003</t>
  </si>
  <si>
    <t>Emerging Market High Yield Corporate Bond (Unconstrained)</t>
  </si>
  <si>
    <t>ABEMHYC0004</t>
  </si>
  <si>
    <t>Emerging Markets - High Yield</t>
  </si>
  <si>
    <t>ABlibor+0001</t>
  </si>
  <si>
    <t>Absolute Return Bond</t>
  </si>
  <si>
    <t>ABlibor+0004</t>
  </si>
  <si>
    <t>Absolute Return Bond Plus (USD)</t>
  </si>
  <si>
    <t>ABMSC0001</t>
  </si>
  <si>
    <t>Multi-Strategy Credit - Unconstrained Bond (USD)</t>
  </si>
  <si>
    <t>ABMSC0002</t>
  </si>
  <si>
    <t>Multi-Strategy Credit - Alternative Credit</t>
  </si>
  <si>
    <t>ABUKAgg0001</t>
  </si>
  <si>
    <t>UK Aggregate All Stocks 50:50 Government &amp; Credit</t>
  </si>
  <si>
    <t>ABUKAgg0002</t>
  </si>
  <si>
    <t>UK Aggregate All Stocks 50:50 Government &amp; Credit 15 yr +</t>
  </si>
  <si>
    <t>ABUKAgg0003</t>
  </si>
  <si>
    <t>UK Aggregate All Stocks 33:33:33 Government, Credit &amp; Inflation Linked</t>
  </si>
  <si>
    <t>ABUKC0001</t>
  </si>
  <si>
    <t>UK Corporate Core Plus</t>
  </si>
  <si>
    <t>ABUKC0002</t>
  </si>
  <si>
    <t>UK Corporate 10 Yr + Core</t>
  </si>
  <si>
    <t>ABUKC0003</t>
  </si>
  <si>
    <t>UK Corporate &amp; Collateralised Core</t>
  </si>
  <si>
    <t>ABUKC0004</t>
  </si>
  <si>
    <t>UK Corporate All Stocks Core ( GBP subfund)</t>
  </si>
  <si>
    <t>ABUKC0005</t>
  </si>
  <si>
    <t>UK Corporate 10 Yr+ Core ( GBP subfund )</t>
  </si>
  <si>
    <t>ABUKC0006</t>
  </si>
  <si>
    <t>UK Corporate All Stocks Core</t>
  </si>
  <si>
    <t>ABUKC0007</t>
  </si>
  <si>
    <t>UK Investment Grade Credit ( retail)</t>
  </si>
  <si>
    <t>ABUKC0008</t>
  </si>
  <si>
    <t>Global Strategic Bond ( retail)</t>
  </si>
  <si>
    <t>ABUKC0011</t>
  </si>
  <si>
    <t>GBP Collateralised &amp; Non-Financials</t>
  </si>
  <si>
    <t>ABUKG0001</t>
  </si>
  <si>
    <t>Government Bonds All Stocks</t>
  </si>
  <si>
    <t>ABUKG0003</t>
  </si>
  <si>
    <t>Inflation Linked Government Bonds &gt; 5 yr</t>
  </si>
  <si>
    <t>ABUKG0004</t>
  </si>
  <si>
    <t>UK Government 15 Yr+</t>
  </si>
  <si>
    <t>ABUKG0005</t>
  </si>
  <si>
    <t>Government 50/50 All Stocks / IL 5yr +</t>
  </si>
  <si>
    <t>ABUKG0006</t>
  </si>
  <si>
    <t>Government Bonds All Stocks (Broad)</t>
  </si>
  <si>
    <t>ABUKG0007</t>
  </si>
  <si>
    <t>Government Bonds All Stocks (Constrained)</t>
  </si>
  <si>
    <t>ABUSC0001</t>
  </si>
  <si>
    <t>US Credit All Stocks (LGIM)</t>
  </si>
  <si>
    <t>ABUSCHYC0001</t>
  </si>
  <si>
    <t>US High Yield ( US Clients)</t>
  </si>
  <si>
    <t>ABUSEMHYC0001</t>
  </si>
  <si>
    <t>US and Emerging Market High Yield (US Clients)</t>
  </si>
  <si>
    <t>ABUSGC0001</t>
  </si>
  <si>
    <t>US Long Duration Credit Fund</t>
  </si>
  <si>
    <t>ABWLDAgg0001</t>
  </si>
  <si>
    <t>UK Investment Grade Credit Plus ( retail)</t>
  </si>
  <si>
    <t>ABWLDAgg0004</t>
  </si>
  <si>
    <t>Global Corporate Bond (USD hedged)</t>
  </si>
  <si>
    <t>ABWLDAgg0005</t>
  </si>
  <si>
    <t>Global Bond (ex Japan) unhedged</t>
  </si>
  <si>
    <t>ABWLDC0001</t>
  </si>
  <si>
    <t>Global Corporate Bond                    ( unhedged in GBP)</t>
  </si>
  <si>
    <t>ABWLDC0002</t>
  </si>
  <si>
    <t>Global Corporate Bond (GBP Hedged)</t>
  </si>
  <si>
    <t>ABWLDC0003</t>
  </si>
  <si>
    <t>Global Corporate Bond (Euro Hedged)</t>
  </si>
  <si>
    <t>ABWLDC0004</t>
  </si>
  <si>
    <t>Global Credit</t>
  </si>
  <si>
    <t>ABWLDGC0001</t>
  </si>
  <si>
    <t>Government and Corporate Bonds (Global)</t>
  </si>
  <si>
    <t>ABWLDHYAgg0002</t>
  </si>
  <si>
    <t>Global High Yield BB &amp; B rated (retail)</t>
  </si>
  <si>
    <t>ABWLDHYC0001</t>
  </si>
  <si>
    <t>Global High Yield BB &amp; B rated</t>
  </si>
  <si>
    <t>ABWLDHYC0002</t>
  </si>
  <si>
    <t>Global High Yield (USD Hedged)</t>
  </si>
  <si>
    <t>ABWLDHYC0003 EUR</t>
  </si>
  <si>
    <t>Global High Yield (EUR Hedged)</t>
  </si>
  <si>
    <t>ABWLDR0001</t>
  </si>
  <si>
    <t>Global Rates High Alpha</t>
  </si>
  <si>
    <t>ACUK0003</t>
  </si>
  <si>
    <t>UK 7 Day LIBID</t>
  </si>
  <si>
    <t>ACUK0004</t>
  </si>
  <si>
    <t>UK Libor 3 Month</t>
  </si>
  <si>
    <t>ACUK0006</t>
  </si>
  <si>
    <t>UK Libid 7 Day +</t>
  </si>
  <si>
    <t>ACUS0002</t>
  </si>
  <si>
    <t>US Libid 7 Day+</t>
  </si>
  <si>
    <t>ACWLD0001</t>
  </si>
  <si>
    <t>Libor 3 Month (GBP) - Global</t>
  </si>
  <si>
    <t>ACWLD0002</t>
  </si>
  <si>
    <t>Sterling Liquidity Plus - Global</t>
  </si>
  <si>
    <t>AEAPxJ0001</t>
  </si>
  <si>
    <t>Asia Pacific ex Japan Growth</t>
  </si>
  <si>
    <t>AEAPxJ0002</t>
  </si>
  <si>
    <t>Asia Pacific ex Japan Income</t>
  </si>
  <si>
    <t>AEExUK0001</t>
  </si>
  <si>
    <t>Europe ex UK Growth</t>
  </si>
  <si>
    <t>AEExUK0002</t>
  </si>
  <si>
    <t>Euope ex-UK Income</t>
  </si>
  <si>
    <t>AEExUK0003</t>
  </si>
  <si>
    <t>Europe ex UK Conc Growth</t>
  </si>
  <si>
    <t>AERCB0001</t>
  </si>
  <si>
    <t>Real Capital Builder</t>
  </si>
  <si>
    <t>AERIB0001</t>
  </si>
  <si>
    <t>Real Income Builder Sterling</t>
  </si>
  <si>
    <t>AERIB0002</t>
  </si>
  <si>
    <t>Real Income Builder USD</t>
  </si>
  <si>
    <t>AERIB0003</t>
  </si>
  <si>
    <t>Real Income Builder Plus</t>
  </si>
  <si>
    <t>AEUK00010</t>
  </si>
  <si>
    <t>UK Smaller Companies Growth</t>
  </si>
  <si>
    <t>AEUK00011</t>
  </si>
  <si>
    <t>UK Smaller Companies Income</t>
  </si>
  <si>
    <t>AEUK00012</t>
  </si>
  <si>
    <t>UK Special Situations</t>
  </si>
  <si>
    <t>AEUK00013</t>
  </si>
  <si>
    <t>UK Core</t>
  </si>
  <si>
    <t>AEUK00014</t>
  </si>
  <si>
    <t>UK Smaller Companies</t>
  </si>
  <si>
    <t>AEUK00015</t>
  </si>
  <si>
    <t>UK 350 Income</t>
  </si>
  <si>
    <t>AEUK0002</t>
  </si>
  <si>
    <t>UK 350 Growth</t>
  </si>
  <si>
    <t>AEUK0007</t>
  </si>
  <si>
    <t>All Cap High Alpha</t>
  </si>
  <si>
    <t>AEUK0008</t>
  </si>
  <si>
    <t>UK Concentrated Growth</t>
  </si>
  <si>
    <t>AEUK0009</t>
  </si>
  <si>
    <t>UK Equity Higher Income</t>
  </si>
  <si>
    <t>ALDI0001</t>
  </si>
  <si>
    <t>Active LDI Mandate no1</t>
  </si>
  <si>
    <t>AMAWLD0006</t>
  </si>
  <si>
    <t>Multi-Asset Target Return</t>
  </si>
  <si>
    <t>APUK0001</t>
  </si>
  <si>
    <t>UK Property (Pooled Fund)</t>
  </si>
  <si>
    <t>APUK0003</t>
  </si>
  <si>
    <t>UK Porperty 70/30</t>
  </si>
  <si>
    <t>IBEC0001</t>
  </si>
  <si>
    <t>Euro Corporate EUR Corp 5 Yr+ ex BBB</t>
  </si>
  <si>
    <t>IBEC0002</t>
  </si>
  <si>
    <t>Euro Corporate EUR Corp 5 Yr+ ex BBB Hedged</t>
  </si>
  <si>
    <t>IBEC0003</t>
  </si>
  <si>
    <t>Euro Corporate EUR Corp Ex Financials 5 Yr+ Ex BBB Index</t>
  </si>
  <si>
    <t>IBEC0004</t>
  </si>
  <si>
    <t>Euro Corporate EUR Corp Financials 5Yr + Ex BBB</t>
  </si>
  <si>
    <t>IBEG0001</t>
  </si>
  <si>
    <t>Euro Government Over 10 Years</t>
  </si>
  <si>
    <t>IBEG0002</t>
  </si>
  <si>
    <t>Euro Government Over 5 Years</t>
  </si>
  <si>
    <t>IBEG0003</t>
  </si>
  <si>
    <t>Euro Government All Stocks</t>
  </si>
  <si>
    <t>IBEG0004</t>
  </si>
  <si>
    <t>Euro Government Over 15 Years</t>
  </si>
  <si>
    <t>IBEG0005</t>
  </si>
  <si>
    <t>Euro Government Germany, France and Netherlands Govt Bond Over 15 Year Index</t>
  </si>
  <si>
    <t>IBEG0006</t>
  </si>
  <si>
    <t>Euro Government Germany, France and Netherlands Govt Bond All Stocks Index</t>
  </si>
  <si>
    <t>IBEG0008</t>
  </si>
  <si>
    <t>Euro Government Index-Linked Over 5 years</t>
  </si>
  <si>
    <t>IBEG0009</t>
  </si>
  <si>
    <t>Euro Government EMU HICP - AAA All Maturities</t>
  </si>
  <si>
    <t>IBEG0011</t>
  </si>
  <si>
    <t>Euro Government Over 3 Years</t>
  </si>
  <si>
    <t>IBEG0019</t>
  </si>
  <si>
    <t>Euro Government Over 10 Years AAA AA</t>
  </si>
  <si>
    <t>IBEG0020</t>
  </si>
  <si>
    <t>Euro Government Under 5 Year</t>
  </si>
  <si>
    <t>IBEG0024</t>
  </si>
  <si>
    <t>Euro Government Bonds AAA rated Over 10 Years Plus</t>
  </si>
  <si>
    <t>IBEG0025</t>
  </si>
  <si>
    <t>Euro Government Over 5 Years AAA AA</t>
  </si>
  <si>
    <t>IBEG0026</t>
  </si>
  <si>
    <t>Euro Government Under 5 Years</t>
  </si>
  <si>
    <t>IBEG0027</t>
  </si>
  <si>
    <t>Euro Government 5-10 Years</t>
  </si>
  <si>
    <t>IBEG0028</t>
  </si>
  <si>
    <t>Euro Government 10-15 Years</t>
  </si>
  <si>
    <t>IBEG0029</t>
  </si>
  <si>
    <t>Euro Government EMU HICP - Over 5 Years</t>
  </si>
  <si>
    <t>IBEG0030</t>
  </si>
  <si>
    <t>Euro Government EMU Investment Grade Bond</t>
  </si>
  <si>
    <t>IBEG0031</t>
  </si>
  <si>
    <t>Euro Government EMU Traded Bond 1-3 Years</t>
  </si>
  <si>
    <t>IBEG0032</t>
  </si>
  <si>
    <t>IBEMG0002</t>
  </si>
  <si>
    <t>Emerging Market Passive Local Currency Government Bond</t>
  </si>
  <si>
    <t>IBEMG0003</t>
  </si>
  <si>
    <t>Global government</t>
  </si>
  <si>
    <t>IBEMG0004</t>
  </si>
  <si>
    <t>Emerging Market Passive government Bond (US$)</t>
  </si>
  <si>
    <t>IBEMG0005</t>
  </si>
  <si>
    <t>Emerging Market Passive Local Currency Government Bond gross</t>
  </si>
  <si>
    <t>IBEMG0006</t>
  </si>
  <si>
    <t>Emerging Market Bond Index Global Diversified</t>
  </si>
  <si>
    <t>IBEMG0007</t>
  </si>
  <si>
    <t>Emerging Market Passive Local Currency Government Bond ex Russia</t>
  </si>
  <si>
    <t>IBEMG0008</t>
  </si>
  <si>
    <t>IBEMG0009</t>
  </si>
  <si>
    <t>IBEMG0010</t>
  </si>
  <si>
    <t>IBUKAgg0001</t>
  </si>
  <si>
    <t>UK Aggregate 15 Year +</t>
  </si>
  <si>
    <t>IBUKAgg0002</t>
  </si>
  <si>
    <t>UK Aggregate</t>
  </si>
  <si>
    <t>IBUKC0001</t>
  </si>
  <si>
    <t>UK Corporate AAA 15 Year +</t>
  </si>
  <si>
    <t>IBUKC0002</t>
  </si>
  <si>
    <t>UK Corporate AAA All Stocks</t>
  </si>
  <si>
    <t>IBUKC0003</t>
  </si>
  <si>
    <t>UK Corporate ex BBB</t>
  </si>
  <si>
    <t>IBUKC0004</t>
  </si>
  <si>
    <t>UK Corporate15 Year +</t>
  </si>
  <si>
    <t>IBUKC0005</t>
  </si>
  <si>
    <t>UK Corporate Investment Grade</t>
  </si>
  <si>
    <t>IBUKC0006</t>
  </si>
  <si>
    <t>UK Corporate5+ Years Ex BBB</t>
  </si>
  <si>
    <t>IBUKC0007</t>
  </si>
  <si>
    <t>UK Corporate (ex BBB) Over 15 Year Index</t>
  </si>
  <si>
    <t>IBUKC0009</t>
  </si>
  <si>
    <t>UK Corporate BBB All Stocks</t>
  </si>
  <si>
    <t>IBUKC0010</t>
  </si>
  <si>
    <t>UK Corporate 1 - 5 Years</t>
  </si>
  <si>
    <t>IBUKC0011</t>
  </si>
  <si>
    <t>UK BBB Corporate Bond Over 15  Year</t>
  </si>
  <si>
    <t>IBUKG0002</t>
  </si>
  <si>
    <t>UK Government All Stocks</t>
  </si>
  <si>
    <t>IBUKG0003</t>
  </si>
  <si>
    <t>UK Government Over 15 years</t>
  </si>
  <si>
    <t>IBUKG0004</t>
  </si>
  <si>
    <t>UK Government &lt; 15 yrs</t>
  </si>
  <si>
    <t>IBUKG0005</t>
  </si>
  <si>
    <t>UK Government 5-15 yrs</t>
  </si>
  <si>
    <t>IBUKG0006</t>
  </si>
  <si>
    <t>UK Government &lt; 5 yrs</t>
  </si>
  <si>
    <t>IBUKG0007</t>
  </si>
  <si>
    <t>UK Government Index Linked All Stocks</t>
  </si>
  <si>
    <t>IBUKG0008</t>
  </si>
  <si>
    <t>UK Government Index Linked Over 5 years</t>
  </si>
  <si>
    <t>IBUKG0009</t>
  </si>
  <si>
    <t>UK Government Index Linked &gt; 15 yrs</t>
  </si>
  <si>
    <t>IBUKG0010</t>
  </si>
  <si>
    <t>UK Government Index Linked &lt; 15 yrs</t>
  </si>
  <si>
    <t>IBUKG0012</t>
  </si>
  <si>
    <t>UK Index Linked Gilt Under 5 Years</t>
  </si>
  <si>
    <t>IBUKG0013</t>
  </si>
  <si>
    <t>5 - 15 Year Index Linked Gilts</t>
  </si>
  <si>
    <t>IBUKG0014</t>
  </si>
  <si>
    <t>UK Government Index Linked 76% Over 15 Year 24% Under 15 Year</t>
  </si>
  <si>
    <t>IBUKG0015</t>
  </si>
  <si>
    <t>IBUSC0001</t>
  </si>
  <si>
    <t>US Corporate 5+ Years Ex BBB</t>
  </si>
  <si>
    <t>IBUSC0002</t>
  </si>
  <si>
    <t>US Corporate 5+ Years Ex BBB - Currency Hedged</t>
  </si>
  <si>
    <t>IBUSC0003</t>
  </si>
  <si>
    <t>US Corporate Ex Financials 5 Yr + Ex BBB Index</t>
  </si>
  <si>
    <t>IBUSC0004</t>
  </si>
  <si>
    <t>US Corporate Financials 5 Yr + Ex BBB Index</t>
  </si>
  <si>
    <t>IBUSC0005</t>
  </si>
  <si>
    <t>US/ Euro Corporate 5+ Years Ex BBB - GBP Hedged</t>
  </si>
  <si>
    <t>IBUSG0001</t>
  </si>
  <si>
    <t>US Government TIPS &gt; 5 Years</t>
  </si>
  <si>
    <t>IBUSG0002</t>
  </si>
  <si>
    <t>US Government Treasury Bills (3-6) Months</t>
  </si>
  <si>
    <t>IBUSG0003</t>
  </si>
  <si>
    <t>US Government TIPS</t>
  </si>
  <si>
    <t>IBUSG0004</t>
  </si>
  <si>
    <t>US Government Treasury 1-5 Yr</t>
  </si>
  <si>
    <t>IBWLDEM0001</t>
  </si>
  <si>
    <t>Emerging Market Global Bonds Euro Hedged</t>
  </si>
  <si>
    <t>IBWLDG0002</t>
  </si>
  <si>
    <t>Global Government 1 - 3 Years</t>
  </si>
  <si>
    <t>IBWLDG0003</t>
  </si>
  <si>
    <t>Global Inflation Linked Bond</t>
  </si>
  <si>
    <t>IBWLDG0004</t>
  </si>
  <si>
    <t>Global ex EMU Euro Hedged</t>
  </si>
  <si>
    <t>IBWLDG0005</t>
  </si>
  <si>
    <t>Global Government Inflation Linked Bond EUR Hedged</t>
  </si>
  <si>
    <t>IBWLDG0006</t>
  </si>
  <si>
    <t>Global Government Composite</t>
  </si>
  <si>
    <t>IBWLDxEG0002</t>
  </si>
  <si>
    <t>Global Government ex Euro 1-3 Years - Euro Hedged</t>
  </si>
  <si>
    <t>IBWLDxEG0003</t>
  </si>
  <si>
    <t>Global Government ex EMU All Maturities</t>
  </si>
  <si>
    <t>IBWLDxUKG0001</t>
  </si>
  <si>
    <t>Global Government ex UK</t>
  </si>
  <si>
    <t>IBWLDxUKG0002</t>
  </si>
  <si>
    <t>Global Government ex UK GBP Hedged</t>
  </si>
  <si>
    <t>IECH0001</t>
  </si>
  <si>
    <t>China ex ineligibles - Net</t>
  </si>
  <si>
    <t>IEE0001</t>
  </si>
  <si>
    <t>Europe</t>
  </si>
  <si>
    <t>IEE0004</t>
  </si>
  <si>
    <t>Europe MSCI</t>
  </si>
  <si>
    <t>IEE0005</t>
  </si>
  <si>
    <t>Europe ex UK Standard ex Ineligibles</t>
  </si>
  <si>
    <t>IEE0006</t>
  </si>
  <si>
    <t>Europe Special Tax - Net</t>
  </si>
  <si>
    <t>IEEM0001</t>
  </si>
  <si>
    <t>All Emerging Markets</t>
  </si>
  <si>
    <t>IEEM0002</t>
  </si>
  <si>
    <t>Advanced Emerging Markets</t>
  </si>
  <si>
    <t>IEEM0003</t>
  </si>
  <si>
    <t>MSCI Emerging Markets</t>
  </si>
  <si>
    <t>IEEM0004</t>
  </si>
  <si>
    <t>Emerging Markets – S&amp;P/IFC</t>
  </si>
  <si>
    <t>IEEM0005</t>
  </si>
  <si>
    <t>FTSE RAFI Emerging Market Equity</t>
  </si>
  <si>
    <t>IEEM0006</t>
  </si>
  <si>
    <t>Emerging Asia Pacific</t>
  </si>
  <si>
    <t>IEEM0007</t>
  </si>
  <si>
    <t>FTSE Emerging Europe Total Return Index</t>
  </si>
  <si>
    <t>IEEM0008</t>
  </si>
  <si>
    <t>Emerging Latin America</t>
  </si>
  <si>
    <t>IEEM0010</t>
  </si>
  <si>
    <t>Emerging Markets MSCI ex Prohibited Goods</t>
  </si>
  <si>
    <t>IEEM0011</t>
  </si>
  <si>
    <t>Emerging Markets MSCI ex Korea ex Taiwan ex prohibited stocks Customised</t>
  </si>
  <si>
    <t>IEEM0012</t>
  </si>
  <si>
    <t>Emerging Markets MSCI ex Tobacco ex Sel Sec Special Tax - Gross</t>
  </si>
  <si>
    <t>IEEM0013</t>
  </si>
  <si>
    <t>Emerging Markets MSCI  ex Korea ex China ex Egypt ex Greece - Net</t>
  </si>
  <si>
    <t>IEEuro0001</t>
  </si>
  <si>
    <t>IEEuro0003</t>
  </si>
  <si>
    <t>Euro ex Prohibited Goods</t>
  </si>
  <si>
    <t>IEEuro0004</t>
  </si>
  <si>
    <t>Euro ex Prohibited Goods - Customised Index</t>
  </si>
  <si>
    <t>IEExUK0002</t>
  </si>
  <si>
    <t>Developed Europe ex UK</t>
  </si>
  <si>
    <t>IEExUK0003</t>
  </si>
  <si>
    <t>Europe ex UK ex Eurozone</t>
  </si>
  <si>
    <t>IEExUK0005</t>
  </si>
  <si>
    <t>All Europe ex UK</t>
  </si>
  <si>
    <t>IEExUK0006</t>
  </si>
  <si>
    <t>Developed Europe ex UK (net WHT)</t>
  </si>
  <si>
    <t>IEExUK0007</t>
  </si>
  <si>
    <t>Developed Europe ex UK (net WHT) Hedged</t>
  </si>
  <si>
    <t>IEExUK0008</t>
  </si>
  <si>
    <t>MSCI Europe ex UK</t>
  </si>
  <si>
    <t>IEExUK0009</t>
  </si>
  <si>
    <t>Europe ex UK ex Eurozone EUR Hedged (net WHT)</t>
  </si>
  <si>
    <t>IEExUK0010</t>
  </si>
  <si>
    <t>FTSE Developed Europe ex UK</t>
  </si>
  <si>
    <t>IEExUK0011</t>
  </si>
  <si>
    <t>Europe Small Cap ex UK ex REITS</t>
  </si>
  <si>
    <t>IEExUK0011 Net</t>
  </si>
  <si>
    <t>IEExUK0012</t>
  </si>
  <si>
    <t>IEHK0001</t>
  </si>
  <si>
    <t>Hong Kong ex ineligibles - Net</t>
  </si>
  <si>
    <t>IEInfra0001</t>
  </si>
  <si>
    <t>Infrastructure Equity</t>
  </si>
  <si>
    <t>IEInfra0002</t>
  </si>
  <si>
    <t>Infrastructure Equity GBP Hedged</t>
  </si>
  <si>
    <t>IEInfra0003</t>
  </si>
  <si>
    <t>Core Infrastructure Equity - Net</t>
  </si>
  <si>
    <t>IEJ0001</t>
  </si>
  <si>
    <t>Japan</t>
  </si>
  <si>
    <t>IEJ0002</t>
  </si>
  <si>
    <t>Japan Net</t>
  </si>
  <si>
    <t>IEJ0003</t>
  </si>
  <si>
    <t>Japan Hedged</t>
  </si>
  <si>
    <t>IEJ0004</t>
  </si>
  <si>
    <t>Japan Net Hedged</t>
  </si>
  <si>
    <t>IEJ0005</t>
  </si>
  <si>
    <t>Japan Net Euro Hedged</t>
  </si>
  <si>
    <t>IEJ0006</t>
  </si>
  <si>
    <t>IENA0002</t>
  </si>
  <si>
    <t>World North America</t>
  </si>
  <si>
    <t>IENA0003</t>
  </si>
  <si>
    <t>Developed North America</t>
  </si>
  <si>
    <t>IENA0005</t>
  </si>
  <si>
    <t>North America Hedged</t>
  </si>
  <si>
    <t>IENA0006</t>
  </si>
  <si>
    <t>North America Net Hedged</t>
  </si>
  <si>
    <t>IENA0007</t>
  </si>
  <si>
    <t>North America Net Euro Hedged</t>
  </si>
  <si>
    <t>IENA0009</t>
  </si>
  <si>
    <t>MSCI North America</t>
  </si>
  <si>
    <t>IENA0010</t>
  </si>
  <si>
    <t>FTSE RAFI North America 3000</t>
  </si>
  <si>
    <t>IEPBxJ0001</t>
  </si>
  <si>
    <t>Developed Pacific ex Japan</t>
  </si>
  <si>
    <t>IEPBxJ0002</t>
  </si>
  <si>
    <t>Developed Pacific ex Japan Hedged</t>
  </si>
  <si>
    <t>IEPBxJ0004</t>
  </si>
  <si>
    <t>Pacific ex Japan Developed Real Estate Equity Index</t>
  </si>
  <si>
    <t>IEPBxJ0005</t>
  </si>
  <si>
    <t>MSCI Pacific ex Japan ex Prohibited Stocks</t>
  </si>
  <si>
    <t>IEPBxJ0006</t>
  </si>
  <si>
    <t>Developed Pacific ex Japan EUR Hedged</t>
  </si>
  <si>
    <t>IEPBxJ0007</t>
  </si>
  <si>
    <t>IETWN0001</t>
  </si>
  <si>
    <t>MSCI Taiwan</t>
  </si>
  <si>
    <t>IEUK0001</t>
  </si>
  <si>
    <t>UK 100</t>
  </si>
  <si>
    <t>IEUK0003</t>
  </si>
  <si>
    <t>UK All Share</t>
  </si>
  <si>
    <t>IEUK0004</t>
  </si>
  <si>
    <t>UK Small Cap</t>
  </si>
  <si>
    <t>IEUK0005</t>
  </si>
  <si>
    <t>UK Ethical</t>
  </si>
  <si>
    <t>IEUK0007</t>
  </si>
  <si>
    <t>UK Wealth Weighted</t>
  </si>
  <si>
    <t>IEUK0009</t>
  </si>
  <si>
    <t>UK 250</t>
  </si>
  <si>
    <t>IEUK0011</t>
  </si>
  <si>
    <t>UK Equity ex Ineligibles MSCI</t>
  </si>
  <si>
    <t>IEUK0012</t>
  </si>
  <si>
    <t>UK All Share ex Tobacco</t>
  </si>
  <si>
    <t>IEUK0013</t>
  </si>
  <si>
    <t>MSCI UK Equity</t>
  </si>
  <si>
    <t>IEUK0014</t>
  </si>
  <si>
    <t>UK Equity Carbon Optimised</t>
  </si>
  <si>
    <t>IEUK0015</t>
  </si>
  <si>
    <t>MSCI UK Small Cap Ex REITS</t>
  </si>
  <si>
    <t>IEUS0003</t>
  </si>
  <si>
    <t>US 500</t>
  </si>
  <si>
    <t>IEUS0004</t>
  </si>
  <si>
    <t>US FTSE</t>
  </si>
  <si>
    <t>IEUS0006</t>
  </si>
  <si>
    <t>US Russell 2000</t>
  </si>
  <si>
    <t>IEUS0007</t>
  </si>
  <si>
    <t>US MSCI Minimum Volatility</t>
  </si>
  <si>
    <t>IEUS0008</t>
  </si>
  <si>
    <t>US MSCI with Special Tax - Net</t>
  </si>
  <si>
    <t>IEUS0009</t>
  </si>
  <si>
    <t>IEWLD0001</t>
  </si>
  <si>
    <t>Global 70/30</t>
  </si>
  <si>
    <t>IEWLD0002</t>
  </si>
  <si>
    <t>Global 70/30 Net</t>
  </si>
  <si>
    <t>IEWLD0003</t>
  </si>
  <si>
    <t>Global FTSE All World</t>
  </si>
  <si>
    <t>IEWLD0004</t>
  </si>
  <si>
    <t>Global Hedged</t>
  </si>
  <si>
    <t>IEWLD0005</t>
  </si>
  <si>
    <t>Global Net Hedged</t>
  </si>
  <si>
    <t>IEWLD0006</t>
  </si>
  <si>
    <t>Global 40/60</t>
  </si>
  <si>
    <t>IEWLD0007</t>
  </si>
  <si>
    <t>Global 60/40 Fixed Weights</t>
  </si>
  <si>
    <t>IEWLD0008</t>
  </si>
  <si>
    <t>Global 60/40 Fixed Weights Net</t>
  </si>
  <si>
    <t>IEWLD0009</t>
  </si>
  <si>
    <t>Global 60/40 Fixed Weights Hedged</t>
  </si>
  <si>
    <t>IEWLD0010</t>
  </si>
  <si>
    <t>Global 50/50 Fixed Weights</t>
  </si>
  <si>
    <t>IEWLD0011</t>
  </si>
  <si>
    <t>Global 50/50 Fixed Weights Hedged</t>
  </si>
  <si>
    <t>IEWLD0012</t>
  </si>
  <si>
    <t>Global 50/50</t>
  </si>
  <si>
    <t>IEWLD0013</t>
  </si>
  <si>
    <t>Global 50/50 Net</t>
  </si>
  <si>
    <t>IEWLD0014</t>
  </si>
  <si>
    <t>Global 100</t>
  </si>
  <si>
    <t>IEWLD0015</t>
  </si>
  <si>
    <t>Global Ethical</t>
  </si>
  <si>
    <t>IEWLD0017</t>
  </si>
  <si>
    <t>MSCI World</t>
  </si>
  <si>
    <t>IEWLD0018</t>
  </si>
  <si>
    <t>IEWLD0019</t>
  </si>
  <si>
    <t>MSCI World Value Weighted</t>
  </si>
  <si>
    <t>IEWLD0020</t>
  </si>
  <si>
    <t>Global Developed Market ex non - US REITS, Stapled Securities and Trusts</t>
  </si>
  <si>
    <t>IEWLD0021</t>
  </si>
  <si>
    <t>Global FTSE World Developed</t>
  </si>
  <si>
    <t>IEWLD0023</t>
  </si>
  <si>
    <t>FTSE RAFI Developed 1000 Equity</t>
  </si>
  <si>
    <t>IEWLD0024</t>
  </si>
  <si>
    <t>FTSE RAFI ALL World 3000</t>
  </si>
  <si>
    <t>IEWLD0029</t>
  </si>
  <si>
    <t>FTSE RAFI All World 3000 Developed Europe ex UK</t>
  </si>
  <si>
    <t>IEWLD0030</t>
  </si>
  <si>
    <t>Middle East &amp; Africa</t>
  </si>
  <si>
    <t>IEWLD0031</t>
  </si>
  <si>
    <t>Global Large Cap Defensive</t>
  </si>
  <si>
    <t>IEWLD0032</t>
  </si>
  <si>
    <t>Global Large Company</t>
  </si>
  <si>
    <t>IEWLD0033</t>
  </si>
  <si>
    <t>World Telecomunications</t>
  </si>
  <si>
    <t>IEWLD0034</t>
  </si>
  <si>
    <t>World Healthcare</t>
  </si>
  <si>
    <t>IEWLD0035</t>
  </si>
  <si>
    <t>Global FTSE World Developed ex Tobacco</t>
  </si>
  <si>
    <t>IEWLD0036</t>
  </si>
  <si>
    <t>Global FTSE World Developed ex Tobacco GBP Hedged</t>
  </si>
  <si>
    <t>IEWLD0037</t>
  </si>
  <si>
    <t>Global FTSE Minimum Variance Equity</t>
  </si>
  <si>
    <t>IEWLD0038</t>
  </si>
  <si>
    <t>Global MSCI Minimum Volatility - Gross</t>
  </si>
  <si>
    <t>IEWLD0039</t>
  </si>
  <si>
    <t>FTSE RAFI All World 3000 Net</t>
  </si>
  <si>
    <t>IEWLD0040</t>
  </si>
  <si>
    <t>Global Ethical GBP Hedged</t>
  </si>
  <si>
    <t>IEWLD0041</t>
  </si>
  <si>
    <t>FTSE RAFI Custom Developed ex Asia Pacific and Israel QSR</t>
  </si>
  <si>
    <t>IEWLD0042</t>
  </si>
  <si>
    <t>MSCI ACWI High Dividend</t>
  </si>
  <si>
    <t>IEWLD0043</t>
  </si>
  <si>
    <t>FTSE RAFI All World 3000 GBP Hedged</t>
  </si>
  <si>
    <t>IEWLD0044</t>
  </si>
  <si>
    <t>Value Weighted Developed GBP Hedged</t>
  </si>
  <si>
    <t>IEWLD0045</t>
  </si>
  <si>
    <t>FTSE RAFI All World Low Volatility Index GBP Hedged</t>
  </si>
  <si>
    <t>IEWLD0046</t>
  </si>
  <si>
    <t>FTSE RAFI All World Low Volatility</t>
  </si>
  <si>
    <t>IEWLD0047</t>
  </si>
  <si>
    <t>Global Low Carbon Target</t>
  </si>
  <si>
    <t>IEWLD0048</t>
  </si>
  <si>
    <t>Global Developed Small Cap Index</t>
  </si>
  <si>
    <t>IEWLD0049</t>
  </si>
  <si>
    <t>MSCI ACWI Quality - Net</t>
  </si>
  <si>
    <t>IEWLD0050</t>
  </si>
  <si>
    <t>Global Net Tax (UKPN) - Net</t>
  </si>
  <si>
    <t>IEWLD0051</t>
  </si>
  <si>
    <t>Global Minimum Volatility Euro Optimised - Net</t>
  </si>
  <si>
    <t>IEWLD0052</t>
  </si>
  <si>
    <t>Global ex Israel and non-ethical - Net</t>
  </si>
  <si>
    <t>IEWLD0053</t>
  </si>
  <si>
    <t>Global MSCI Minimum Volatility - Net</t>
  </si>
  <si>
    <t>IEWLDREIT001</t>
  </si>
  <si>
    <t>Global Real Estate Equity Index</t>
  </si>
  <si>
    <t>IEWLDREIT002</t>
  </si>
  <si>
    <t>Global Real Estate Equity Index GBP Hedged</t>
  </si>
  <si>
    <t>IEWLDREIT003</t>
  </si>
  <si>
    <t>Global Real Estate Equity Index - Net</t>
  </si>
  <si>
    <t>IEWLDREIT004</t>
  </si>
  <si>
    <t>IEWLDxE0001</t>
  </si>
  <si>
    <t>Global ex Euro Net</t>
  </si>
  <si>
    <t>IEWLDxE0002</t>
  </si>
  <si>
    <t>Developed Global ex Euro Net</t>
  </si>
  <si>
    <t>IEWLDxPRO0001</t>
  </si>
  <si>
    <t>Global Developed Equity excluding Prohibited Companies</t>
  </si>
  <si>
    <t>IEWLDxUK0001</t>
  </si>
  <si>
    <t>Global ex UK</t>
  </si>
  <si>
    <t>IEWLDxUK0002</t>
  </si>
  <si>
    <t>Global ex UK Net</t>
  </si>
  <si>
    <t>IEWLDxUK0003</t>
  </si>
  <si>
    <t>Global ex UK Peer Group</t>
  </si>
  <si>
    <t>IEWLDxUK0005</t>
  </si>
  <si>
    <t>Global ex UK Hedged</t>
  </si>
  <si>
    <t>IEWLDxUK0006</t>
  </si>
  <si>
    <t>Developed Global ex UK Hedged</t>
  </si>
  <si>
    <t>IEWLDxUK0007</t>
  </si>
  <si>
    <t>Developed Global ex UK Fixed Weights</t>
  </si>
  <si>
    <t>IEWLDxUK0008</t>
  </si>
  <si>
    <t>Developed Global ex UK</t>
  </si>
  <si>
    <t>IEWLDxUS0001</t>
  </si>
  <si>
    <t>Global ex US Ethical</t>
  </si>
  <si>
    <t>IMAE0001</t>
  </si>
  <si>
    <t>Euro Dynamic Diversified</t>
  </si>
  <si>
    <t>IMAWLD0001</t>
  </si>
  <si>
    <t>Global ex Property</t>
  </si>
  <si>
    <t>IMAWLD0002</t>
  </si>
  <si>
    <t>Global ex Property Net</t>
  </si>
  <si>
    <t>IMAWLD0007</t>
  </si>
  <si>
    <t>Global Diversified</t>
  </si>
  <si>
    <t>IMAWLD0008</t>
  </si>
  <si>
    <t>Dynamic Diversified</t>
  </si>
  <si>
    <t>IMAWLD0010</t>
  </si>
  <si>
    <t>Multi Asset</t>
  </si>
  <si>
    <t>IMAWLD0011</t>
  </si>
  <si>
    <t>Retirement Income Multi Asset</t>
  </si>
  <si>
    <t>IMAWLD0012</t>
  </si>
  <si>
    <t>Multi Asset General Insurance</t>
  </si>
  <si>
    <t>MI0001</t>
  </si>
  <si>
    <t>Mixed Investment 40% - 85%</t>
  </si>
  <si>
    <t>MI0002</t>
  </si>
  <si>
    <t>Mixed Investment 0% - 35%</t>
  </si>
  <si>
    <t>MI0003</t>
  </si>
  <si>
    <t>Mixed Investment 20% - 60%</t>
  </si>
  <si>
    <t>MI0004</t>
  </si>
  <si>
    <t>Mixed Investment 0 - 20%</t>
  </si>
  <si>
    <t>MID0003</t>
  </si>
  <si>
    <t>Multi Index 3</t>
  </si>
  <si>
    <t>MID0004</t>
  </si>
  <si>
    <t>Multi Index 4</t>
  </si>
  <si>
    <t>MID0005</t>
  </si>
  <si>
    <t>Multi Index 5</t>
  </si>
  <si>
    <t>MID0006</t>
  </si>
  <si>
    <t>Multi Index 6</t>
  </si>
  <si>
    <t>MID0007</t>
  </si>
  <si>
    <t>Multi Index 7</t>
  </si>
  <si>
    <t>MIDI0001</t>
  </si>
  <si>
    <t>Multi Index Income 4</t>
  </si>
  <si>
    <t>MIDI0002</t>
  </si>
  <si>
    <t>Multi Index Income 5</t>
  </si>
  <si>
    <t>MIDI0003</t>
  </si>
  <si>
    <t>Multi Index Income 6</t>
  </si>
  <si>
    <t>MII0001</t>
  </si>
  <si>
    <t>Mixed Investment Income 0% - 35%</t>
  </si>
  <si>
    <t>MII0002</t>
  </si>
  <si>
    <t>Mixed Investment Income 20% - 60%</t>
  </si>
  <si>
    <t>MM0001</t>
  </si>
  <si>
    <t>Multi Manager 20% - 60%</t>
  </si>
  <si>
    <t>MM0002</t>
  </si>
  <si>
    <t>Multi Manager 40% - 85%</t>
  </si>
  <si>
    <t>MMG0003</t>
  </si>
  <si>
    <t>Multi Manager Growth</t>
  </si>
  <si>
    <t>Final</t>
  </si>
  <si>
    <t>Rejected</t>
  </si>
  <si>
    <t>NoApprovalRequied</t>
  </si>
  <si>
    <t>Total Return</t>
  </si>
  <si>
    <t>Aggregate Return</t>
  </si>
  <si>
    <t>LDI Return</t>
  </si>
  <si>
    <t>Net Return (%) 7bps per annum</t>
  </si>
  <si>
    <t>Price to Price Return</t>
  </si>
  <si>
    <t>Total Return - Adjusted for Performance Holiday</t>
  </si>
  <si>
    <t>Total Return - Composite</t>
  </si>
  <si>
    <t>Total Return - EUR</t>
  </si>
  <si>
    <t>Total Return - Ex Cash</t>
  </si>
  <si>
    <t>Total Return - Futures</t>
  </si>
  <si>
    <t>Total Return - GBP</t>
  </si>
  <si>
    <t xml:space="preserve">Total Return - Hedged </t>
  </si>
  <si>
    <t>Total Return - SICAV Official</t>
  </si>
  <si>
    <t>Total Return - SICAV Official EUR</t>
  </si>
  <si>
    <t>Total Return - SICAV Official GBP</t>
  </si>
  <si>
    <t>Total Return - SICAV Official USD</t>
  </si>
  <si>
    <t xml:space="preserve">Total Return - Unhedged </t>
  </si>
  <si>
    <t>Total Return - USD</t>
  </si>
  <si>
    <t>Universe Median</t>
  </si>
  <si>
    <t>Untilised Return</t>
  </si>
  <si>
    <t>Sector Return - Options &amp; Swaptions Contributions</t>
  </si>
  <si>
    <t>Sector Return -Options Contribution</t>
  </si>
  <si>
    <t>Total Fund ex Swaps ex Cash</t>
  </si>
  <si>
    <t>Sector Return - Bonds</t>
  </si>
  <si>
    <t>Sector Return - Composite (LGIM)</t>
  </si>
  <si>
    <t>Sector Return - Composite (NT)</t>
  </si>
  <si>
    <t>Sector Return - Corp &amp; Collateralised</t>
  </si>
  <si>
    <t>Sector Return - Corp &amp; Collateralised Contribution</t>
  </si>
  <si>
    <t>Sector Return - Corporate</t>
  </si>
  <si>
    <t>Sector Return - Corporate Contribution</t>
  </si>
  <si>
    <t>Sector Return - FRN</t>
  </si>
  <si>
    <t>Sector Return - FRN Contribution</t>
  </si>
  <si>
    <t>Sector Return - Futures</t>
  </si>
  <si>
    <t>Sector Return - G Share Class</t>
  </si>
  <si>
    <t>Sector Return - Gilts</t>
  </si>
  <si>
    <t>Sector Return - Gilts Contribution</t>
  </si>
  <si>
    <t>Sector Return - Hedge Z Share Class</t>
  </si>
  <si>
    <t>Sector Return - I Share Class</t>
  </si>
  <si>
    <t>Sector Return - Index-Linked</t>
  </si>
  <si>
    <t>Sector Return - Index-Linked Contribution</t>
  </si>
  <si>
    <t>Sector Return - Index-Linked Gilts</t>
  </si>
  <si>
    <t>Sector Return - Index-Linked Gilts Contribution</t>
  </si>
  <si>
    <t>Sector Return - Inflation Rate Swaps</t>
  </si>
  <si>
    <t>Sector Return - Inflation Rate Swaps Contribution</t>
  </si>
  <si>
    <t>Sector Return - Interest Rate Swaps</t>
  </si>
  <si>
    <t>Sector Return - Interest Rate Swaps Contribution</t>
  </si>
  <si>
    <t>Sector Return - Liquidity Funds</t>
  </si>
  <si>
    <t>Sector Return - Money Market</t>
  </si>
  <si>
    <t>Sector Return - Money Market Contribution</t>
  </si>
  <si>
    <t>Sector Return - Mutual Funds</t>
  </si>
  <si>
    <t>Sector Return - Mutual Funds Contribution</t>
  </si>
  <si>
    <t>Sector Return - Non Gilts</t>
  </si>
  <si>
    <t>Sector Return - Overseas Investments</t>
  </si>
  <si>
    <t>Sector Return - Overseas Investments Contribution</t>
  </si>
  <si>
    <t>Sector Return - P&amp;L (£m)</t>
  </si>
  <si>
    <t>Sector Return - Residual</t>
  </si>
  <si>
    <t>Sector Return - Restricted FX</t>
  </si>
  <si>
    <t>Sector Return - Sterling Liquidity</t>
  </si>
  <si>
    <t>Sector Return - Sterling Liquidity Contribution</t>
  </si>
  <si>
    <t>Sector Return - Swaps</t>
  </si>
  <si>
    <t>Sector Return - Swaps Contribution</t>
  </si>
  <si>
    <t>Sector Return - Trade versus Index Price</t>
  </si>
  <si>
    <t>Sector Return - Z Share Class</t>
  </si>
  <si>
    <t>Sector Return - Zero Coupon Swaps</t>
  </si>
  <si>
    <t>Sector Return - Zero Coupon Swaps Contribution</t>
  </si>
  <si>
    <t>Monthly</t>
  </si>
  <si>
    <t>Daily</t>
  </si>
  <si>
    <t>Weekly</t>
  </si>
  <si>
    <t>Bi-Weekly</t>
  </si>
  <si>
    <t>Quaterly</t>
  </si>
  <si>
    <t>Semi-Annually</t>
  </si>
  <si>
    <t>Annually</t>
  </si>
  <si>
    <t>Q1</t>
  </si>
  <si>
    <t>Q2</t>
  </si>
  <si>
    <t>Q3</t>
  </si>
  <si>
    <t>Q4</t>
  </si>
  <si>
    <t>1 Year</t>
  </si>
  <si>
    <t>2 Year</t>
  </si>
  <si>
    <t>3 Year</t>
  </si>
  <si>
    <t>4 Year</t>
  </si>
  <si>
    <t>10 Year</t>
  </si>
  <si>
    <t>1258 - LGAS LTF PRP &amp; S32 GBP FIXD INC FUND</t>
  </si>
  <si>
    <t>1956 - WPR FIXED INTEREST FUND</t>
  </si>
  <si>
    <t>1191 - PENS.MAN. PFM (HSBC)</t>
  </si>
  <si>
    <t>1253 - LTF FIXED INTEREST FUND 2</t>
  </si>
  <si>
    <t>1261 - LTF FIXED INTEREST FUND</t>
  </si>
  <si>
    <t>1278 - LGAS LTF WPBA CASH FUND</t>
  </si>
  <si>
    <t>1156 - LGAS SHF EQUITY OVERLAY</t>
  </si>
  <si>
    <t>1966 - LGAS LTF BUY &amp; HOLD APPROVED FUND</t>
  </si>
  <si>
    <t>1286 - LGAS LTF WPNP OTHER FIXED INTEREST GILTS</t>
  </si>
  <si>
    <t xml:space="preserve"> </t>
  </si>
  <si>
    <t>1267 - LGAS EX LUCIDA SHAREHOLDER FUND</t>
  </si>
  <si>
    <t>1257 - LGAS SHF EMERGING MARKET DEBT FUND</t>
  </si>
  <si>
    <t>5422 - L&amp;G GLOBAL HIGH YIELD BOND FUND - REST OF THE WORLD</t>
  </si>
  <si>
    <t>5423 - L&amp;G GLOBAL HIGH YIELD BOND FUND - EM</t>
  </si>
  <si>
    <t>5424 - L&amp;G GLOBAL HIGH YIELD BOND FUND - US</t>
  </si>
  <si>
    <t>1967 - LGAS LTF TAX RESERVE GILTS FUND</t>
  </si>
  <si>
    <t>1397 - LGAS SHF - PEMBERTON ACCOUNT</t>
  </si>
  <si>
    <t>Yes</t>
  </si>
  <si>
    <t>No</t>
  </si>
  <si>
    <t>CommitedToIPas</t>
  </si>
  <si>
    <t>31-Dec-2016</t>
  </si>
  <si>
    <t>31-Jan-2017</t>
  </si>
  <si>
    <t>28-Feb-2017</t>
  </si>
  <si>
    <t>31-Mar-2017</t>
  </si>
  <si>
    <t>30-Apr-2017</t>
  </si>
  <si>
    <t>31-May-2017</t>
  </si>
  <si>
    <t>Jun</t>
  </si>
  <si>
    <t>30-Jun-2017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</si>
</sst>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-* #,##0.00_-;\-* #,##0.00_-;_-* &quot;-&quot;??_-;_-@_-"/>
    <numFmt numFmtId="164" formatCode="_(* #,##0.00_);_(* \(#,##0.00\);_(* &quot;-&quot;??_);_(@_)"/>
    <numFmt numFmtId="165" formatCode="dd\ mmmm\ yyyy"/>
    <numFmt numFmtId="166" formatCode="_-[$€-2]* #,##0.00_-;\-[$€-2]* #,##0.00_-;_-[$€-2]* &quot;-&quot;??_-"/>
    <numFmt numFmtId="167" formatCode="#,##0.0000_ ;[Red]\-#,##0.0000\ "/>
    <numFmt numFmtId="168" formatCode="#,##0.00_ ;[Red]\-#,##0.00\ "/>
    <numFmt numFmtId="169" formatCode="0.0000_ ;[Red]\-0.0000\ "/>
    <numFmt numFmtId="170" formatCode="[$-F800]dddd\,\ mmmm\ dd\,\ yyyy"/>
    <numFmt numFmtId="171" formatCode="0.000_ ;[Red]\-0.000\ "/>
    <numFmt numFmtId="172" formatCode="mmm\ yy"/>
    <numFmt numFmtId="173" formatCode="_([$€-2]* #,##0.00_);_([$€-2]* \(#,##0.00\);_([$€-2]* &quot;-&quot;??_)"/>
    <numFmt numFmtId="174" formatCode="#,##0_ ;[Red]\-#,##0\ "/>
    <numFmt numFmtId="175" formatCode="#,##0.000_ ;[Red]\-#,##0.000\ "/>
    <numFmt numFmtId="176" formatCode="dd\-mmm\-yyyy"/>
  </numFmts>
  <fonts count="7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Garamond Book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0"/>
      <color indexed="0"/>
      <name val="Tahoma"/>
      <family val="2"/>
    </font>
    <font>
      <sz val="11"/>
      <color indexed="10"/>
      <name val="Calibri"/>
      <family val="2"/>
    </font>
    <font>
      <sz val="10"/>
      <color indexed="0"/>
      <name val="Tahoma"/>
      <family val="2"/>
    </font>
    <font>
      <b/>
      <sz val="10"/>
      <color indexed="27"/>
      <name val="Tahoma"/>
      <family val="2"/>
    </font>
    <font>
      <b/>
      <sz val="10"/>
      <color indexed="62"/>
      <name val="Calibri"/>
      <family val="2"/>
    </font>
    <font>
      <sz val="30"/>
      <color indexed="30"/>
      <name val="Calibri"/>
      <family val="2"/>
    </font>
    <font>
      <sz val="18"/>
      <color indexed="62"/>
      <name val="Calibri"/>
      <family val="2"/>
    </font>
    <font>
      <b/>
      <sz val="10"/>
      <name val="Calibri"/>
      <family val="2"/>
    </font>
    <font>
      <b/>
      <sz val="10"/>
      <color indexed="53"/>
      <name val="Calibri"/>
      <family val="2"/>
    </font>
    <font>
      <b/>
      <sz val="10"/>
      <color indexed="56"/>
      <name val="Calibri"/>
      <family val="2"/>
    </font>
    <font>
      <sz val="30"/>
      <color indexed="53"/>
      <name val="Calibri"/>
      <family val="2"/>
    </font>
    <font>
      <sz val="18"/>
      <color indexed="53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0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1"/>
      <color rgb="FFE7ECFD"/>
      <name val="Calibri"/>
      <family val="2"/>
    </font>
    <font>
      <sz val="11"/>
      <color rgb="FFE7ECFD"/>
      <name val="Calibri"/>
      <family val="2"/>
      <scheme val="minor"/>
    </font>
    <font>
      <b/>
      <sz val="16"/>
      <name val="Calibri"/>
      <family val="2"/>
    </font>
    <font>
      <sz val="11"/>
      <name val="Calibri"/>
      <family val="2"/>
    </font>
    <font>
      <b/>
      <sz val="12"/>
      <color rgb="FFE7ECFD"/>
      <name val="Calibri"/>
      <family val="2"/>
    </font>
    <font>
      <sz val="10"/>
      <color rgb="FFE7ECFD"/>
      <name val="Calibri"/>
      <family val="2"/>
    </font>
    <font>
      <b/>
      <sz val="10"/>
      <color rgb="FFE7ECFD"/>
      <name val="Calibri"/>
      <family val="2"/>
    </font>
    <font>
      <sz val="11"/>
      <color theme="0"/>
      <name val="Cambria"/>
      <family val="1"/>
    </font>
    <font>
      <sz val="11"/>
      <color theme="0"/>
      <name val="Calibri"/>
      <family val="2"/>
    </font>
    <font>
      <i/>
      <sz val="11"/>
      <name val="Calibri"/>
      <family val="2"/>
    </font>
    <font>
      <sz val="10"/>
      <name val="Calibri"/>
      <family val="2"/>
    </font>
    <font>
      <sz val="10"/>
      <color theme="0"/>
      <name val="Calibri"/>
      <family val="2"/>
    </font>
    <font>
      <i/>
      <sz val="10"/>
      <name val="Calibri"/>
      <family val="2"/>
    </font>
    <font>
      <b/>
      <sz val="15"/>
      <color indexed="62"/>
      <name val="Calibri"/>
      <family val="2"/>
    </font>
    <font>
      <b/>
      <sz val="18"/>
      <color theme="0"/>
      <name val="Calibri"/>
      <family val="2"/>
    </font>
    <font>
      <sz val="10"/>
      <color theme="0"/>
      <name val="Cambria"/>
      <family val="1"/>
    </font>
    <font>
      <b/>
      <sz val="12"/>
      <color theme="0"/>
      <name val="Calibri"/>
      <family val="2"/>
    </font>
    <font>
      <sz val="10"/>
      <name val="Calibri"/>
      <family val="2"/>
    </font>
    <font>
      <i/>
      <sz val="10"/>
      <name val="Calibri"/>
      <family val="2"/>
    </font>
    <font>
      <sz val="11"/>
      <name val="Calibri"/>
      <scheme val="minor"/>
    </font>
  </fonts>
  <fills count="8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"/>
      </patternFill>
    </fill>
    <fill>
      <patternFill patternType="solid">
        <fgColor indexed="1"/>
      </patternFill>
    </fill>
    <fill>
      <patternFill patternType="solid">
        <fgColor indexed="2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gradientFill degree="90">
        <stop position="0">
          <color rgb="FF007CA8"/>
        </stop>
        <stop position="1">
          <color rgb="FF006688"/>
        </stop>
      </gradientFill>
    </fill>
    <fill>
      <patternFill patternType="solid">
        <fgColor rgb="FF92D050"/>
        <bgColor auto="1"/>
      </patternFill>
    </fill>
    <fill>
      <patternFill patternType="solid">
        <fgColor rgb="FF006688"/>
        <bgColor auto="1"/>
      </patternFill>
    </fill>
    <fill>
      <gradientFill degree="90">
        <stop position="0">
          <color theme="0"/>
        </stop>
        <stop position="0.5">
          <color theme="4" tint="0.80001220740379042"/>
        </stop>
        <stop position="1">
          <color theme="0"/>
        </stop>
      </gradientFill>
    </fill>
    <fill>
      <patternFill patternType="solid">
        <fgColor theme="0" tint="-0.34998626667073579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56"/>
        <bgColor indexed="56"/>
      </patternFill>
    </fill>
    <fill>
      <gradientFill degree="90">
        <stop position="0">
          <color theme="3" tint="0.80001220740379042"/>
        </stop>
        <stop position="1">
          <color theme="3"/>
        </stop>
      </gradientFill>
    </fill>
    <fill>
      <patternFill patternType="solid">
        <fgColor indexed="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24"/>
      </right>
      <top/>
      <bottom/>
      <diagonal/>
    </border>
    <border>
      <left/>
      <right/>
      <top/>
      <bottom style="medium">
        <color indexed="24"/>
      </bottom>
      <diagonal/>
    </border>
    <border>
      <left/>
      <right/>
      <top/>
      <bottom style="medium">
        <color indexed="6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ck">
        <color indexed="49"/>
      </left>
      <right style="thick">
        <color indexed="49"/>
      </right>
      <top style="thick">
        <color indexed="49"/>
      </top>
      <bottom style="thick">
        <color indexed="49"/>
      </bottom>
      <diagonal/>
    </border>
    <border>
      <left style="medium">
        <color indexed="49"/>
      </left>
      <right style="medium">
        <color indexed="49"/>
      </right>
      <top style="medium">
        <color indexed="49"/>
      </top>
      <bottom style="medium">
        <color indexed="49"/>
      </bottom>
      <diagonal/>
    </border>
    <border>
      <left style="thin">
        <color indexed="49"/>
      </left>
      <right style="thin">
        <color indexed="49"/>
      </right>
      <top style="thin">
        <color indexed="49"/>
      </top>
      <bottom style="thin">
        <color indexed="49"/>
      </bottom>
      <diagonal/>
    </border>
    <border>
      <left style="thin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 style="thick">
        <color indexed="56"/>
      </left>
      <right style="thick">
        <color indexed="56"/>
      </right>
      <top style="thick">
        <color indexed="56"/>
      </top>
      <bottom style="thick">
        <color indexed="56"/>
      </bottom>
      <diagonal/>
    </border>
    <border>
      <left style="medium">
        <color indexed="56"/>
      </left>
      <right style="medium">
        <color indexed="56"/>
      </right>
      <top style="medium">
        <color indexed="56"/>
      </top>
      <bottom style="medium">
        <color indexed="56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 style="thick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5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auto="1"/>
      </right>
      <top style="thin">
        <color rgb="FFFF0000"/>
      </top>
      <bottom style="thin">
        <color rgb="FFFF0000"/>
      </bottom>
      <diagonal/>
    </border>
    <border>
      <left style="thin">
        <color auto="1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auto="1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medium">
        <color indexed="64"/>
      </right>
      <top style="thin">
        <color rgb="FFFF0000"/>
      </top>
      <bottom style="thin">
        <color rgb="FFFF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8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8" fillId="0" borderId="0"/>
    <xf numFmtId="0" fontId="18" fillId="0" borderId="0">
      <alignment vertical="top"/>
    </xf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50" borderId="0" applyNumberFormat="0" applyBorder="0" applyAlignment="0" applyProtection="0"/>
    <xf numFmtId="0" fontId="21" fillId="34" borderId="0" applyNumberFormat="0" applyBorder="0" applyAlignment="0" applyProtection="0"/>
    <xf numFmtId="0" fontId="22" fillId="51" borderId="10" applyNumberFormat="0" applyAlignment="0" applyProtection="0"/>
    <xf numFmtId="0" fontId="23" fillId="52" borderId="11" applyNumberFormat="0" applyAlignment="0" applyProtection="0"/>
    <xf numFmtId="164" fontId="18" fillId="0" borderId="0" applyFont="0" applyFill="0" applyBorder="0" applyAlignment="0" applyProtection="0"/>
    <xf numFmtId="165" fontId="24" fillId="0" borderId="0"/>
    <xf numFmtId="0" fontId="25" fillId="0" borderId="0" applyNumberFormat="0" applyFill="0" applyBorder="0" applyAlignment="0" applyProtection="0"/>
    <xf numFmtId="0" fontId="26" fillId="35" borderId="0" applyNumberFormat="0" applyBorder="0" applyAlignment="0" applyProtection="0"/>
    <xf numFmtId="0" fontId="27" fillId="0" borderId="12" applyNumberFormat="0" applyFill="0" applyAlignment="0" applyProtection="0"/>
    <xf numFmtId="0" fontId="28" fillId="0" borderId="13" applyNumberFormat="0" applyFill="0" applyAlignment="0" applyProtection="0"/>
    <xf numFmtId="0" fontId="29" fillId="0" borderId="14" applyNumberFormat="0" applyFill="0" applyAlignment="0" applyProtection="0"/>
    <xf numFmtId="0" fontId="29" fillId="0" borderId="0" applyNumberFormat="0" applyFill="0" applyBorder="0" applyAlignment="0" applyProtection="0"/>
    <xf numFmtId="0" fontId="30" fillId="38" borderId="10" applyNumberFormat="0" applyAlignment="0" applyProtection="0"/>
    <xf numFmtId="0" fontId="31" fillId="0" borderId="15" applyNumberFormat="0" applyFill="0" applyAlignment="0" applyProtection="0"/>
    <xf numFmtId="0" fontId="32" fillId="53" borderId="0" applyNumberFormat="0" applyBorder="0" applyAlignment="0" applyProtection="0"/>
    <xf numFmtId="0" fontId="18" fillId="54" borderId="16" applyNumberFormat="0" applyFont="0" applyAlignment="0" applyProtection="0"/>
    <xf numFmtId="0" fontId="33" fillId="51" borderId="17" applyNumberFormat="0" applyAlignment="0" applyProtection="0"/>
    <xf numFmtId="9" fontId="18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6" fillId="55" borderId="0"/>
    <xf numFmtId="0" fontId="37" fillId="0" borderId="0" applyNumberFormat="0" applyFill="0" applyBorder="0" applyAlignment="0" applyProtection="0"/>
    <xf numFmtId="0" fontId="38" fillId="56" borderId="0"/>
    <xf numFmtId="0" fontId="38" fillId="33" borderId="19"/>
    <xf numFmtId="0" fontId="36" fillId="57" borderId="20"/>
    <xf numFmtId="0" fontId="39" fillId="47" borderId="21"/>
    <xf numFmtId="0" fontId="40" fillId="58" borderId="22" applyNumberFormat="0">
      <alignment horizontal="center" vertical="center" wrapText="1"/>
    </xf>
    <xf numFmtId="0" fontId="41" fillId="0" borderId="23">
      <alignment horizontal="center" vertical="center"/>
    </xf>
    <xf numFmtId="0" fontId="42" fillId="0" borderId="24">
      <alignment horizontal="center" vertical="center"/>
    </xf>
    <xf numFmtId="0" fontId="40" fillId="58" borderId="22" applyNumberFormat="0">
      <alignment horizontal="center" vertical="center" wrapText="1"/>
    </xf>
    <xf numFmtId="0" fontId="43" fillId="0" borderId="25" applyNumberFormat="0" applyProtection="0">
      <alignment horizontal="center" vertical="center" wrapText="1"/>
    </xf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164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0" fontId="44" fillId="0" borderId="26" applyNumberFormat="0">
      <alignment horizontal="center" vertical="center" wrapText="1"/>
    </xf>
    <xf numFmtId="0" fontId="45" fillId="58" borderId="27" applyNumberFormat="0">
      <alignment horizontal="center" vertical="center" wrapText="1"/>
    </xf>
    <xf numFmtId="0" fontId="43" fillId="0" borderId="27" applyProtection="0">
      <alignment horizontal="center" vertical="center" wrapText="1"/>
    </xf>
    <xf numFmtId="0" fontId="46" fillId="0" borderId="28">
      <alignment horizontal="center" vertical="center"/>
    </xf>
    <xf numFmtId="0" fontId="1" fillId="0" borderId="0"/>
    <xf numFmtId="0" fontId="47" fillId="59" borderId="29">
      <alignment horizontal="center" vertical="center"/>
    </xf>
    <xf numFmtId="0" fontId="1" fillId="0" borderId="0"/>
    <xf numFmtId="0" fontId="18" fillId="0" borderId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50" borderId="0" applyNumberFormat="0" applyBorder="0" applyAlignment="0" applyProtection="0"/>
    <xf numFmtId="0" fontId="21" fillId="34" borderId="0" applyNumberFormat="0" applyBorder="0" applyAlignment="0" applyProtection="0"/>
    <xf numFmtId="0" fontId="22" fillId="51" borderId="10" applyNumberFormat="0" applyAlignment="0" applyProtection="0"/>
    <xf numFmtId="0" fontId="23" fillId="52" borderId="11" applyNumberFormat="0" applyAlignment="0" applyProtection="0"/>
    <xf numFmtId="164" fontId="18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35" borderId="0" applyNumberFormat="0" applyBorder="0" applyAlignment="0" applyProtection="0"/>
    <xf numFmtId="0" fontId="27" fillId="0" borderId="12" applyNumberFormat="0" applyFill="0" applyAlignment="0" applyProtection="0"/>
    <xf numFmtId="0" fontId="28" fillId="0" borderId="13" applyNumberFormat="0" applyFill="0" applyAlignment="0" applyProtection="0"/>
    <xf numFmtId="0" fontId="29" fillId="0" borderId="14" applyNumberFormat="0" applyFill="0" applyAlignment="0" applyProtection="0"/>
    <xf numFmtId="0" fontId="29" fillId="0" borderId="0" applyNumberFormat="0" applyFill="0" applyBorder="0" applyAlignment="0" applyProtection="0"/>
    <xf numFmtId="0" fontId="30" fillId="38" borderId="10" applyNumberFormat="0" applyAlignment="0" applyProtection="0"/>
    <xf numFmtId="0" fontId="31" fillId="0" borderId="15" applyNumberFormat="0" applyFill="0" applyAlignment="0" applyProtection="0"/>
    <xf numFmtId="0" fontId="32" fillId="53" borderId="0" applyNumberFormat="0" applyBorder="0" applyAlignment="0" applyProtection="0"/>
    <xf numFmtId="0" fontId="18" fillId="54" borderId="16" applyNumberFormat="0" applyFont="0" applyAlignment="0" applyProtection="0"/>
    <xf numFmtId="0" fontId="33" fillId="51" borderId="17" applyNumberFormat="0" applyAlignment="0" applyProtection="0"/>
    <xf numFmtId="9" fontId="18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7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8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8" fillId="0" borderId="0">
      <alignment vertical="top"/>
    </xf>
    <xf numFmtId="0" fontId="1" fillId="0" borderId="0"/>
    <xf numFmtId="0" fontId="18" fillId="0" borderId="0">
      <alignment vertical="top"/>
    </xf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8" fillId="0" borderId="0">
      <alignment vertical="top"/>
    </xf>
    <xf numFmtId="0" fontId="18" fillId="0" borderId="0">
      <alignment vertical="top"/>
    </xf>
    <xf numFmtId="0" fontId="18" fillId="0" borderId="0">
      <alignment vertical="top"/>
    </xf>
    <xf numFmtId="0" fontId="19" fillId="72" borderId="0" applyNumberFormat="0" applyBorder="0" applyAlignment="0" applyProtection="0"/>
    <xf numFmtId="0" fontId="20" fillId="73" borderId="0" applyNumberFormat="0" applyBorder="0" applyAlignment="0" applyProtection="0"/>
    <xf numFmtId="164" fontId="18" fillId="0" borderId="0" applyFont="0" applyFill="0" applyBorder="0" applyAlignment="0" applyProtection="0"/>
    <xf numFmtId="173" fontId="18" fillId="0" borderId="0" applyFont="0" applyFill="0" applyBorder="0" applyAlignment="0" applyProtection="0">
      <alignment vertical="top"/>
    </xf>
    <xf numFmtId="0" fontId="69" fillId="0" borderId="51" applyNumberFormat="0" applyFill="0" applyAlignment="0" applyProtection="0"/>
    <xf numFmtId="0" fontId="19" fillId="54" borderId="16" applyNumberFormat="0" applyFont="0" applyAlignment="0" applyProtection="0"/>
  </cellStyleXfs>
  <cellXfs count="213">
    <xf numFmtId="0" fontId="0" fillId="0" borderId="0" xfId="0"/>
    <xf numFmtId="0" fontId="13" fillId="60" borderId="0" xfId="0" applyFont="1" applyFill="1"/>
    <xf numFmtId="0" fontId="50" fillId="61" borderId="31" xfId="0" applyFont="1" applyFill="1" applyBorder="1"/>
    <xf numFmtId="0" fontId="50" fillId="61" borderId="30" xfId="0" applyFont="1" applyFill="1" applyBorder="1" applyAlignment="1">
      <alignment horizontal="center"/>
    </xf>
    <xf numFmtId="14" fontId="50" fillId="61" borderId="31" xfId="0" applyNumberFormat="1" applyFont="1" applyFill="1" applyBorder="1" applyAlignment="1">
      <alignment horizontal="center"/>
    </xf>
    <xf numFmtId="0" fontId="13" fillId="63" borderId="32" xfId="0" applyFont="1" applyFill="1" applyBorder="1"/>
    <xf numFmtId="0" fontId="51" fillId="64" borderId="32" xfId="0" applyFont="1" applyFill="1" applyBorder="1"/>
    <xf numFmtId="0" fontId="13" fillId="63" borderId="33" xfId="0" applyFont="1" applyFill="1" applyBorder="1"/>
    <xf numFmtId="0" fontId="0" fillId="0" borderId="0" xfId="0" applyFill="1"/>
    <xf numFmtId="0" fontId="52" fillId="0" borderId="0" xfId="0" applyFont="1" applyFill="1" applyBorder="1"/>
    <xf numFmtId="49" fontId="0" fillId="0" borderId="0" xfId="0" applyNumberFormat="1"/>
    <xf numFmtId="0" fontId="0" fillId="0" borderId="0" xfId="0" applyAlignment="1">
      <alignment horizontal="left" vertical="top"/>
    </xf>
    <xf numFmtId="0" fontId="13" fillId="62" borderId="0" xfId="0" applyFont="1" applyFill="1" applyAlignment="1"/>
    <xf numFmtId="167" fontId="52" fillId="0" borderId="0" xfId="0" applyNumberFormat="1" applyFont="1" applyFill="1" applyBorder="1"/>
    <xf numFmtId="168" fontId="52" fillId="0" borderId="0" xfId="0" applyNumberFormat="1" applyFont="1" applyFill="1" applyBorder="1"/>
    <xf numFmtId="169" fontId="52" fillId="0" borderId="0" xfId="0" applyNumberFormat="1" applyFont="1" applyFill="1" applyBorder="1"/>
    <xf numFmtId="15" fontId="52" fillId="0" borderId="0" xfId="0" applyNumberFormat="1" applyFont="1" applyFill="1" applyBorder="1"/>
    <xf numFmtId="0" fontId="13" fillId="62" borderId="0" xfId="0" applyFont="1" applyFill="1" applyAlignment="1">
      <alignment horizontal="center"/>
    </xf>
    <xf numFmtId="0" fontId="13" fillId="62" borderId="0" xfId="0" applyFont="1" applyFill="1" applyAlignment="1">
      <alignment horizontal="left"/>
    </xf>
    <xf numFmtId="49" fontId="52" fillId="0" borderId="0" xfId="0" applyNumberFormat="1" applyFont="1" applyFill="1" applyBorder="1"/>
    <xf numFmtId="15" fontId="52" fillId="0" borderId="0" xfId="174" applyNumberFormat="1" applyFont="1" applyFill="1" applyBorder="1"/>
    <xf numFmtId="167" fontId="52" fillId="0" borderId="0" xfId="174" applyNumberFormat="1" applyFont="1" applyFill="1" applyBorder="1"/>
    <xf numFmtId="168" fontId="52" fillId="0" borderId="0" xfId="174" applyNumberFormat="1" applyFont="1" applyFill="1" applyBorder="1"/>
    <xf numFmtId="0" fontId="0" fillId="0" borderId="0" xfId="0" applyAlignment="1">
      <alignment horizontal="center" vertical="center" wrapText="1"/>
    </xf>
    <xf numFmtId="0" fontId="13" fillId="62" borderId="0" xfId="0" applyFont="1" applyFill="1" applyAlignment="1">
      <alignment horizontal="left"/>
    </xf>
    <xf numFmtId="10" fontId="52" fillId="0" borderId="0" xfId="175" applyNumberFormat="1" applyFont="1" applyFill="1" applyBorder="1"/>
    <xf numFmtId="0" fontId="0" fillId="66" borderId="34" xfId="0" applyFill="1" applyBorder="1" applyAlignment="1">
      <alignment horizontal="center" vertical="center" wrapText="1"/>
    </xf>
    <xf numFmtId="0" fontId="0" fillId="66" borderId="0" xfId="0" applyFill="1" applyBorder="1" applyAlignment="1">
      <alignment horizontal="center" vertical="center" wrapText="1"/>
    </xf>
    <xf numFmtId="0" fontId="0" fillId="66" borderId="35" xfId="0" applyFill="1" applyBorder="1" applyAlignment="1">
      <alignment horizontal="center" vertical="center" wrapText="1"/>
    </xf>
    <xf numFmtId="49" fontId="52" fillId="0" borderId="34" xfId="0" applyNumberFormat="1" applyFont="1" applyFill="1" applyBorder="1"/>
    <xf numFmtId="0" fontId="0" fillId="65" borderId="0" xfId="0" applyFill="1" applyBorder="1" applyAlignment="1">
      <alignment horizontal="center" vertical="center" wrapText="1"/>
    </xf>
    <xf numFmtId="0" fontId="0" fillId="65" borderId="34" xfId="0" applyFill="1" applyBorder="1" applyAlignment="1">
      <alignment horizontal="center" vertical="center" wrapText="1"/>
    </xf>
    <xf numFmtId="0" fontId="0" fillId="65" borderId="35" xfId="0" applyFill="1" applyBorder="1" applyAlignment="1">
      <alignment horizontal="center" vertical="center" wrapText="1"/>
    </xf>
    <xf numFmtId="10" fontId="52" fillId="0" borderId="36" xfId="175" applyNumberFormat="1" applyFont="1" applyFill="1" applyBorder="1"/>
    <xf numFmtId="0" fontId="0" fillId="63" borderId="0" xfId="0" applyFill="1" applyBorder="1" applyAlignment="1">
      <alignment horizontal="center" vertical="center" wrapText="1"/>
    </xf>
    <xf numFmtId="0" fontId="0" fillId="63" borderId="35" xfId="0" applyFill="1" applyBorder="1" applyAlignment="1">
      <alignment horizontal="center" vertical="center" wrapText="1"/>
    </xf>
    <xf numFmtId="0" fontId="0" fillId="63" borderId="34" xfId="0" applyFill="1" applyBorder="1" applyAlignment="1">
      <alignment horizontal="center" vertical="center" wrapText="1"/>
    </xf>
    <xf numFmtId="0" fontId="13" fillId="62" borderId="0" xfId="0" applyFont="1" applyFill="1" applyAlignment="1">
      <alignment horizontal="left"/>
    </xf>
    <xf numFmtId="0" fontId="17" fillId="63" borderId="0" xfId="0" applyFont="1" applyFill="1" applyBorder="1" applyAlignment="1">
      <alignment horizontal="center" vertical="center" wrapText="1"/>
    </xf>
    <xf numFmtId="0" fontId="0" fillId="63" borderId="38" xfId="0" applyFill="1" applyBorder="1" applyAlignment="1">
      <alignment horizontal="center" vertical="center" wrapText="1"/>
    </xf>
    <xf numFmtId="0" fontId="0" fillId="63" borderId="37" xfId="0" applyFill="1" applyBorder="1" applyAlignment="1">
      <alignment horizontal="center" vertical="center" wrapText="1"/>
    </xf>
    <xf numFmtId="167" fontId="52" fillId="0" borderId="0" xfId="174" applyNumberFormat="1" applyFont="1" applyFill="1" applyBorder="1" applyAlignment="1"/>
    <xf numFmtId="167" fontId="52" fillId="0" borderId="0" xfId="174" applyNumberFormat="1" applyFont="1" applyFill="1" applyBorder="1" applyAlignment="1">
      <alignment horizontal="center"/>
    </xf>
    <xf numFmtId="0" fontId="13" fillId="62" borderId="0" xfId="0" applyFont="1" applyFill="1" applyAlignment="1">
      <alignment horizontal="left"/>
    </xf>
    <xf numFmtId="0" fontId="13" fillId="62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54" fillId="0" borderId="0" xfId="0" applyFont="1" applyBorder="1" applyAlignment="1">
      <alignment horizontal="center"/>
    </xf>
    <xf numFmtId="17" fontId="56" fillId="0" borderId="0" xfId="0" applyNumberFormat="1" applyFont="1" applyFill="1" applyBorder="1" applyAlignment="1">
      <alignment vertical="center" wrapText="1"/>
    </xf>
    <xf numFmtId="0" fontId="57" fillId="0" borderId="0" xfId="0" applyFont="1" applyFill="1" applyBorder="1"/>
    <xf numFmtId="0" fontId="0" fillId="0" borderId="0" xfId="0" applyBorder="1" applyAlignment="1">
      <alignment horizontal="center"/>
    </xf>
    <xf numFmtId="0" fontId="55" fillId="67" borderId="32" xfId="0" applyFont="1" applyFill="1" applyBorder="1" applyAlignment="1">
      <alignment horizontal="center" vertical="center"/>
    </xf>
    <xf numFmtId="0" fontId="59" fillId="70" borderId="44" xfId="176" applyFont="1" applyFill="1" applyBorder="1" applyAlignment="1" applyProtection="1">
      <alignment horizontal="center" vertical="center"/>
      <protection hidden="1"/>
    </xf>
    <xf numFmtId="0" fontId="60" fillId="0" borderId="0" xfId="0" applyFont="1" applyFill="1" applyBorder="1" applyAlignment="1">
      <alignment horizontal="center" vertical="center"/>
    </xf>
    <xf numFmtId="0" fontId="59" fillId="70" borderId="32" xfId="176" applyFont="1" applyFill="1" applyBorder="1" applyAlignment="1" applyProtection="1">
      <alignment horizontal="center" vertical="center"/>
      <protection hidden="1"/>
    </xf>
    <xf numFmtId="171" fontId="61" fillId="0" borderId="0" xfId="176" applyNumberFormat="1" applyFont="1" applyFill="1" applyBorder="1" applyAlignment="1" applyProtection="1">
      <alignment horizontal="center" vertical="center"/>
      <protection hidden="1"/>
    </xf>
    <xf numFmtId="171" fontId="62" fillId="0" borderId="0" xfId="176" applyNumberFormat="1" applyFont="1" applyFill="1" applyBorder="1" applyAlignment="1" applyProtection="1">
      <alignment horizontal="right" vertical="center"/>
      <protection hidden="1"/>
    </xf>
    <xf numFmtId="0" fontId="63" fillId="0" borderId="0" xfId="176" applyFont="1" applyFill="1" applyBorder="1" applyAlignment="1" applyProtection="1">
      <alignment horizontal="center" vertical="center" wrapText="1"/>
      <protection hidden="1"/>
    </xf>
    <xf numFmtId="0" fontId="64" fillId="0" borderId="0" xfId="176" applyFont="1" applyFill="1" applyBorder="1" applyAlignment="1" applyProtection="1">
      <alignment horizontal="center" vertical="center" wrapText="1"/>
      <protection hidden="1"/>
    </xf>
    <xf numFmtId="0" fontId="63" fillId="71" borderId="44" xfId="176" applyFont="1" applyFill="1" applyBorder="1" applyAlignment="1" applyProtection="1">
      <alignment horizontal="center" vertical="center" wrapText="1"/>
      <protection hidden="1"/>
    </xf>
    <xf numFmtId="0" fontId="64" fillId="71" borderId="44" xfId="176" applyFont="1" applyFill="1" applyBorder="1" applyAlignment="1" applyProtection="1">
      <alignment horizontal="center" vertical="center" wrapText="1"/>
      <protection hidden="1"/>
    </xf>
    <xf numFmtId="0" fontId="59" fillId="70" borderId="32" xfId="176" applyFont="1" applyFill="1" applyBorder="1" applyProtection="1">
      <alignment vertical="top"/>
      <protection hidden="1"/>
    </xf>
    <xf numFmtId="171" fontId="59" fillId="70" borderId="32" xfId="176" applyNumberFormat="1" applyFont="1" applyFill="1" applyBorder="1" applyAlignment="1" applyProtection="1">
      <alignment horizontal="center" vertical="center"/>
      <protection hidden="1"/>
    </xf>
    <xf numFmtId="0" fontId="59" fillId="0" borderId="0" xfId="176" applyFont="1" applyFill="1" applyBorder="1" applyProtection="1">
      <alignment vertical="top"/>
      <protection hidden="1"/>
    </xf>
    <xf numFmtId="171" fontId="59" fillId="0" borderId="0" xfId="176" applyNumberFormat="1" applyFont="1" applyFill="1" applyBorder="1" applyAlignment="1" applyProtection="1">
      <alignment horizontal="center" vertical="center"/>
      <protection hidden="1"/>
    </xf>
    <xf numFmtId="0" fontId="63" fillId="71" borderId="33" xfId="176" applyFont="1" applyFill="1" applyBorder="1" applyAlignment="1" applyProtection="1">
      <alignment horizontal="center" vertical="center" wrapText="1"/>
      <protection hidden="1"/>
    </xf>
    <xf numFmtId="0" fontId="64" fillId="71" borderId="33" xfId="176" applyFont="1" applyFill="1" applyBorder="1" applyAlignment="1" applyProtection="1">
      <alignment horizontal="center" vertical="center" wrapText="1"/>
      <protection hidden="1"/>
    </xf>
    <xf numFmtId="0" fontId="59" fillId="70" borderId="32" xfId="176" applyFont="1" applyFill="1" applyBorder="1" applyAlignment="1" applyProtection="1">
      <alignment horizontal="center" vertical="top"/>
      <protection hidden="1"/>
    </xf>
    <xf numFmtId="172" fontId="59" fillId="70" borderId="32" xfId="176" applyNumberFormat="1" applyFont="1" applyFill="1" applyBorder="1" applyAlignment="1" applyProtection="1">
      <alignment horizontal="center" vertical="center"/>
      <protection hidden="1"/>
    </xf>
    <xf numFmtId="171" fontId="65" fillId="70" borderId="32" xfId="176" applyNumberFormat="1" applyFont="1" applyFill="1" applyBorder="1" applyAlignment="1" applyProtection="1">
      <alignment horizontal="center" vertical="center"/>
      <protection hidden="1"/>
    </xf>
    <xf numFmtId="171" fontId="66" fillId="70" borderId="32" xfId="176" applyNumberFormat="1" applyFont="1" applyFill="1" applyBorder="1" applyAlignment="1" applyProtection="1">
      <alignment horizontal="center" vertical="center"/>
      <protection hidden="1"/>
    </xf>
    <xf numFmtId="171" fontId="66" fillId="0" borderId="0" xfId="176" applyNumberFormat="1" applyFont="1" applyFill="1" applyBorder="1" applyAlignment="1" applyProtection="1">
      <alignment horizontal="left" vertical="center"/>
      <protection hidden="1"/>
    </xf>
    <xf numFmtId="171" fontId="66" fillId="0" borderId="0" xfId="176" applyNumberFormat="1" applyFont="1" applyFill="1" applyBorder="1" applyAlignment="1" applyProtection="1">
      <alignment horizontal="center" vertical="center"/>
      <protection hidden="1"/>
    </xf>
    <xf numFmtId="171" fontId="66" fillId="70" borderId="38" xfId="176" applyNumberFormat="1" applyFont="1" applyFill="1" applyBorder="1" applyAlignment="1" applyProtection="1">
      <alignment horizontal="left" vertical="center"/>
      <protection hidden="1"/>
    </xf>
    <xf numFmtId="171" fontId="66" fillId="70" borderId="0" xfId="176" applyNumberFormat="1" applyFont="1" applyFill="1" applyBorder="1" applyAlignment="1" applyProtection="1">
      <alignment vertical="center"/>
      <protection hidden="1"/>
    </xf>
    <xf numFmtId="171" fontId="66" fillId="70" borderId="37" xfId="176" applyNumberFormat="1" applyFont="1" applyFill="1" applyBorder="1" applyAlignment="1" applyProtection="1">
      <alignment vertical="center"/>
      <protection hidden="1"/>
    </xf>
    <xf numFmtId="171" fontId="66" fillId="70" borderId="38" xfId="176" applyNumberFormat="1" applyFont="1" applyFill="1" applyBorder="1" applyAlignment="1" applyProtection="1">
      <alignment horizontal="center" vertical="center"/>
      <protection hidden="1"/>
    </xf>
    <xf numFmtId="171" fontId="66" fillId="70" borderId="48" xfId="176" applyNumberFormat="1" applyFont="1" applyFill="1" applyBorder="1" applyAlignment="1" applyProtection="1">
      <alignment horizontal="center" vertical="center"/>
      <protection hidden="1"/>
    </xf>
    <xf numFmtId="171" fontId="66" fillId="70" borderId="49" xfId="176" applyNumberFormat="1" applyFont="1" applyFill="1" applyBorder="1" applyAlignment="1" applyProtection="1">
      <alignment vertical="center"/>
      <protection hidden="1"/>
    </xf>
    <xf numFmtId="171" fontId="66" fillId="70" borderId="50" xfId="176" applyNumberFormat="1" applyFont="1" applyFill="1" applyBorder="1" applyAlignment="1" applyProtection="1">
      <alignment vertical="center"/>
      <protection hidden="1"/>
    </xf>
    <xf numFmtId="171" fontId="67" fillId="0" borderId="0" xfId="176" applyNumberFormat="1" applyFont="1" applyFill="1" applyBorder="1" applyAlignment="1" applyProtection="1">
      <alignment horizontal="center" vertical="center"/>
      <protection hidden="1"/>
    </xf>
    <xf numFmtId="171" fontId="67" fillId="0" borderId="0" xfId="176" applyNumberFormat="1" applyFont="1" applyFill="1" applyBorder="1" applyAlignment="1" applyProtection="1">
      <alignment vertical="center"/>
      <protection hidden="1"/>
    </xf>
    <xf numFmtId="171" fontId="68" fillId="0" borderId="0" xfId="176" applyNumberFormat="1" applyFont="1" applyFill="1" applyBorder="1" applyAlignment="1" applyProtection="1">
      <alignment horizontal="center" vertical="center"/>
      <protection hidden="1"/>
    </xf>
    <xf numFmtId="172" fontId="67" fillId="0" borderId="0" xfId="176" applyNumberFormat="1" applyFont="1" applyFill="1" applyBorder="1" applyAlignment="1" applyProtection="1">
      <alignment horizontal="center" vertical="center"/>
      <protection hidden="1"/>
    </xf>
    <xf numFmtId="172" fontId="66" fillId="0" borderId="0" xfId="176" applyNumberFormat="1" applyFont="1" applyFill="1" applyBorder="1" applyAlignment="1" applyProtection="1">
      <alignment horizontal="center" vertical="center"/>
      <protection hidden="1"/>
    </xf>
    <xf numFmtId="0" fontId="71" fillId="75" borderId="33" xfId="176" applyFont="1" applyFill="1" applyBorder="1" applyAlignment="1" applyProtection="1">
      <alignment horizontal="center" vertical="center" wrapText="1"/>
      <protection hidden="1"/>
    </xf>
    <xf numFmtId="0" fontId="67" fillId="75" borderId="33" xfId="176" applyFont="1" applyFill="1" applyBorder="1" applyAlignment="1" applyProtection="1">
      <alignment horizontal="center" vertical="center" wrapText="1"/>
      <protection hidden="1"/>
    </xf>
    <xf numFmtId="0" fontId="67" fillId="75" borderId="44" xfId="176" applyFont="1" applyFill="1" applyBorder="1" applyAlignment="1" applyProtection="1">
      <alignment horizontal="center" vertical="center" wrapText="1"/>
      <protection hidden="1"/>
    </xf>
    <xf numFmtId="0" fontId="67" fillId="76" borderId="33" xfId="176" applyFont="1" applyFill="1" applyBorder="1" applyAlignment="1" applyProtection="1">
      <alignment horizontal="center" vertical="center" wrapText="1"/>
      <protection hidden="1"/>
    </xf>
    <xf numFmtId="172" fontId="66" fillId="70" borderId="32" xfId="176" applyNumberFormat="1" applyFont="1" applyFill="1" applyBorder="1" applyAlignment="1" applyProtection="1">
      <alignment horizontal="center" vertical="center"/>
      <protection hidden="1"/>
    </xf>
    <xf numFmtId="174" fontId="66" fillId="70" borderId="32" xfId="174" applyNumberFormat="1" applyFont="1" applyFill="1" applyBorder="1" applyAlignment="1" applyProtection="1">
      <alignment horizontal="center" vertical="center"/>
      <protection hidden="1"/>
    </xf>
    <xf numFmtId="171" fontId="68" fillId="70" borderId="32" xfId="176" applyNumberFormat="1" applyFont="1" applyFill="1" applyBorder="1" applyAlignment="1" applyProtection="1">
      <alignment horizontal="center" vertical="center"/>
      <protection hidden="1"/>
    </xf>
    <xf numFmtId="0" fontId="71" fillId="75" borderId="44" xfId="176" applyFont="1" applyFill="1" applyBorder="1" applyAlignment="1" applyProtection="1">
      <alignment horizontal="center" vertical="center" wrapText="1"/>
      <protection hidden="1"/>
    </xf>
    <xf numFmtId="0" fontId="66" fillId="70" borderId="32" xfId="176" applyFont="1" applyFill="1" applyBorder="1" applyProtection="1">
      <alignment vertical="top"/>
      <protection hidden="1"/>
    </xf>
    <xf numFmtId="0" fontId="66" fillId="70" borderId="32" xfId="176" applyFont="1" applyFill="1" applyBorder="1" applyAlignment="1" applyProtection="1">
      <alignment horizontal="left" vertical="center"/>
      <protection hidden="1"/>
    </xf>
    <xf numFmtId="171" fontId="66" fillId="70" borderId="39" xfId="176" applyNumberFormat="1" applyFont="1" applyFill="1" applyBorder="1" applyAlignment="1" applyProtection="1">
      <alignment horizontal="left" vertical="center"/>
      <protection hidden="1"/>
    </xf>
    <xf numFmtId="0" fontId="67" fillId="77" borderId="33" xfId="176" applyFont="1" applyFill="1" applyBorder="1" applyAlignment="1" applyProtection="1">
      <alignment horizontal="center" vertical="center" wrapText="1"/>
      <protection hidden="1"/>
    </xf>
    <xf numFmtId="0" fontId="67" fillId="78" borderId="33" xfId="176" applyFont="1" applyFill="1" applyBorder="1" applyAlignment="1" applyProtection="1">
      <alignment horizontal="center" vertical="center" wrapText="1"/>
      <protection hidden="1"/>
    </xf>
    <xf numFmtId="0" fontId="71" fillId="75" borderId="32" xfId="176" applyFont="1" applyFill="1" applyBorder="1" applyAlignment="1" applyProtection="1">
      <alignment horizontal="center" vertical="center" wrapText="1"/>
      <protection hidden="1"/>
    </xf>
    <xf numFmtId="0" fontId="71" fillId="75" borderId="37" xfId="176" applyFont="1" applyFill="1" applyBorder="1" applyAlignment="1" applyProtection="1">
      <alignment horizontal="center" vertical="center" wrapText="1"/>
      <protection hidden="1"/>
    </xf>
    <xf numFmtId="0" fontId="67" fillId="75" borderId="38" xfId="176" applyFont="1" applyFill="1" applyBorder="1" applyAlignment="1" applyProtection="1">
      <alignment horizontal="center" vertical="center" wrapText="1"/>
      <protection hidden="1"/>
    </xf>
    <xf numFmtId="171" fontId="66" fillId="70" borderId="32" xfId="176" applyNumberFormat="1" applyFont="1" applyFill="1" applyBorder="1" applyAlignment="1" applyProtection="1">
      <alignment horizontal="left" vertical="center"/>
      <protection hidden="1"/>
    </xf>
    <xf numFmtId="14" fontId="0" fillId="0" borderId="0" xfId="0" applyNumberFormat="1"/>
    <xf numFmtId="0" fontId="16" fillId="0" borderId="0" xfId="0" applyFont="1"/>
    <xf numFmtId="170" fontId="0" fillId="0" borderId="55" xfId="0" applyNumberFormat="1" applyBorder="1"/>
    <xf numFmtId="14" fontId="52" fillId="79" borderId="0" xfId="0" applyNumberFormat="1" applyFont="1" applyFill="1"/>
    <xf numFmtId="165" fontId="55" fillId="67" borderId="32" xfId="0" applyNumberFormat="1" applyFont="1" applyFill="1" applyBorder="1" applyAlignment="1">
      <alignment horizontal="center" vertical="center"/>
    </xf>
    <xf numFmtId="171" fontId="66" fillId="70" borderId="39" xfId="176" applyNumberFormat="1" applyFont="1" applyFill="1" applyBorder="1" applyAlignment="1" applyProtection="1">
      <alignment horizontal="left" vertical="center"/>
      <protection hidden="1"/>
    </xf>
    <xf numFmtId="14" fontId="52" fillId="0" borderId="0" xfId="0" applyNumberFormat="1" applyFont="1" applyFill="1" applyBorder="1"/>
    <xf numFmtId="175" fontId="66" fillId="70" borderId="32" xfId="176" applyNumberFormat="1" applyFont="1" applyFill="1" applyBorder="1" applyAlignment="1" applyProtection="1">
      <alignment horizontal="center" vertical="center"/>
      <protection hidden="1"/>
    </xf>
    <xf numFmtId="0" fontId="0" fillId="66" borderId="0" xfId="0" applyFill="1" applyAlignment="1">
      <alignment horizontal="center" vertical="center" wrapText="1"/>
    </xf>
    <xf numFmtId="0" fontId="0" fillId="0" borderId="55" xfId="0" applyNumberFormat="1" applyBorder="1"/>
    <xf numFmtId="176" fontId="52" fillId="0" borderId="0" xfId="0" applyNumberFormat="1" applyFont="1" applyFill="1" applyBorder="1"/>
    <xf numFmtId="172" fontId="73" fillId="70" borderId="41" xfId="176" applyNumberFormat="1" applyFont="1" applyFill="1" applyBorder="1" applyAlignment="1" applyProtection="1">
      <alignment horizontal="center" vertical="center"/>
      <protection hidden="1"/>
    </xf>
    <xf numFmtId="171" fontId="73" fillId="70" borderId="32" xfId="176" applyNumberFormat="1" applyFont="1" applyFill="1" applyBorder="1" applyAlignment="1" applyProtection="1">
      <alignment horizontal="center" vertical="center"/>
      <protection hidden="1"/>
    </xf>
    <xf numFmtId="171" fontId="74" fillId="70" borderId="39" xfId="176" applyNumberFormat="1" applyFont="1" applyFill="1" applyBorder="1" applyAlignment="1" applyProtection="1">
      <alignment horizontal="center" vertical="center"/>
      <protection hidden="1"/>
    </xf>
    <xf numFmtId="0" fontId="17" fillId="62" borderId="0" xfId="0" applyFont="1" applyFill="1"/>
    <xf numFmtId="0" fontId="13" fillId="62" borderId="0" xfId="0" applyFont="1" applyFill="1"/>
    <xf numFmtId="170" fontId="0" fillId="0" borderId="0" xfId="0" applyNumberFormat="1" applyBorder="1"/>
    <xf numFmtId="0" fontId="0" fillId="0" borderId="38" xfId="0" applyBorder="1"/>
    <xf numFmtId="0" fontId="0" fillId="0" borderId="3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170" fontId="0" fillId="0" borderId="52" xfId="0" applyNumberFormat="1" applyBorder="1"/>
    <xf numFmtId="0" fontId="16" fillId="0" borderId="53" xfId="0" applyFont="1" applyBorder="1"/>
    <xf numFmtId="0" fontId="0" fillId="0" borderId="0" xfId="0" applyBorder="1"/>
    <xf numFmtId="0" fontId="0" fillId="0" borderId="56" xfId="0" applyNumberFormat="1" applyBorder="1"/>
    <xf numFmtId="0" fontId="16" fillId="0" borderId="54" xfId="0" applyFont="1" applyBorder="1"/>
    <xf numFmtId="0" fontId="16" fillId="0" borderId="52" xfId="0" applyFont="1" applyBorder="1"/>
    <xf numFmtId="0" fontId="0" fillId="0" borderId="57" xfId="0" applyNumberFormat="1" applyBorder="1"/>
    <xf numFmtId="0" fontId="0" fillId="0" borderId="58" xfId="0" applyNumberFormat="1" applyBorder="1"/>
    <xf numFmtId="0" fontId="16" fillId="0" borderId="59" xfId="0" applyFont="1" applyBorder="1"/>
    <xf numFmtId="0" fontId="16" fillId="0" borderId="60" xfId="0" applyFont="1" applyBorder="1"/>
    <xf numFmtId="0" fontId="16" fillId="0" borderId="61" xfId="0" applyFont="1" applyBorder="1"/>
    <xf numFmtId="0" fontId="0" fillId="0" borderId="62" xfId="0" applyBorder="1"/>
    <xf numFmtId="0" fontId="0" fillId="0" borderId="63" xfId="0" applyBorder="1"/>
    <xf numFmtId="0" fontId="0" fillId="0" borderId="64" xfId="0" applyNumberFormat="1" applyBorder="1"/>
    <xf numFmtId="0" fontId="0" fillId="0" borderId="65" xfId="0" applyNumberFormat="1" applyBorder="1"/>
    <xf numFmtId="0" fontId="0" fillId="0" borderId="66" xfId="0" applyBorder="1"/>
    <xf numFmtId="0" fontId="0" fillId="0" borderId="67" xfId="0" applyBorder="1"/>
    <xf numFmtId="0" fontId="0" fillId="0" borderId="68" xfId="0" applyBorder="1"/>
    <xf numFmtId="49" fontId="52" fillId="0" borderId="0" xfId="0" applyNumberFormat="1" applyFont="1" applyFill="1" applyBorder="1" applyAlignment="1">
      <alignment horizontal="center" vertical="center"/>
    </xf>
    <xf numFmtId="0" fontId="52" fillId="0" borderId="0" xfId="0" applyFont="1" applyFill="1" applyBorder="1" applyAlignment="1">
      <alignment horizontal="left" vertical="center" wrapText="1"/>
    </xf>
    <xf numFmtId="10" fontId="52" fillId="0" borderId="0" xfId="175" applyNumberFormat="1" applyFont="1" applyFill="1"/>
    <xf numFmtId="0" fontId="0" fillId="0" borderId="0" xfId="0" applyAlignment="1">
      <alignment horizontal="center" vertical="center"/>
    </xf>
    <xf numFmtId="168" fontId="52" fillId="0" borderId="0" xfId="175" applyNumberFormat="1" applyFont="1" applyFill="1" applyBorder="1"/>
    <xf numFmtId="168" fontId="52" fillId="0" borderId="35" xfId="175" applyNumberFormat="1" applyFont="1" applyFill="1" applyBorder="1"/>
    <xf numFmtId="167" fontId="52" fillId="0" borderId="0" xfId="175" applyNumberFormat="1" applyFont="1" applyFill="1" applyBorder="1"/>
    <xf numFmtId="0" fontId="52" fillId="0" borderId="0" xfId="174" applyNumberFormat="1" applyFont="1" applyFill="1" applyBorder="1" applyAlignment="1">
      <alignment horizontal="center"/>
    </xf>
    <xf numFmtId="0" fontId="52" fillId="0" borderId="0" xfId="0" applyNumberFormat="1" applyFont="1" applyFill="1" applyBorder="1" applyAlignment="1">
      <alignment horizontal="center"/>
    </xf>
    <xf numFmtId="0" fontId="52" fillId="0" borderId="0" xfId="0" quotePrefix="1" applyFont="1" applyFill="1" applyBorder="1"/>
    <xf numFmtId="167" fontId="50" fillId="0" borderId="0" xfId="0" applyNumberFormat="1" applyFont="1" applyFill="1" applyBorder="1"/>
    <xf numFmtId="0" fontId="17" fillId="0" borderId="0" xfId="0" applyFont="1"/>
    <xf numFmtId="0" fontId="0" fillId="0" borderId="0" xfId="0" quotePrefix="1"/>
    <xf numFmtId="167" fontId="75" fillId="0" borderId="0" xfId="174" applyNumberFormat="1" applyFont="1" applyFill="1" applyBorder="1" applyAlignment="1"/>
    <xf numFmtId="15" fontId="75" fillId="0" borderId="0" xfId="0" applyNumberFormat="1" applyFont="1" applyFill="1" applyBorder="1"/>
    <xf numFmtId="49" fontId="75" fillId="0" borderId="0" xfId="0" quotePrefix="1" applyNumberFormat="1" applyFont="1" applyFill="1" applyBorder="1"/>
    <xf numFmtId="0" fontId="13" fillId="62" borderId="0" xfId="0" applyFont="1" applyFill="1" applyAlignment="1">
      <alignment horizontal="center"/>
    </xf>
    <xf numFmtId="0" fontId="13" fillId="62" borderId="0" xfId="0" applyFont="1" applyFill="1" applyAlignment="1">
      <alignment horizontal="left"/>
    </xf>
    <xf numFmtId="0" fontId="59" fillId="70" borderId="45" xfId="176" applyFont="1" applyFill="1" applyBorder="1" applyAlignment="1" applyProtection="1">
      <alignment horizontal="center" vertical="center" wrapText="1"/>
      <protection hidden="1"/>
    </xf>
    <xf numFmtId="0" fontId="59" fillId="70" borderId="46" xfId="176" applyFont="1" applyFill="1" applyBorder="1" applyAlignment="1" applyProtection="1">
      <alignment horizontal="center" vertical="center" wrapText="1"/>
      <protection hidden="1"/>
    </xf>
    <xf numFmtId="0" fontId="59" fillId="70" borderId="47" xfId="176" applyFont="1" applyFill="1" applyBorder="1" applyAlignment="1" applyProtection="1">
      <alignment horizontal="center" vertical="center" wrapText="1"/>
      <protection hidden="1"/>
    </xf>
    <xf numFmtId="0" fontId="55" fillId="67" borderId="32" xfId="0" applyFont="1" applyFill="1" applyBorder="1" applyAlignment="1">
      <alignment horizontal="center" vertical="center"/>
    </xf>
    <xf numFmtId="0" fontId="53" fillId="67" borderId="39" xfId="0" applyFont="1" applyFill="1" applyBorder="1" applyAlignment="1">
      <alignment horizontal="center" vertical="center"/>
    </xf>
    <xf numFmtId="0" fontId="53" fillId="67" borderId="40" xfId="0" applyFont="1" applyFill="1" applyBorder="1" applyAlignment="1">
      <alignment horizontal="center" vertical="center"/>
    </xf>
    <xf numFmtId="0" fontId="53" fillId="67" borderId="41" xfId="0" applyFont="1" applyFill="1" applyBorder="1" applyAlignment="1">
      <alignment horizontal="center" vertical="center"/>
    </xf>
    <xf numFmtId="170" fontId="55" fillId="67" borderId="39" xfId="0" applyNumberFormat="1" applyFont="1" applyFill="1" applyBorder="1" applyAlignment="1">
      <alignment horizontal="center" vertical="center"/>
    </xf>
    <xf numFmtId="170" fontId="55" fillId="67" borderId="41" xfId="0" applyNumberFormat="1" applyFont="1" applyFill="1" applyBorder="1" applyAlignment="1">
      <alignment horizontal="center" vertical="center"/>
    </xf>
    <xf numFmtId="0" fontId="55" fillId="68" borderId="42" xfId="0" applyFont="1" applyFill="1" applyBorder="1" applyAlignment="1">
      <alignment horizontal="center" vertical="center"/>
    </xf>
    <xf numFmtId="0" fontId="55" fillId="68" borderId="43" xfId="0" applyFont="1" applyFill="1" applyBorder="1" applyAlignment="1">
      <alignment horizontal="center" vertical="center"/>
    </xf>
    <xf numFmtId="0" fontId="55" fillId="69" borderId="39" xfId="0" applyFont="1" applyFill="1" applyBorder="1" applyAlignment="1">
      <alignment horizontal="center" vertical="center"/>
    </xf>
    <xf numFmtId="0" fontId="55" fillId="69" borderId="40" xfId="0" applyFont="1" applyFill="1" applyBorder="1" applyAlignment="1">
      <alignment horizontal="center" vertical="center"/>
    </xf>
    <xf numFmtId="0" fontId="55" fillId="69" borderId="41" xfId="0" applyFont="1" applyFill="1" applyBorder="1" applyAlignment="1">
      <alignment horizontal="center" vertical="center"/>
    </xf>
    <xf numFmtId="0" fontId="58" fillId="0" borderId="42" xfId="0" quotePrefix="1" applyFont="1" applyFill="1" applyBorder="1" applyAlignment="1">
      <alignment horizontal="center" vertical="center"/>
    </xf>
    <xf numFmtId="0" fontId="58" fillId="0" borderId="42" xfId="0" applyFont="1" applyFill="1" applyBorder="1" applyAlignment="1">
      <alignment horizontal="center" vertical="center"/>
    </xf>
    <xf numFmtId="0" fontId="58" fillId="0" borderId="43" xfId="0" applyFont="1" applyFill="1" applyBorder="1" applyAlignment="1">
      <alignment horizontal="center" vertical="center"/>
    </xf>
    <xf numFmtId="170" fontId="59" fillId="70" borderId="45" xfId="176" applyNumberFormat="1" applyFont="1" applyFill="1" applyBorder="1" applyAlignment="1" applyProtection="1">
      <alignment horizontal="center" vertical="center" wrapText="1"/>
      <protection hidden="1"/>
    </xf>
    <xf numFmtId="170" fontId="59" fillId="70" borderId="46" xfId="176" applyNumberFormat="1" applyFont="1" applyFill="1" applyBorder="1" applyAlignment="1" applyProtection="1">
      <alignment horizontal="center" vertical="center" wrapText="1"/>
      <protection hidden="1"/>
    </xf>
    <xf numFmtId="170" fontId="59" fillId="70" borderId="47" xfId="176" applyNumberFormat="1" applyFont="1" applyFill="1" applyBorder="1" applyAlignment="1" applyProtection="1">
      <alignment horizontal="center" vertical="center" wrapText="1"/>
      <protection hidden="1"/>
    </xf>
    <xf numFmtId="171" fontId="66" fillId="70" borderId="39" xfId="176" applyNumberFormat="1" applyFont="1" applyFill="1" applyBorder="1" applyAlignment="1" applyProtection="1">
      <alignment horizontal="left" vertical="center"/>
      <protection hidden="1"/>
    </xf>
    <xf numFmtId="171" fontId="66" fillId="70" borderId="41" xfId="176" applyNumberFormat="1" applyFont="1" applyFill="1" applyBorder="1" applyAlignment="1" applyProtection="1">
      <alignment horizontal="left" vertical="center"/>
      <protection hidden="1"/>
    </xf>
    <xf numFmtId="0" fontId="55" fillId="67" borderId="39" xfId="0" applyFont="1" applyFill="1" applyBorder="1" applyAlignment="1">
      <alignment horizontal="center" vertical="center"/>
    </xf>
    <xf numFmtId="0" fontId="55" fillId="67" borderId="40" xfId="0" applyFont="1" applyFill="1" applyBorder="1" applyAlignment="1">
      <alignment horizontal="center" vertical="center"/>
    </xf>
    <xf numFmtId="0" fontId="55" fillId="67" borderId="41" xfId="0" applyFont="1" applyFill="1" applyBorder="1" applyAlignment="1">
      <alignment horizontal="center" vertical="center"/>
    </xf>
    <xf numFmtId="0" fontId="63" fillId="71" borderId="38" xfId="176" applyFont="1" applyFill="1" applyBorder="1" applyAlignment="1" applyProtection="1">
      <alignment horizontal="center" vertical="center" wrapText="1"/>
      <protection hidden="1"/>
    </xf>
    <xf numFmtId="0" fontId="63" fillId="71" borderId="37" xfId="176" applyFont="1" applyFill="1" applyBorder="1" applyAlignment="1" applyProtection="1">
      <alignment horizontal="center" vertical="center" wrapText="1"/>
      <protection hidden="1"/>
    </xf>
    <xf numFmtId="0" fontId="70" fillId="74" borderId="39" xfId="0" applyFont="1" applyFill="1" applyBorder="1" applyAlignment="1">
      <alignment horizontal="center" vertical="center"/>
    </xf>
    <xf numFmtId="0" fontId="70" fillId="74" borderId="40" xfId="0" applyFont="1" applyFill="1" applyBorder="1" applyAlignment="1">
      <alignment horizontal="center" vertical="center"/>
    </xf>
    <xf numFmtId="0" fontId="53" fillId="74" borderId="39" xfId="0" applyFont="1" applyFill="1" applyBorder="1" applyAlignment="1">
      <alignment horizontal="center" vertical="center"/>
    </xf>
    <xf numFmtId="0" fontId="53" fillId="74" borderId="40" xfId="0" applyFont="1" applyFill="1" applyBorder="1" applyAlignment="1">
      <alignment horizontal="center" vertical="center"/>
    </xf>
    <xf numFmtId="0" fontId="53" fillId="74" borderId="41" xfId="0" applyFont="1" applyFill="1" applyBorder="1" applyAlignment="1">
      <alignment horizontal="center" vertical="center"/>
    </xf>
    <xf numFmtId="0" fontId="70" fillId="74" borderId="41" xfId="0" applyFont="1" applyFill="1" applyBorder="1" applyAlignment="1">
      <alignment horizontal="center" vertical="center"/>
    </xf>
    <xf numFmtId="0" fontId="53" fillId="74" borderId="38" xfId="0" applyFont="1" applyFill="1" applyBorder="1" applyAlignment="1">
      <alignment horizontal="center" vertical="center"/>
    </xf>
    <xf numFmtId="0" fontId="53" fillId="74" borderId="0" xfId="0" applyFont="1" applyFill="1" applyBorder="1" applyAlignment="1">
      <alignment horizontal="center" vertical="center"/>
    </xf>
    <xf numFmtId="0" fontId="55" fillId="74" borderId="38" xfId="0" applyFont="1" applyFill="1" applyBorder="1" applyAlignment="1">
      <alignment horizontal="center" vertical="center"/>
    </xf>
    <xf numFmtId="0" fontId="55" fillId="74" borderId="0" xfId="0" applyFont="1" applyFill="1" applyBorder="1" applyAlignment="1">
      <alignment horizontal="center" vertical="center"/>
    </xf>
    <xf numFmtId="0" fontId="72" fillId="74" borderId="52" xfId="0" applyFont="1" applyFill="1" applyBorder="1" applyAlignment="1">
      <alignment horizontal="center" vertical="center"/>
    </xf>
    <xf numFmtId="0" fontId="72" fillId="74" borderId="53" xfId="0" applyFont="1" applyFill="1" applyBorder="1" applyAlignment="1">
      <alignment horizontal="center" vertical="center"/>
    </xf>
    <xf numFmtId="0" fontId="72" fillId="74" borderId="54" xfId="0" applyFont="1" applyFill="1" applyBorder="1" applyAlignment="1">
      <alignment horizontal="center" vertical="center"/>
    </xf>
    <xf numFmtId="0" fontId="75" fillId="0" borderId="0" xfId="0" applyFont="1" applyFill="1" applyBorder="1"/>
    <xf numFmtId="0" fontId="52" fillId="0" borderId="0" xfId="0" applyFont="1" applyFill="1"/>
    <xf numFmtId="167" fontId="52" fillId="0" borderId="0" xfId="174" applyNumberFormat="1" applyFont="1" applyFill="1"/>
    <xf numFmtId="167" fontId="52" fillId="0" borderId="0" xfId="0" applyNumberFormat="1" applyFont="1" applyFill="1" applyAlignment="1">
      <alignment horizontal="center"/>
    </xf>
    <xf numFmtId="0" fontId="52" fillId="0" borderId="0" xfId="0" applyNumberFormat="1" applyFont="1" applyFill="1" applyAlignment="1">
      <alignment horizontal="center"/>
    </xf>
    <xf numFmtId="167" fontId="75" fillId="0" borderId="0" xfId="174" applyNumberFormat="1" applyFont="1" applyFill="1" applyAlignment="1"/>
    <xf numFmtId="167" fontId="52" fillId="0" borderId="0" xfId="0" applyNumberFormat="1" applyFont="1" applyFill="1"/>
    <xf numFmtId="168" fontId="52" fillId="0" borderId="0" xfId="0" applyNumberFormat="1" applyFont="1" applyFill="1"/>
    <xf numFmtId="49" fontId="75" fillId="0" borderId="0" xfId="0" quotePrefix="1" applyNumberFormat="1" applyFont="1" applyFill="1"/>
    <xf numFmtId="49" fontId="52" fillId="0" borderId="0" xfId="0" applyNumberFormat="1" applyFont="1" applyFill="1"/>
    <xf numFmtId="15" fontId="52" fillId="0" borderId="0" xfId="0" applyNumberFormat="1" applyFont="1" applyFill="1"/>
    <xf numFmtId="167" fontId="50" fillId="0" borderId="0" xfId="0" applyNumberFormat="1" applyFont="1" applyFill="1"/>
    <xf numFmtId="10" fontId="52" fillId="0" borderId="0" xfId="0" applyNumberFormat="1" applyFont="1" applyFill="1"/>
    <xf numFmtId="168" fontId="52" fillId="0" borderId="35" xfId="0" applyNumberFormat="1" applyFont="1" applyFill="1" applyBorder="1"/>
  </cellXfs>
  <cellStyles count="185">
    <cellStyle name="_Maps" xfId="177"/>
    <cellStyle name="_PerfSummary" xfId="178"/>
    <cellStyle name="=C:\WINNT35\SYSTEM32\COMMAND.COM" xfId="49"/>
    <cellStyle name="20% - Accent1" xfId="19" builtinId="30" customBuiltin="1"/>
    <cellStyle name="20% - Accent1 2" xfId="117"/>
    <cellStyle name="20% - Accent1 3" xfId="50"/>
    <cellStyle name="20% - Accent2" xfId="23" builtinId="34" customBuiltin="1"/>
    <cellStyle name="20% - Accent2 2" xfId="118"/>
    <cellStyle name="20% - Accent2 3" xfId="51"/>
    <cellStyle name="20% - Accent3" xfId="27" builtinId="38" customBuiltin="1"/>
    <cellStyle name="20% - Accent3 2" xfId="119"/>
    <cellStyle name="20% - Accent3 3" xfId="52"/>
    <cellStyle name="20% - Accent4" xfId="31" builtinId="42" customBuiltin="1"/>
    <cellStyle name="20% - Accent4 2" xfId="120"/>
    <cellStyle name="20% - Accent4 3" xfId="53"/>
    <cellStyle name="20% - Accent5" xfId="35" builtinId="46" customBuiltin="1"/>
    <cellStyle name="20% - Accent5 2" xfId="121"/>
    <cellStyle name="20% - Accent5 3" xfId="54"/>
    <cellStyle name="20% - Accent6" xfId="39" builtinId="50" customBuiltin="1"/>
    <cellStyle name="20% - Accent6 2" xfId="122"/>
    <cellStyle name="20% - Accent6 2 2" xfId="179"/>
    <cellStyle name="20% - Accent6 3" xfId="55"/>
    <cellStyle name="40% - Accent1" xfId="20" builtinId="31" customBuiltin="1"/>
    <cellStyle name="40% - Accent1 2" xfId="123"/>
    <cellStyle name="40% - Accent1 3" xfId="56"/>
    <cellStyle name="40% - Accent2" xfId="24" builtinId="35" customBuiltin="1"/>
    <cellStyle name="40% - Accent2 2" xfId="124"/>
    <cellStyle name="40% - Accent2 3" xfId="57"/>
    <cellStyle name="40% - Accent3" xfId="28" builtinId="39" customBuiltin="1"/>
    <cellStyle name="40% - Accent3 2" xfId="125"/>
    <cellStyle name="40% - Accent3 3" xfId="58"/>
    <cellStyle name="40% - Accent4" xfId="32" builtinId="43" customBuiltin="1"/>
    <cellStyle name="40% - Accent4 2" xfId="126"/>
    <cellStyle name="40% - Accent4 3" xfId="59"/>
    <cellStyle name="40% - Accent5" xfId="36" builtinId="47" customBuiltin="1"/>
    <cellStyle name="40% - Accent5 2" xfId="127"/>
    <cellStyle name="40% - Accent5 3" xfId="60"/>
    <cellStyle name="40% - Accent6" xfId="40" builtinId="51" customBuiltin="1"/>
    <cellStyle name="40% - Accent6 2" xfId="128"/>
    <cellStyle name="40% - Accent6 3" xfId="61"/>
    <cellStyle name="60% - Accent1" xfId="21" builtinId="32" customBuiltin="1"/>
    <cellStyle name="60% - Accent1 2" xfId="129"/>
    <cellStyle name="60% - Accent1 3" xfId="62"/>
    <cellStyle name="60% - Accent2" xfId="25" builtinId="36" customBuiltin="1"/>
    <cellStyle name="60% - Accent2 2" xfId="130"/>
    <cellStyle name="60% - Accent2 3" xfId="63"/>
    <cellStyle name="60% - Accent3" xfId="29" builtinId="40" customBuiltin="1"/>
    <cellStyle name="60% - Accent3 2" xfId="131"/>
    <cellStyle name="60% - Accent3 3" xfId="64"/>
    <cellStyle name="60% - Accent4" xfId="33" builtinId="44" customBuiltin="1"/>
    <cellStyle name="60% - Accent4 2" xfId="132"/>
    <cellStyle name="60% - Accent4 3" xfId="65"/>
    <cellStyle name="60% - Accent5" xfId="37" builtinId="48" customBuiltin="1"/>
    <cellStyle name="60% - Accent5 2" xfId="133"/>
    <cellStyle name="60% - Accent5 3" xfId="66"/>
    <cellStyle name="60% - Accent6" xfId="41" builtinId="52" customBuiltin="1"/>
    <cellStyle name="60% - Accent6 2" xfId="134"/>
    <cellStyle name="60% - Accent6 3" xfId="67"/>
    <cellStyle name="Accent1" xfId="18" builtinId="29" customBuiltin="1"/>
    <cellStyle name="Accent1 2" xfId="135"/>
    <cellStyle name="Accent1 2 2" xfId="180"/>
    <cellStyle name="Accent1 3" xfId="68"/>
    <cellStyle name="Accent2" xfId="22" builtinId="33" customBuiltin="1"/>
    <cellStyle name="Accent2 2" xfId="136"/>
    <cellStyle name="Accent2 3" xfId="69"/>
    <cellStyle name="Accent3" xfId="26" builtinId="37" customBuiltin="1"/>
    <cellStyle name="Accent3 2" xfId="137"/>
    <cellStyle name="Accent3 3" xfId="70"/>
    <cellStyle name="Accent4" xfId="30" builtinId="41" customBuiltin="1"/>
    <cellStyle name="Accent4 2" xfId="138"/>
    <cellStyle name="Accent4 3" xfId="71"/>
    <cellStyle name="Accent5" xfId="34" builtinId="45" customBuiltin="1"/>
    <cellStyle name="Accent5 2" xfId="139"/>
    <cellStyle name="Accent5 3" xfId="72"/>
    <cellStyle name="Accent6" xfId="38" builtinId="49" customBuiltin="1"/>
    <cellStyle name="Accent6 2" xfId="140"/>
    <cellStyle name="Accent6 3" xfId="73"/>
    <cellStyle name="Bad" xfId="7" builtinId="27" customBuiltin="1"/>
    <cellStyle name="Bad 2" xfId="141"/>
    <cellStyle name="Bad 3" xfId="74"/>
    <cellStyle name="Calculation" xfId="11" builtinId="22" customBuiltin="1"/>
    <cellStyle name="Calculation 2" xfId="142"/>
    <cellStyle name="Calculation 3" xfId="75"/>
    <cellStyle name="Check Cell" xfId="13" builtinId="23" customBuiltin="1"/>
    <cellStyle name="Check Cell 2" xfId="143"/>
    <cellStyle name="Check Cell 3" xfId="76"/>
    <cellStyle name="Comma" xfId="174" builtinId="3"/>
    <cellStyle name="Comma 10" xfId="42"/>
    <cellStyle name="Comma 2" xfId="44"/>
    <cellStyle name="Comma 2 2" xfId="160"/>
    <cellStyle name="Comma 2 2 2" xfId="167"/>
    <cellStyle name="Comma 2 3" xfId="163"/>
    <cellStyle name="Comma 2 4" xfId="107"/>
    <cellStyle name="Comma 2 5" xfId="181"/>
    <cellStyle name="Comma 3" xfId="43"/>
    <cellStyle name="Comma 3 2" xfId="144"/>
    <cellStyle name="Comma 4" xfId="45"/>
    <cellStyle name="Comma 5" xfId="46"/>
    <cellStyle name="Comma 6" xfId="47"/>
    <cellStyle name="Comma 7" xfId="77"/>
    <cellStyle name="Comma 8" xfId="169"/>
    <cellStyle name="Comma 9" xfId="170"/>
    <cellStyle name="Date" xfId="78"/>
    <cellStyle name="Euro" xfId="108"/>
    <cellStyle name="Euro 2" xfId="182"/>
    <cellStyle name="Explanatory Text" xfId="16" builtinId="53" customBuiltin="1"/>
    <cellStyle name="Explanatory Text 2" xfId="145"/>
    <cellStyle name="Explanatory Text 3" xfId="79"/>
    <cellStyle name="Good" xfId="6" builtinId="26" customBuiltin="1"/>
    <cellStyle name="Good 2" xfId="146"/>
    <cellStyle name="Good 3" xfId="80"/>
    <cellStyle name="Heading 1" xfId="2" builtinId="16" customBuiltin="1"/>
    <cellStyle name="Heading 1 2" xfId="147"/>
    <cellStyle name="Heading 1 2 2" xfId="183"/>
    <cellStyle name="Heading 1 3" xfId="81"/>
    <cellStyle name="Heading 2" xfId="3" builtinId="17" customBuiltin="1"/>
    <cellStyle name="Heading 2 2" xfId="148"/>
    <cellStyle name="Heading 2 3" xfId="82"/>
    <cellStyle name="Heading 3" xfId="4" builtinId="18" customBuiltin="1"/>
    <cellStyle name="Heading 3 2" xfId="149"/>
    <cellStyle name="Heading 3 3" xfId="83"/>
    <cellStyle name="Heading 4" xfId="5" builtinId="19" customBuiltin="1"/>
    <cellStyle name="Heading 4 2" xfId="150"/>
    <cellStyle name="Heading 4 3" xfId="84"/>
    <cellStyle name="Heading One" xfId="109"/>
    <cellStyle name="Heading Two" xfId="102"/>
    <cellStyle name="Heading Two 2" xfId="110"/>
    <cellStyle name="Input" xfId="9" builtinId="20" customBuiltin="1"/>
    <cellStyle name="Input 2" xfId="151"/>
    <cellStyle name="Input 3" xfId="85"/>
    <cellStyle name="Inputs Minor" xfId="103"/>
    <cellStyle name="Inputs Minor 2" xfId="111"/>
    <cellStyle name="Linked Cell" xfId="12" builtinId="24" customBuiltin="1"/>
    <cellStyle name="Linked Cell 2" xfId="152"/>
    <cellStyle name="Linked Cell 3" xfId="86"/>
    <cellStyle name="LockedInfo" xfId="99"/>
    <cellStyle name="Main Title" xfId="100"/>
    <cellStyle name="Main Title 2" xfId="112"/>
    <cellStyle name="Neutral" xfId="8" builtinId="28" customBuiltin="1"/>
    <cellStyle name="Neutral 2" xfId="153"/>
    <cellStyle name="Neutral 3" xfId="87"/>
    <cellStyle name="Normal" xfId="0" builtinId="0"/>
    <cellStyle name="Normal 110" xfId="173"/>
    <cellStyle name="Normal 114" xfId="172"/>
    <cellStyle name="Normal 2" xfId="104"/>
    <cellStyle name="Normal 2 2" xfId="113"/>
    <cellStyle name="Normal 2 2 2" xfId="161"/>
    <cellStyle name="Normal 2 2 2 2" xfId="168"/>
    <cellStyle name="Normal 2 2 3" xfId="164"/>
    <cellStyle name="Normal 2 3" xfId="176"/>
    <cellStyle name="Normal 3" xfId="116"/>
    <cellStyle name="Normal 4" xfId="115"/>
    <cellStyle name="Normal 4 2" xfId="166"/>
    <cellStyle name="Normal 5" xfId="165"/>
    <cellStyle name="Normal 6" xfId="162"/>
    <cellStyle name="Normal 7" xfId="106"/>
    <cellStyle name="Normal 8" xfId="48"/>
    <cellStyle name="Note" xfId="15" builtinId="10" customBuiltin="1"/>
    <cellStyle name="Note 2" xfId="154"/>
    <cellStyle name="Note 2 2" xfId="184"/>
    <cellStyle name="Note 3" xfId="88"/>
    <cellStyle name="Output" xfId="10" builtinId="21" customBuiltin="1"/>
    <cellStyle name="Output 2" xfId="155"/>
    <cellStyle name="Output 3" xfId="89"/>
    <cellStyle name="Percent" xfId="175" builtinId="5"/>
    <cellStyle name="Percent 2" xfId="156"/>
    <cellStyle name="Percent 3" xfId="90"/>
    <cellStyle name="Percent 4" xfId="105"/>
    <cellStyle name="Style 1" xfId="171"/>
    <cellStyle name="Sub Heading" xfId="101"/>
    <cellStyle name="Sub Heading 2" xfId="114"/>
    <cellStyle name="Title" xfId="1" builtinId="15" customBuiltin="1"/>
    <cellStyle name="Title 2" xfId="157"/>
    <cellStyle name="Title 3" xfId="91"/>
    <cellStyle name="Total" xfId="17" builtinId="25" customBuiltin="1"/>
    <cellStyle name="Total 2" xfId="158"/>
    <cellStyle name="Total 3" xfId="92"/>
    <cellStyle name="warning" xfId="93"/>
    <cellStyle name="Warning Text" xfId="14" builtinId="11" customBuiltin="1"/>
    <cellStyle name="Warning Text 2" xfId="159"/>
    <cellStyle name="Warning Text 3" xfId="94"/>
    <cellStyle name="xContent" xfId="95"/>
    <cellStyle name="xIndexContent" xfId="96"/>
    <cellStyle name="xMiddleHead" xfId="97"/>
    <cellStyle name="xTopHead" xfId="98"/>
  </cellStyles>
  <dxfs count="295"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ont>
        <color theme="0"/>
      </font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rgb="FFFF0000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rgb="FFFF0000"/>
        </patternFill>
      </fill>
    </dxf>
    <dxf>
      <border>
        <left style="thin">
          <color theme="1"/>
        </left>
        <vertical/>
        <horizontal/>
      </border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border>
        <right style="thin">
          <color auto="1"/>
        </right>
        <vertical/>
        <horizontal/>
      </border>
    </dxf>
    <dxf>
      <font>
        <color theme="0"/>
      </font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numFmt numFmtId="20" formatCode="dd\-mmm\-yy"/>
      <fill>
        <patternFill patternType="none">
          <fgColor indexed="64"/>
          <bgColor indexed="65"/>
        </patternFill>
      </fill>
    </dxf>
    <dxf>
      <font>
        <color auto="1"/>
      </font>
      <numFmt numFmtId="20" formatCode="dd\-mmm\-yy"/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numFmt numFmtId="168" formatCode="#,##0.00_ ;[Red]\-#,##0.00\ "/>
      <fill>
        <patternFill patternType="none">
          <fgColor indexed="64"/>
          <bgColor indexed="65"/>
        </patternFill>
      </fill>
    </dxf>
    <dxf>
      <font>
        <color auto="1"/>
      </font>
      <numFmt numFmtId="168" formatCode="#,##0.00_ ;[Red]\-#,##0.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8" formatCode="#,##0.00_ ;[Red]\-#,##0.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0" formatCode="dd\-mmm\-yy"/>
      <fill>
        <patternFill patternType="none">
          <fgColor indexed="64"/>
          <bgColor indexed="65"/>
        </patternFill>
      </fill>
    </dxf>
    <dxf>
      <font>
        <color auto="1"/>
      </font>
      <numFmt numFmtId="176" formatCode="dd\-mmm\-yyyy"/>
      <fill>
        <patternFill patternType="none">
          <fgColor indexed="64"/>
          <bgColor indexed="65"/>
        </patternFill>
      </fill>
    </dxf>
    <dxf>
      <font>
        <color auto="1"/>
      </font>
      <numFmt numFmtId="176" formatCode="dd\-mmm\-yyyy"/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double">
          <color auto="1"/>
        </left>
        <right/>
        <top/>
        <bottom/>
      </border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8" formatCode="#,##0.00_ ;[Red]\-#,##0.00\ "/>
      <fill>
        <patternFill patternType="none">
          <fgColor indexed="64"/>
          <bgColor indexed="65"/>
        </patternFill>
      </fill>
    </dxf>
    <dxf>
      <font>
        <color auto="1"/>
      </font>
      <numFmt numFmtId="168" formatCode="#,##0.00_ ;[Red]\-#,##0.00\ "/>
      <fill>
        <patternFill patternType="none">
          <fgColor indexed="64"/>
          <bgColor indexed="65"/>
        </patternFill>
      </fill>
    </dxf>
    <dxf>
      <font>
        <color auto="1"/>
      </font>
      <numFmt numFmtId="168" formatCode="#,##0.00_ ;[Red]\-#,##0.00\ "/>
      <fill>
        <patternFill patternType="none">
          <fgColor indexed="64"/>
          <bgColor indexed="65"/>
        </patternFill>
      </fill>
    </dxf>
    <dxf>
      <font>
        <color auto="1"/>
      </font>
      <numFmt numFmtId="168" formatCode="#,##0.00_ ;[Red]\-#,##0.00\ "/>
      <fill>
        <patternFill patternType="none">
          <fgColor indexed="64"/>
          <bgColor indexed="65"/>
        </patternFill>
      </fill>
    </dxf>
    <dxf>
      <font>
        <color auto="1"/>
      </font>
      <numFmt numFmtId="168" formatCode="#,##0.00_ ;[Red]\-#,##0.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20" formatCode="dd\-mmm\-yy"/>
      <fill>
        <patternFill patternType="none">
          <fgColor indexed="64"/>
          <bgColor indexed="65"/>
        </patternFill>
      </fill>
    </dxf>
    <dxf>
      <font>
        <color auto="1"/>
      </font>
      <numFmt numFmtId="20" formatCode="dd\-mmm\-yy"/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numFmt numFmtId="30" formatCode="@"/>
      <fill>
        <patternFill patternType="none">
          <fgColor indexed="64"/>
          <bgColor indexed="65"/>
        </patternFill>
      </fill>
    </dxf>
    <dxf>
      <font>
        <color auto="1"/>
      </font>
      <numFmt numFmtId="30" formatCode="@"/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numFmt numFmtId="168" formatCode="#,##0.00_ ;[Red]\-#,##0.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4" formatCode="0.00%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#,##0.0000_ ;[Red]\-#,##0.0000\ 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color auto="1"/>
      </font>
      <numFmt numFmtId="19" formatCode="dd/mm/yyyy"/>
      <fill>
        <patternFill patternType="solid">
          <fgColor indexed="64"/>
          <bgColor theme="5" tint="0.59999389629810485"/>
        </patternFill>
      </fill>
    </dxf>
    <dxf>
      <font>
        <color auto="1"/>
      </font>
      <numFmt numFmtId="19" formatCode="dd/mm/yyyy"/>
      <fill>
        <patternFill patternType="solid">
          <fgColor indexed="64"/>
          <bgColor theme="5" tint="0.59999389629810485"/>
        </patternFill>
      </fill>
    </dxf>
    <dxf>
      <font>
        <color auto="1"/>
      </font>
      <numFmt numFmtId="19" formatCode="dd/mm/yyyy"/>
      <fill>
        <patternFill patternType="solid">
          <fgColor indexed="64"/>
          <bgColor theme="5" tint="0.59999389629810485"/>
        </patternFill>
      </fill>
    </dxf>
    <dxf>
      <font>
        <color auto="1"/>
      </font>
      <numFmt numFmtId="19" formatCode="dd/mm/yyyy"/>
      <fill>
        <patternFill patternType="solid">
          <fgColor indexed="64"/>
          <bgColor theme="5" tint="0.59999389629810485"/>
        </patternFill>
      </fill>
    </dxf>
    <dxf>
      <font>
        <color auto="1"/>
      </font>
      <numFmt numFmtId="19" formatCode="dd/mm/yyyy"/>
      <fill>
        <patternFill patternType="solid">
          <fgColor indexed="64"/>
          <bgColor theme="5" tint="0.59999389629810485"/>
        </patternFill>
      </fill>
    </dxf>
    <dxf>
      <font>
        <color auto="1"/>
      </font>
      <numFmt numFmtId="19" formatCode="dd/mm/yyyy"/>
      <fill>
        <patternFill patternType="solid">
          <fgColor indexed="64"/>
          <bgColor theme="5" tint="0.59999389629810485"/>
        </patternFill>
      </fill>
    </dxf>
    <dxf>
      <font>
        <color auto="1"/>
      </font>
      <numFmt numFmtId="19" formatCode="dd/mm/yyyy"/>
      <fill>
        <patternFill patternType="solid">
          <fgColor indexed="64"/>
          <bgColor theme="5" tint="0.59999389629810485"/>
        </patternFill>
      </fill>
    </dxf>
    <dxf>
      <numFmt numFmtId="19" formatCode="dd/mm/yyyy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71" formatCode="0.000_ ;[Red]\-0.000\ "/>
      <fill>
        <gradientFill degree="90">
          <stop position="0">
            <color theme="0"/>
          </stop>
          <stop position="0.5">
            <color theme="4" tint="0.80001220740379042"/>
          </stop>
          <stop position="1">
            <color theme="0"/>
          </stop>
        </gradient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71" formatCode="0.000_ ;[Red]\-0.000\ "/>
      <fill>
        <gradientFill degree="90">
          <stop position="0">
            <color theme="0"/>
          </stop>
          <stop position="0.5">
            <color theme="4" tint="0.80001220740379042"/>
          </stop>
          <stop position="1">
            <color theme="0"/>
          </stop>
        </gradient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71" formatCode="0.000_ ;[Red]\-0.000\ "/>
      <fill>
        <gradientFill degree="90">
          <stop position="0">
            <color theme="0"/>
          </stop>
          <stop position="0.5">
            <color theme="4" tint="0.80001220740379042"/>
          </stop>
          <stop position="1">
            <color theme="0"/>
          </stop>
        </gradient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71" formatCode="0.000_ ;[Red]\-0.000\ "/>
      <fill>
        <gradientFill degree="90">
          <stop position="0">
            <color theme="0"/>
          </stop>
          <stop position="0.5">
            <color theme="4" tint="0.80001220740379042"/>
          </stop>
          <stop position="1">
            <color theme="0"/>
          </stop>
        </gradient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71" formatCode="0.000_ ;[Red]\-0.000\ "/>
      <fill>
        <gradientFill degree="90">
          <stop position="0">
            <color theme="0"/>
          </stop>
          <stop position="0.5">
            <color theme="4" tint="0.80001220740379042"/>
          </stop>
          <stop position="1">
            <color theme="0"/>
          </stop>
        </gradient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71" formatCode="0.000_ ;[Red]\-0.000\ "/>
      <fill>
        <gradientFill degree="90">
          <stop position="0">
            <color theme="0"/>
          </stop>
          <stop position="0.5">
            <color theme="4" tint="0.80001220740379042"/>
          </stop>
          <stop position="1">
            <color theme="0"/>
          </stop>
        </gradient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72" formatCode="mmm\ yy"/>
      <fill>
        <gradientFill degree="90">
          <stop position="0">
            <color theme="0"/>
          </stop>
          <stop position="0.5">
            <color theme="4" tint="0.80001220740379042"/>
          </stop>
          <stop position="1">
            <color theme="0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gradientFill degree="90">
          <stop position="0">
            <color theme="0"/>
          </stop>
          <stop position="0.5">
            <color theme="4" tint="0.80001220740379042"/>
          </stop>
          <stop position="1">
            <color theme="0"/>
          </stop>
        </gradient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none"/>
      </font>
      <fill>
        <patternFill patternType="solid">
          <fgColor indexed="64"/>
          <bgColor indexed="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color auto="1"/>
      </font>
      <numFmt numFmtId="168" formatCode="#,##0.00_ ;[Red]\-#,##0.00\ "/>
      <fill>
        <patternFill patternType="none">
          <fgColor indexed="64"/>
          <bgColor indexed="65"/>
        </patternFill>
      </fill>
      <border diagonalUp="0" diagonalDown="0">
        <left/>
        <right style="double">
          <color auto="1"/>
        </right>
        <top/>
        <bottom/>
        <vertical/>
        <horizontal/>
      </border>
    </dxf>
    <dxf>
      <font>
        <color auto="1"/>
      </font>
      <numFmt numFmtId="168" formatCode="#,##0.00_ ;[Red]\-#,##0.00\ "/>
      <fill>
        <patternFill patternType="none">
          <fgColor indexed="64"/>
          <bgColor indexed="65"/>
        </patternFill>
      </fill>
    </dxf>
    <dxf>
      <font>
        <color auto="1"/>
      </font>
      <numFmt numFmtId="168" formatCode="#,##0.00_ ;[Red]\-#,##0.00\ "/>
      <fill>
        <patternFill patternType="none">
          <fgColor indexed="64"/>
          <bgColor indexed="65"/>
        </patternFill>
      </fill>
    </dxf>
    <dxf>
      <font>
        <color auto="1"/>
      </font>
      <numFmt numFmtId="14" formatCode="0.00%"/>
      <fill>
        <patternFill patternType="none">
          <fgColor indexed="64"/>
          <bgColor indexed="65"/>
        </patternFill>
      </fill>
    </dxf>
    <dxf>
      <font>
        <color auto="1"/>
      </font>
      <numFmt numFmtId="14" formatCode="0.00%"/>
      <fill>
        <patternFill patternType="none">
          <fgColor indexed="64"/>
          <bgColor indexed="65"/>
        </patternFill>
      </fill>
    </dxf>
    <dxf>
      <font>
        <color auto="1"/>
      </font>
      <numFmt numFmtId="168" formatCode="#,##0.00_ ;[Red]\-#,##0.00\ "/>
      <fill>
        <patternFill patternType="none">
          <fgColor indexed="64"/>
          <bgColor indexed="65"/>
        </patternFill>
      </fill>
    </dxf>
    <dxf>
      <font>
        <color auto="1"/>
      </font>
      <numFmt numFmtId="168" formatCode="#,##0.00_ ;[Red]\-#,##0.00\ "/>
      <fill>
        <patternFill patternType="none">
          <fgColor indexed="64"/>
          <bgColor indexed="65"/>
        </patternFill>
      </fill>
    </dxf>
    <dxf>
      <font>
        <color auto="1"/>
      </font>
      <numFmt numFmtId="14" formatCode="0.00%"/>
      <fill>
        <patternFill patternType="none">
          <fgColor indexed="64"/>
          <bgColor indexed="65"/>
        </patternFill>
      </fill>
    </dxf>
    <dxf>
      <font>
        <color auto="1"/>
      </font>
      <numFmt numFmtId="14" formatCode="0.00%"/>
      <fill>
        <patternFill patternType="none">
          <fgColor indexed="64"/>
          <bgColor indexed="65"/>
        </patternFill>
      </fill>
    </dxf>
    <dxf>
      <font>
        <color auto="1"/>
      </font>
      <numFmt numFmtId="168" formatCode="#,##0.00_ ;[Red]\-#,##0.00\ "/>
      <fill>
        <patternFill patternType="none">
          <fgColor indexed="64"/>
          <bgColor indexed="65"/>
        </patternFill>
      </fill>
    </dxf>
    <dxf>
      <font>
        <color auto="1"/>
      </font>
      <numFmt numFmtId="168" formatCode="#,##0.00_ ;[Red]\-#,##0.00\ "/>
      <fill>
        <patternFill patternType="none">
          <fgColor indexed="64"/>
          <bgColor indexed="65"/>
        </patternFill>
      </fill>
    </dxf>
    <dxf>
      <font>
        <b/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167" formatCode="#,##0.0000_ ;[Red]\-#,##0.0000\ "/>
      <fill>
        <patternFill patternType="none">
          <fgColor indexed="64"/>
          <bgColor indexed="65"/>
        </patternFill>
      </fill>
    </dxf>
    <dxf>
      <font>
        <color auto="1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ill>
        <patternFill>
          <bgColor rgb="FF5D0707"/>
        </patternFill>
      </fill>
    </dxf>
    <dxf>
      <fill>
        <patternFill>
          <bgColor rgb="FF880A0A"/>
        </patternFill>
      </fill>
    </dxf>
    <dxf>
      <fill>
        <gradientFill degree="90">
          <stop position="0">
            <color rgb="FF5D0707"/>
          </stop>
          <stop position="0.5">
            <color rgb="FFA80C0C"/>
          </stop>
          <stop position="1">
            <color rgb="FF5D0707"/>
          </stop>
        </gradientFill>
      </fill>
    </dxf>
    <dxf>
      <font>
        <strike val="0"/>
        <color theme="0"/>
      </font>
    </dxf>
    <dxf>
      <fill>
        <patternFill>
          <bgColor rgb="FF004760"/>
        </patternFill>
      </fill>
    </dxf>
    <dxf>
      <fill>
        <patternFill>
          <bgColor rgb="FF005776"/>
        </patternFill>
      </fill>
    </dxf>
    <dxf>
      <fill>
        <gradientFill degree="90">
          <stop position="0">
            <color rgb="FF003548"/>
          </stop>
          <stop position="0.5">
            <color rgb="FF006C92"/>
          </stop>
          <stop position="1">
            <color rgb="FF003548"/>
          </stop>
        </gradientFill>
      </fill>
    </dxf>
    <dxf>
      <font>
        <strike val="0"/>
        <color theme="0"/>
      </font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border>
        <bottom style="thin">
          <color auto="1"/>
        </bottom>
      </border>
    </dxf>
  </dxfs>
  <tableStyles count="3" defaultTableStyle="TableStyleMedium2" defaultPivotStyle="PivotStyleLight16">
    <tableStyle name="InputTableLightBlue" pivot="0" count="3">
      <tableStyleElement type="wholeTable" dxfId="294"/>
      <tableStyleElement type="firstRowStripe" dxfId="293"/>
      <tableStyleElement type="secondRowStripe" dxfId="292"/>
    </tableStyle>
    <tableStyle name="LGIM Blue" pivot="0" count="4">
      <tableStyleElement type="wholeTable" dxfId="291"/>
      <tableStyleElement type="headerRow" dxfId="290"/>
      <tableStyleElement type="firstRowStripe" dxfId="289"/>
      <tableStyleElement type="secondRowStripe" dxfId="288"/>
    </tableStyle>
    <tableStyle name="LGIM Red" pivot="0" count="4">
      <tableStyleElement type="wholeTable" dxfId="287"/>
      <tableStyleElement type="headerRow" dxfId="286"/>
      <tableStyleElement type="firstRowStripe" dxfId="285"/>
      <tableStyleElement type="secondRowStripe" dxfId="28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11192"/>
  <ax:ocxPr ax:name="_ExtentY" ax:value="7223"/>
  <ax:ocxPr ax:name="_StockProps" ax:value="1"/>
  <ax:ocxPr ax:name="BackColor" ax:value="-2147483633"/>
  <ax:ocxPr ax:name="Year" ax:value="2017"/>
  <ax:ocxPr ax:name="Month" ax:value="5"/>
  <ax:ocxPr ax:name="Day" ax:value="31"/>
  <ax:ocxPr ax:name="DayLength" ax:value="1"/>
  <ax:ocxPr ax:name="MonthLength" ax:value="1"/>
  <ax:ocxPr ax:name="DayFontColor" ax:value="0"/>
  <ax:ocxPr ax:name="FirstDay" ax:value="1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269952942272749E-2"/>
          <c:y val="3.8054908946150372E-2"/>
          <c:w val="0.91997856776778641"/>
          <c:h val="0.872192107092012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'PERFORMANCE SUMMARY'!$E$29</c:f>
              <c:strCache>
                <c:ptCount val="1"/>
                <c:pt idx="0">
                  <c:v>Rel (arithm.)</c:v>
                </c:pt>
              </c:strCache>
            </c:strRef>
          </c:tx>
          <c:invertIfNegative val="0"/>
          <c:cat>
            <c:numRef>
              <c:f>'PERFORMANCE SUMMARY'!$B$30:$B$41</c:f>
              <c:numCache>
                <c:formatCode>mmm\ yy</c:formatCode>
                <c:ptCount val="12"/>
                <c:pt idx="0">
                  <c:v>42521</c:v>
                </c:pt>
                <c:pt idx="1">
                  <c:v>42551</c:v>
                </c:pt>
                <c:pt idx="2">
                  <c:v>42582</c:v>
                </c:pt>
                <c:pt idx="3">
                  <c:v>42613</c:v>
                </c:pt>
                <c:pt idx="4">
                  <c:v>42643</c:v>
                </c:pt>
                <c:pt idx="5">
                  <c:v>42674</c:v>
                </c:pt>
                <c:pt idx="6">
                  <c:v>42704</c:v>
                </c:pt>
                <c:pt idx="7">
                  <c:v>42735</c:v>
                </c:pt>
                <c:pt idx="8">
                  <c:v>42766</c:v>
                </c:pt>
                <c:pt idx="9">
                  <c:v>42794</c:v>
                </c:pt>
                <c:pt idx="10">
                  <c:v>42825</c:v>
                </c:pt>
                <c:pt idx="11">
                  <c:v>42855</c:v>
                </c:pt>
              </c:numCache>
            </c:numRef>
          </c:cat>
          <c:val>
            <c:numRef>
              <c:f>'PERFORMANCE SUMMARY'!$E$30:$E$41</c:f>
              <c:numCache>
                <c:formatCode>0.000_ ;[Red]\-0.000\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0461824"/>
        <c:axId val="230463360"/>
      </c:barChart>
      <c:lineChart>
        <c:grouping val="standard"/>
        <c:varyColors val="0"/>
        <c:ser>
          <c:idx val="0"/>
          <c:order val="0"/>
          <c:tx>
            <c:strRef>
              <c:f>'PERFORMANCE SUMMARY'!$C$29</c:f>
              <c:strCache>
                <c:ptCount val="1"/>
                <c:pt idx="0">
                  <c:v>Fund</c:v>
                </c:pt>
              </c:strCache>
            </c:strRef>
          </c:tx>
          <c:marker>
            <c:symbol val="none"/>
          </c:marker>
          <c:cat>
            <c:numRef>
              <c:f>'PERFORMANCE SUMMARY'!$B$30:$B$41</c:f>
              <c:numCache>
                <c:formatCode>mmm\ yy</c:formatCode>
                <c:ptCount val="12"/>
                <c:pt idx="0">
                  <c:v>42521</c:v>
                </c:pt>
                <c:pt idx="1">
                  <c:v>42551</c:v>
                </c:pt>
                <c:pt idx="2">
                  <c:v>42582</c:v>
                </c:pt>
                <c:pt idx="3">
                  <c:v>42613</c:v>
                </c:pt>
                <c:pt idx="4">
                  <c:v>42643</c:v>
                </c:pt>
                <c:pt idx="5">
                  <c:v>42674</c:v>
                </c:pt>
                <c:pt idx="6">
                  <c:v>42704</c:v>
                </c:pt>
                <c:pt idx="7">
                  <c:v>42735</c:v>
                </c:pt>
                <c:pt idx="8">
                  <c:v>42766</c:v>
                </c:pt>
                <c:pt idx="9">
                  <c:v>42794</c:v>
                </c:pt>
                <c:pt idx="10">
                  <c:v>42825</c:v>
                </c:pt>
                <c:pt idx="11">
                  <c:v>42855</c:v>
                </c:pt>
              </c:numCache>
            </c:numRef>
          </c:cat>
          <c:val>
            <c:numRef>
              <c:f>'PERFORMANCE SUMMARY'!$C$30:$C$41</c:f>
              <c:numCache>
                <c:formatCode>0.000_ ;[Red]\-0.000\ </c:formatCode>
                <c:ptCount val="12"/>
                <c:pt idx="0">
                  <c:v>1.0841984858</c:v>
                </c:pt>
                <c:pt idx="1">
                  <c:v>2.9147057102999998</c:v>
                </c:pt>
                <c:pt idx="2">
                  <c:v>2.1804275612000001</c:v>
                </c:pt>
                <c:pt idx="3">
                  <c:v>0.77311382719999999</c:v>
                </c:pt>
                <c:pt idx="4">
                  <c:v>-0.26207888629999998</c:v>
                </c:pt>
                <c:pt idx="5">
                  <c:v>19.3084136292</c:v>
                </c:pt>
                <c:pt idx="6">
                  <c:v>-9.2877619499999994E-2</c:v>
                </c:pt>
                <c:pt idx="7">
                  <c:v>-1.0014259738</c:v>
                </c:pt>
                <c:pt idx="8">
                  <c:v>1.7561093717</c:v>
                </c:pt>
                <c:pt idx="9">
                  <c:v>-0.37919687819999998</c:v>
                </c:pt>
                <c:pt idx="10">
                  <c:v>0.4075291633</c:v>
                </c:pt>
                <c:pt idx="11">
                  <c:v>0.32337536290000002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SUMMARY'!$D$29</c:f>
              <c:strCache>
                <c:ptCount val="1"/>
                <c:pt idx="0">
                  <c:v>Benchmark</c:v>
                </c:pt>
              </c:strCache>
            </c:strRef>
          </c:tx>
          <c:marker>
            <c:symbol val="none"/>
          </c:marker>
          <c:cat>
            <c:numRef>
              <c:f>'PERFORMANCE SUMMARY'!$B$30:$B$41</c:f>
              <c:numCache>
                <c:formatCode>mmm\ yy</c:formatCode>
                <c:ptCount val="12"/>
                <c:pt idx="0">
                  <c:v>42521</c:v>
                </c:pt>
                <c:pt idx="1">
                  <c:v>42551</c:v>
                </c:pt>
                <c:pt idx="2">
                  <c:v>42582</c:v>
                </c:pt>
                <c:pt idx="3">
                  <c:v>42613</c:v>
                </c:pt>
                <c:pt idx="4">
                  <c:v>42643</c:v>
                </c:pt>
                <c:pt idx="5">
                  <c:v>42674</c:v>
                </c:pt>
                <c:pt idx="6">
                  <c:v>42704</c:v>
                </c:pt>
                <c:pt idx="7">
                  <c:v>42735</c:v>
                </c:pt>
                <c:pt idx="8">
                  <c:v>42766</c:v>
                </c:pt>
                <c:pt idx="9">
                  <c:v>42794</c:v>
                </c:pt>
                <c:pt idx="10">
                  <c:v>42825</c:v>
                </c:pt>
                <c:pt idx="11">
                  <c:v>42855</c:v>
                </c:pt>
              </c:numCache>
            </c:numRef>
          </c:cat>
          <c:val>
            <c:numRef>
              <c:f>'PERFORMANCE SUMMARY'!$D$30:$D$41</c:f>
              <c:numCache>
                <c:formatCode>0.000_ ;[Red]\-0.000\ </c:formatCode>
                <c:ptCount val="1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461824"/>
        <c:axId val="230463360"/>
      </c:lineChart>
      <c:dateAx>
        <c:axId val="230461824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0463360"/>
        <c:crosses val="autoZero"/>
        <c:auto val="1"/>
        <c:lblOffset val="100"/>
        <c:baseTimeUnit val="months"/>
      </c:dateAx>
      <c:valAx>
        <c:axId val="230463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Return</a:t>
                </a:r>
              </a:p>
            </c:rich>
          </c:tx>
          <c:layout>
            <c:manualLayout>
              <c:xMode val="edge"/>
              <c:yMode val="edge"/>
              <c:x val="1.8680618784465374E-3"/>
              <c:y val="0.40695284186261255"/>
            </c:manualLayout>
          </c:layout>
          <c:overlay val="0"/>
          <c:spPr>
            <a:ln>
              <a:noFill/>
            </a:ln>
          </c:spPr>
        </c:title>
        <c:numFmt formatCode="0_ ;[Red]\-0\ " sourceLinked="0"/>
        <c:majorTickMark val="out"/>
        <c:minorTickMark val="none"/>
        <c:tickLblPos val="nextTo"/>
        <c:crossAx val="230461824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119735702475513E-2"/>
          <c:y val="1.8068434828015928E-2"/>
          <c:w val="0.73479111014919274"/>
          <c:h val="0.96549054784383204"/>
        </c:manualLayout>
      </c:layout>
      <c:barChart>
        <c:barDir val="col"/>
        <c:grouping val="clustered"/>
        <c:varyColors val="0"/>
        <c:ser>
          <c:idx val="0"/>
          <c:order val="0"/>
          <c:tx>
            <c:v>MONTHLY RETURNS Fund (Left Hand Scale)</c:v>
          </c:tx>
          <c:spPr>
            <a:solidFill>
              <a:srgbClr val="002060"/>
            </a:solidFill>
          </c:spPr>
          <c:invertIfNegative val="0"/>
          <c:cat>
            <c:numLit>
              <c:formatCode>General</c:formatCode>
              <c:ptCount val="99"/>
              <c:pt idx="0">
                <c:v>42735</c:v>
              </c:pt>
              <c:pt idx="1">
                <c:v>42704</c:v>
              </c:pt>
              <c:pt idx="2">
                <c:v>42674</c:v>
              </c:pt>
              <c:pt idx="3">
                <c:v>42643</c:v>
              </c:pt>
              <c:pt idx="4">
                <c:v>42613</c:v>
              </c:pt>
              <c:pt idx="5">
                <c:v>42582</c:v>
              </c:pt>
              <c:pt idx="6">
                <c:v>42551</c:v>
              </c:pt>
              <c:pt idx="7">
                <c:v>42521</c:v>
              </c:pt>
              <c:pt idx="8">
                <c:v>42490</c:v>
              </c:pt>
              <c:pt idx="9">
                <c:v>42460</c:v>
              </c:pt>
              <c:pt idx="10">
                <c:v>42429</c:v>
              </c:pt>
              <c:pt idx="11">
                <c:v>42400</c:v>
              </c:pt>
              <c:pt idx="12">
                <c:v>42369</c:v>
              </c:pt>
              <c:pt idx="13">
                <c:v>42338</c:v>
              </c:pt>
              <c:pt idx="14">
                <c:v>42308</c:v>
              </c:pt>
              <c:pt idx="15">
                <c:v>42277</c:v>
              </c:pt>
              <c:pt idx="16">
                <c:v>42247</c:v>
              </c:pt>
              <c:pt idx="17">
                <c:v>42216</c:v>
              </c:pt>
              <c:pt idx="18">
                <c:v>42185</c:v>
              </c:pt>
              <c:pt idx="19">
                <c:v>42155</c:v>
              </c:pt>
              <c:pt idx="20">
                <c:v>42124</c:v>
              </c:pt>
              <c:pt idx="21">
                <c:v>42094</c:v>
              </c:pt>
              <c:pt idx="22">
                <c:v>42063</c:v>
              </c:pt>
              <c:pt idx="23">
                <c:v>42035</c:v>
              </c:pt>
              <c:pt idx="24">
                <c:v>42004</c:v>
              </c:pt>
              <c:pt idx="25">
                <c:v>41973</c:v>
              </c:pt>
              <c:pt idx="26">
                <c:v>41943</c:v>
              </c:pt>
              <c:pt idx="27">
                <c:v>41912</c:v>
              </c:pt>
              <c:pt idx="28">
                <c:v>41882</c:v>
              </c:pt>
              <c:pt idx="29">
                <c:v>41851</c:v>
              </c:pt>
              <c:pt idx="30">
                <c:v>41820</c:v>
              </c:pt>
              <c:pt idx="31">
                <c:v>41790</c:v>
              </c:pt>
              <c:pt idx="32">
                <c:v>41759</c:v>
              </c:pt>
              <c:pt idx="33">
                <c:v>41729</c:v>
              </c:pt>
              <c:pt idx="34">
                <c:v>41698</c:v>
              </c:pt>
              <c:pt idx="35">
                <c:v>41670</c:v>
              </c:pt>
              <c:pt idx="36">
                <c:v>41639</c:v>
              </c:pt>
              <c:pt idx="37">
                <c:v>41608</c:v>
              </c:pt>
              <c:pt idx="38">
                <c:v>41578</c:v>
              </c:pt>
              <c:pt idx="39">
                <c:v>41547</c:v>
              </c:pt>
              <c:pt idx="40">
                <c:v>41517</c:v>
              </c:pt>
              <c:pt idx="41">
                <c:v>41486</c:v>
              </c:pt>
              <c:pt idx="42">
                <c:v>41455</c:v>
              </c:pt>
              <c:pt idx="43">
                <c:v>41425</c:v>
              </c:pt>
              <c:pt idx="44">
                <c:v>41394</c:v>
              </c:pt>
              <c:pt idx="45">
                <c:v>41364</c:v>
              </c:pt>
              <c:pt idx="46">
                <c:v>41333</c:v>
              </c:pt>
              <c:pt idx="47">
                <c:v>41305</c:v>
              </c:pt>
              <c:pt idx="48">
                <c:v>41274</c:v>
              </c:pt>
              <c:pt idx="49">
                <c:v>41243</c:v>
              </c:pt>
              <c:pt idx="50">
                <c:v>41213</c:v>
              </c:pt>
              <c:pt idx="51">
                <c:v>41182</c:v>
              </c:pt>
              <c:pt idx="52">
                <c:v>41152</c:v>
              </c:pt>
              <c:pt idx="53">
                <c:v>41121</c:v>
              </c:pt>
              <c:pt idx="54">
                <c:v>41090</c:v>
              </c:pt>
              <c:pt idx="55">
                <c:v>41060</c:v>
              </c:pt>
              <c:pt idx="56">
                <c:v>41029</c:v>
              </c:pt>
              <c:pt idx="57">
                <c:v>40999</c:v>
              </c:pt>
              <c:pt idx="58">
                <c:v>40968</c:v>
              </c:pt>
              <c:pt idx="59">
                <c:v>40939</c:v>
              </c:pt>
              <c:pt idx="60">
                <c:v>40908</c:v>
              </c:pt>
              <c:pt idx="61">
                <c:v>40877</c:v>
              </c:pt>
              <c:pt idx="62">
                <c:v>40847</c:v>
              </c:pt>
              <c:pt idx="63">
                <c:v>40816</c:v>
              </c:pt>
              <c:pt idx="64">
                <c:v>40786</c:v>
              </c:pt>
              <c:pt idx="65">
                <c:v>40755</c:v>
              </c:pt>
              <c:pt idx="66">
                <c:v>40724</c:v>
              </c:pt>
              <c:pt idx="67">
                <c:v>40694</c:v>
              </c:pt>
              <c:pt idx="68">
                <c:v>40663</c:v>
              </c:pt>
              <c:pt idx="69">
                <c:v>40633</c:v>
              </c:pt>
              <c:pt idx="70">
                <c:v>40602</c:v>
              </c:pt>
              <c:pt idx="71">
                <c:v>40574</c:v>
              </c:pt>
              <c:pt idx="72">
                <c:v>40543</c:v>
              </c:pt>
              <c:pt idx="73">
                <c:v>40512</c:v>
              </c:pt>
              <c:pt idx="74">
                <c:v>40482</c:v>
              </c:pt>
              <c:pt idx="75">
                <c:v>40451</c:v>
              </c:pt>
              <c:pt idx="76">
                <c:v>40421</c:v>
              </c:pt>
              <c:pt idx="77">
                <c:v>40390</c:v>
              </c:pt>
              <c:pt idx="78">
                <c:v>40359</c:v>
              </c:pt>
              <c:pt idx="79">
                <c:v>40329</c:v>
              </c:pt>
              <c:pt idx="80">
                <c:v>40298</c:v>
              </c:pt>
              <c:pt idx="81">
                <c:v>40268</c:v>
              </c:pt>
              <c:pt idx="82">
                <c:v>40237</c:v>
              </c:pt>
              <c:pt idx="83">
                <c:v>40209</c:v>
              </c:pt>
              <c:pt idx="84">
                <c:v>40178</c:v>
              </c:pt>
              <c:pt idx="85">
                <c:v>40147</c:v>
              </c:pt>
              <c:pt idx="86">
                <c:v>40117</c:v>
              </c:pt>
              <c:pt idx="87">
                <c:v>40086</c:v>
              </c:pt>
              <c:pt idx="88">
                <c:v>40056</c:v>
              </c:pt>
              <c:pt idx="89">
                <c:v>40025</c:v>
              </c:pt>
              <c:pt idx="90">
                <c:v>39994</c:v>
              </c:pt>
              <c:pt idx="91">
                <c:v>39964</c:v>
              </c:pt>
              <c:pt idx="92">
                <c:v>39933</c:v>
              </c:pt>
              <c:pt idx="93">
                <c:v>39903</c:v>
              </c:pt>
              <c:pt idx="94">
                <c:v>39872</c:v>
              </c:pt>
              <c:pt idx="95">
                <c:v>39844</c:v>
              </c:pt>
            </c:numLit>
          </c:cat>
          <c:val>
            <c:numLit>
              <c:formatCode>General</c:formatCode>
              <c:ptCount val="99"/>
              <c:pt idx="0">
                <c:v>2.164799999999989</c:v>
              </c:pt>
              <c:pt idx="1">
                <c:v>-1.3305000000000011</c:v>
              </c:pt>
              <c:pt idx="2">
                <c:v>-3.3394999999999953</c:v>
              </c:pt>
              <c:pt idx="3">
                <c:v>-1.3704000000000049</c:v>
              </c:pt>
              <c:pt idx="4">
                <c:v>3.0073000000000016</c:v>
              </c:pt>
              <c:pt idx="5">
                <c:v>4.7784877689009964</c:v>
              </c:pt>
              <c:pt idx="6">
                <c:v>2.7694000000000107</c:v>
              </c:pt>
              <c:pt idx="7">
                <c:v>1.2130999999999892</c:v>
              </c:pt>
              <c:pt idx="8">
                <c:v>0.43709999999999027</c:v>
              </c:pt>
              <c:pt idx="9">
                <c:v>2.6596999999999982</c:v>
              </c:pt>
              <c:pt idx="10">
                <c:v>-0.31363658615399803</c:v>
              </c:pt>
              <c:pt idx="11">
                <c:v>0.97983536146499794</c:v>
              </c:pt>
              <c:pt idx="12">
                <c:v>-0.86076348333400388</c:v>
              </c:pt>
              <c:pt idx="13">
                <c:v>1.3878999999999975</c:v>
              </c:pt>
              <c:pt idx="14">
                <c:v>-0.13389999999999791</c:v>
              </c:pt>
              <c:pt idx="15">
                <c:v>0.34105041790299939</c:v>
              </c:pt>
              <c:pt idx="16">
                <c:v>-0.9042719221019957</c:v>
              </c:pt>
              <c:pt idx="17">
                <c:v>1.6277830860289999</c:v>
              </c:pt>
              <c:pt idx="18">
                <c:v>-2.5521166092450032</c:v>
              </c:pt>
              <c:pt idx="19">
                <c:v>0.42322798668699146</c:v>
              </c:pt>
              <c:pt idx="20">
                <c:v>-1.4679633404860004</c:v>
              </c:pt>
              <c:pt idx="21">
                <c:v>1.3418093688090105</c:v>
              </c:pt>
              <c:pt idx="22">
                <c:v>-2.469058926112</c:v>
              </c:pt>
              <c:pt idx="23">
                <c:v>4.8064271939409986</c:v>
              </c:pt>
              <c:pt idx="24">
                <c:v>1.0304970260859969</c:v>
              </c:pt>
              <c:pt idx="25">
                <c:v>2.2637057185969978</c:v>
              </c:pt>
              <c:pt idx="26">
                <c:v>0.80874715856600332</c:v>
              </c:pt>
              <c:pt idx="27">
                <c:v>-0.65323818921100285</c:v>
              </c:pt>
              <c:pt idx="28">
                <c:v>2.8565629874059972</c:v>
              </c:pt>
              <c:pt idx="29">
                <c:v>0.52699400000000285</c:v>
              </c:pt>
              <c:pt idx="30">
                <c:v>-0.22587540978999954</c:v>
              </c:pt>
              <c:pt idx="31">
                <c:v>1.3896673624449907</c:v>
              </c:pt>
              <c:pt idx="32">
                <c:v>1.2110299444400008</c:v>
              </c:pt>
              <c:pt idx="33">
                <c:v>8.4613575532999086E-2</c:v>
              </c:pt>
              <c:pt idx="34">
                <c:v>0.71989830899099605</c:v>
              </c:pt>
              <c:pt idx="35">
                <c:v>2.2928153817590058</c:v>
              </c:pt>
              <c:pt idx="36">
                <c:v>-0.77437098260400017</c:v>
              </c:pt>
              <c:pt idx="37">
                <c:v>-0.79399239401000132</c:v>
              </c:pt>
              <c:pt idx="38">
                <c:v>2.1618409361400026</c:v>
              </c:pt>
              <c:pt idx="39">
                <c:v>0.98910699999998908</c:v>
              </c:pt>
              <c:pt idx="40">
                <c:v>-0.72063884594899541</c:v>
              </c:pt>
              <c:pt idx="41">
                <c:v>2.1532826101390068</c:v>
              </c:pt>
              <c:pt idx="42">
                <c:v>-3.9879815434110011</c:v>
              </c:pt>
              <c:pt idx="43">
                <c:v>-1.2124525935769959</c:v>
              </c:pt>
              <c:pt idx="44">
                <c:v>2.6068717602010016</c:v>
              </c:pt>
              <c:pt idx="45">
                <c:v>1.4375805726249968</c:v>
              </c:pt>
              <c:pt idx="46">
                <c:v>0.89878651255499431</c:v>
              </c:pt>
              <c:pt idx="47">
                <c:v>-0.48196567971899862</c:v>
              </c:pt>
              <c:pt idx="48">
                <c:v>0.71552653499999952</c:v>
              </c:pt>
              <c:pt idx="49">
                <c:v>1.2702061843999912</c:v>
              </c:pt>
              <c:pt idx="50">
                <c:v>0.96814839729999491</c:v>
              </c:pt>
              <c:pt idx="51">
                <c:v>1.3005114558999997</c:v>
              </c:pt>
              <c:pt idx="52">
                <c:v>1.1626876383999951</c:v>
              </c:pt>
              <c:pt idx="53">
                <c:v>3.8831470979999949</c:v>
              </c:pt>
              <c:pt idx="54">
                <c:v>0.30753937800001019</c:v>
              </c:pt>
              <c:pt idx="55">
                <c:v>2.1508214317000007</c:v>
              </c:pt>
              <c:pt idx="56">
                <c:v>-0.10374330300000345</c:v>
              </c:pt>
              <c:pt idx="57">
                <c:v>0.22013128430000695</c:v>
              </c:pt>
              <c:pt idx="58">
                <c:v>1.2423256546000072</c:v>
              </c:pt>
              <c:pt idx="59">
                <c:v>2.4391860121000031</c:v>
              </c:pt>
              <c:pt idx="60">
                <c:v>3.0711420298999981</c:v>
              </c:pt>
              <c:pt idx="61">
                <c:v>-2.2049577191999958</c:v>
              </c:pt>
              <c:pt idx="62">
                <c:v>2.0658849594999973</c:v>
              </c:pt>
              <c:pt idx="63">
                <c:v>-1.3153920719000012</c:v>
              </c:pt>
              <c:pt idx="64">
                <c:v>-1.7731522859000037</c:v>
              </c:pt>
              <c:pt idx="65">
                <c:v>2.4068358414000013</c:v>
              </c:pt>
              <c:pt idx="66">
                <c:v>-0.98795713510000382</c:v>
              </c:pt>
              <c:pt idx="67">
                <c:v>0.70900161319999988</c:v>
              </c:pt>
              <c:pt idx="68">
                <c:v>2.029246133900009</c:v>
              </c:pt>
              <c:pt idx="69">
                <c:v>1.1381957130000009</c:v>
              </c:pt>
              <c:pt idx="70">
                <c:v>1.1897132547999956</c:v>
              </c:pt>
              <c:pt idx="71">
                <c:v>-0.2558393321000052</c:v>
              </c:pt>
              <c:pt idx="72">
                <c:v>0.17764944559999218</c:v>
              </c:pt>
              <c:pt idx="73">
                <c:v>-2.4939860198999964</c:v>
              </c:pt>
              <c:pt idx="74">
                <c:v>0.4131767015999932</c:v>
              </c:pt>
              <c:pt idx="75">
                <c:v>1.0021079179000081</c:v>
              </c:pt>
              <c:pt idx="76">
                <c:v>2.597881680299996</c:v>
              </c:pt>
              <c:pt idx="77">
                <c:v>1.8956844999999944</c:v>
              </c:pt>
              <c:pt idx="78">
                <c:v>0.4634760000000071</c:v>
              </c:pt>
              <c:pt idx="79">
                <c:v>-1.1137213000000035</c:v>
              </c:pt>
              <c:pt idx="80">
                <c:v>1.1179319000000021</c:v>
              </c:pt>
              <c:pt idx="81">
                <c:v>3.9877625999999999</c:v>
              </c:pt>
              <c:pt idx="82">
                <c:v>-0.11271219999999804</c:v>
              </c:pt>
              <c:pt idx="83">
                <c:v>2.7184461999999909</c:v>
              </c:pt>
              <c:pt idx="84">
                <c:v>-7.640370000000507E-2</c:v>
              </c:pt>
              <c:pt idx="85">
                <c:v>0.67117000000000981</c:v>
              </c:pt>
              <c:pt idx="86">
                <c:v>0.89210820000000801</c:v>
              </c:pt>
              <c:pt idx="87">
                <c:v>3.6310440000000055</c:v>
              </c:pt>
              <c:pt idx="88">
                <c:v>4.6302799000000006</c:v>
              </c:pt>
              <c:pt idx="89">
                <c:v>5.0160677999999903</c:v>
              </c:pt>
              <c:pt idx="90">
                <c:v>3.5451259000000013</c:v>
              </c:pt>
              <c:pt idx="91">
                <c:v>6.3055837000000059</c:v>
              </c:pt>
              <c:pt idx="92">
                <c:v>3.9713302000000006</c:v>
              </c:pt>
              <c:pt idx="93">
                <c:v>-2.2814866000000045</c:v>
              </c:pt>
              <c:pt idx="94">
                <c:v>-3.345689900000004</c:v>
              </c:pt>
              <c:pt idx="95">
                <c:v>-2.5446238999999982</c:v>
              </c:pt>
            </c:numLit>
          </c:val>
        </c:ser>
        <c:ser>
          <c:idx val="1"/>
          <c:order val="1"/>
          <c:tx>
            <c:v>MONTHLY RETURNS Benchmark (Left Hand Scale)</c:v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Lit>
              <c:formatCode>General</c:formatCode>
              <c:ptCount val="99"/>
              <c:pt idx="0">
                <c:v>42735</c:v>
              </c:pt>
              <c:pt idx="1">
                <c:v>42704</c:v>
              </c:pt>
              <c:pt idx="2">
                <c:v>42674</c:v>
              </c:pt>
              <c:pt idx="3">
                <c:v>42643</c:v>
              </c:pt>
              <c:pt idx="4">
                <c:v>42613</c:v>
              </c:pt>
              <c:pt idx="5">
                <c:v>42582</c:v>
              </c:pt>
              <c:pt idx="6">
                <c:v>42551</c:v>
              </c:pt>
              <c:pt idx="7">
                <c:v>42521</c:v>
              </c:pt>
              <c:pt idx="8">
                <c:v>42490</c:v>
              </c:pt>
              <c:pt idx="9">
                <c:v>42460</c:v>
              </c:pt>
              <c:pt idx="10">
                <c:v>42429</c:v>
              </c:pt>
              <c:pt idx="11">
                <c:v>42400</c:v>
              </c:pt>
              <c:pt idx="12">
                <c:v>42369</c:v>
              </c:pt>
              <c:pt idx="13">
                <c:v>42338</c:v>
              </c:pt>
              <c:pt idx="14">
                <c:v>42308</c:v>
              </c:pt>
              <c:pt idx="15">
                <c:v>42277</c:v>
              </c:pt>
              <c:pt idx="16">
                <c:v>42247</c:v>
              </c:pt>
              <c:pt idx="17">
                <c:v>42216</c:v>
              </c:pt>
              <c:pt idx="18">
                <c:v>42185</c:v>
              </c:pt>
              <c:pt idx="19">
                <c:v>42155</c:v>
              </c:pt>
              <c:pt idx="20">
                <c:v>42124</c:v>
              </c:pt>
              <c:pt idx="21">
                <c:v>42094</c:v>
              </c:pt>
              <c:pt idx="22">
                <c:v>42063</c:v>
              </c:pt>
              <c:pt idx="23">
                <c:v>42035</c:v>
              </c:pt>
              <c:pt idx="24">
                <c:v>42004</c:v>
              </c:pt>
              <c:pt idx="25">
                <c:v>41973</c:v>
              </c:pt>
              <c:pt idx="26">
                <c:v>41943</c:v>
              </c:pt>
              <c:pt idx="27">
                <c:v>41912</c:v>
              </c:pt>
              <c:pt idx="28">
                <c:v>41882</c:v>
              </c:pt>
              <c:pt idx="29">
                <c:v>41851</c:v>
              </c:pt>
              <c:pt idx="30">
                <c:v>41820</c:v>
              </c:pt>
              <c:pt idx="31">
                <c:v>41790</c:v>
              </c:pt>
              <c:pt idx="32">
                <c:v>41759</c:v>
              </c:pt>
              <c:pt idx="33">
                <c:v>41729</c:v>
              </c:pt>
              <c:pt idx="34">
                <c:v>41698</c:v>
              </c:pt>
              <c:pt idx="35">
                <c:v>41670</c:v>
              </c:pt>
              <c:pt idx="36">
                <c:v>41639</c:v>
              </c:pt>
              <c:pt idx="37">
                <c:v>41608</c:v>
              </c:pt>
              <c:pt idx="38">
                <c:v>41578</c:v>
              </c:pt>
              <c:pt idx="39">
                <c:v>41547</c:v>
              </c:pt>
              <c:pt idx="40">
                <c:v>41517</c:v>
              </c:pt>
              <c:pt idx="41">
                <c:v>41486</c:v>
              </c:pt>
              <c:pt idx="42">
                <c:v>41455</c:v>
              </c:pt>
              <c:pt idx="43">
                <c:v>41425</c:v>
              </c:pt>
              <c:pt idx="44">
                <c:v>41394</c:v>
              </c:pt>
              <c:pt idx="45">
                <c:v>41364</c:v>
              </c:pt>
              <c:pt idx="46">
                <c:v>41333</c:v>
              </c:pt>
              <c:pt idx="47">
                <c:v>41305</c:v>
              </c:pt>
              <c:pt idx="48">
                <c:v>41274</c:v>
              </c:pt>
              <c:pt idx="49">
                <c:v>41243</c:v>
              </c:pt>
              <c:pt idx="50">
                <c:v>41213</c:v>
              </c:pt>
              <c:pt idx="51">
                <c:v>41182</c:v>
              </c:pt>
              <c:pt idx="52">
                <c:v>41152</c:v>
              </c:pt>
              <c:pt idx="53">
                <c:v>41121</c:v>
              </c:pt>
              <c:pt idx="54">
                <c:v>41090</c:v>
              </c:pt>
              <c:pt idx="55">
                <c:v>41060</c:v>
              </c:pt>
              <c:pt idx="56">
                <c:v>41029</c:v>
              </c:pt>
              <c:pt idx="57">
                <c:v>40999</c:v>
              </c:pt>
              <c:pt idx="58">
                <c:v>40968</c:v>
              </c:pt>
              <c:pt idx="59">
                <c:v>40939</c:v>
              </c:pt>
              <c:pt idx="60">
                <c:v>40908</c:v>
              </c:pt>
              <c:pt idx="61">
                <c:v>40877</c:v>
              </c:pt>
              <c:pt idx="62">
                <c:v>40847</c:v>
              </c:pt>
              <c:pt idx="63">
                <c:v>40816</c:v>
              </c:pt>
              <c:pt idx="64">
                <c:v>40786</c:v>
              </c:pt>
              <c:pt idx="65">
                <c:v>40755</c:v>
              </c:pt>
              <c:pt idx="66">
                <c:v>40724</c:v>
              </c:pt>
              <c:pt idx="67">
                <c:v>40694</c:v>
              </c:pt>
              <c:pt idx="68">
                <c:v>40663</c:v>
              </c:pt>
              <c:pt idx="69">
                <c:v>40633</c:v>
              </c:pt>
              <c:pt idx="70">
                <c:v>40602</c:v>
              </c:pt>
              <c:pt idx="71">
                <c:v>40574</c:v>
              </c:pt>
              <c:pt idx="72">
                <c:v>40543</c:v>
              </c:pt>
              <c:pt idx="73">
                <c:v>40512</c:v>
              </c:pt>
              <c:pt idx="74">
                <c:v>40482</c:v>
              </c:pt>
              <c:pt idx="75">
                <c:v>40451</c:v>
              </c:pt>
              <c:pt idx="76">
                <c:v>40421</c:v>
              </c:pt>
              <c:pt idx="77">
                <c:v>40390</c:v>
              </c:pt>
              <c:pt idx="78">
                <c:v>40359</c:v>
              </c:pt>
              <c:pt idx="79">
                <c:v>40329</c:v>
              </c:pt>
              <c:pt idx="80">
                <c:v>40298</c:v>
              </c:pt>
              <c:pt idx="81">
                <c:v>40268</c:v>
              </c:pt>
              <c:pt idx="82">
                <c:v>40237</c:v>
              </c:pt>
              <c:pt idx="83">
                <c:v>40209</c:v>
              </c:pt>
              <c:pt idx="84">
                <c:v>40178</c:v>
              </c:pt>
              <c:pt idx="85">
                <c:v>40147</c:v>
              </c:pt>
              <c:pt idx="86">
                <c:v>40117</c:v>
              </c:pt>
              <c:pt idx="87">
                <c:v>40086</c:v>
              </c:pt>
              <c:pt idx="88">
                <c:v>40056</c:v>
              </c:pt>
              <c:pt idx="89">
                <c:v>40025</c:v>
              </c:pt>
              <c:pt idx="90">
                <c:v>39994</c:v>
              </c:pt>
              <c:pt idx="91">
                <c:v>39964</c:v>
              </c:pt>
              <c:pt idx="92">
                <c:v>39933</c:v>
              </c:pt>
              <c:pt idx="93">
                <c:v>39903</c:v>
              </c:pt>
              <c:pt idx="94">
                <c:v>39872</c:v>
              </c:pt>
              <c:pt idx="95">
                <c:v>39844</c:v>
              </c:pt>
            </c:numLit>
          </c:cat>
          <c:val>
            <c:numLit>
              <c:formatCode>General</c:formatCode>
              <c:ptCount val="99"/>
              <c:pt idx="0">
                <c:v>1.7545426099999999</c:v>
              </c:pt>
              <c:pt idx="1">
                <c:v>-1.10759494</c:v>
              </c:pt>
              <c:pt idx="2">
                <c:v>-3.3008532399999999</c:v>
              </c:pt>
              <c:pt idx="3">
                <c:v>-0.77454303000000002</c:v>
              </c:pt>
              <c:pt idx="4">
                <c:v>2.99192188</c:v>
              </c:pt>
              <c:pt idx="5">
                <c:v>3.8005586600000001</c:v>
              </c:pt>
              <c:pt idx="6">
                <c:v>1.9838841300000001</c:v>
              </c:pt>
              <c:pt idx="7">
                <c:v>0.73507792000000005</c:v>
              </c:pt>
              <c:pt idx="8">
                <c:v>0.43029260000000003</c:v>
              </c:pt>
              <c:pt idx="9">
                <c:v>2.4303171799999999</c:v>
              </c:pt>
              <c:pt idx="10">
                <c:v>-0.72</c:v>
              </c:pt>
              <c:pt idx="11">
                <c:v>0.38802261999999998</c:v>
              </c:pt>
              <c:pt idx="12">
                <c:v>-0.91557244000000004</c:v>
              </c:pt>
              <c:pt idx="13">
                <c:v>1.2570437800000001</c:v>
              </c:pt>
              <c:pt idx="14">
                <c:v>1.731535E-2</c:v>
              </c:pt>
              <c:pt idx="15">
                <c:v>-0.3</c:v>
              </c:pt>
              <c:pt idx="16">
                <c:v>-0.33</c:v>
              </c:pt>
              <c:pt idx="17">
                <c:v>0.90340514000000005</c:v>
              </c:pt>
              <c:pt idx="18">
                <c:v>-2.4140168700000002</c:v>
              </c:pt>
              <c:pt idx="19">
                <c:v>1.8678960000000001E-2</c:v>
              </c:pt>
              <c:pt idx="20">
                <c:v>-1.4711070399999999</c:v>
              </c:pt>
              <c:pt idx="21">
                <c:v>0.89153046000000002</c:v>
              </c:pt>
              <c:pt idx="22">
                <c:v>-1.76</c:v>
              </c:pt>
              <c:pt idx="23">
                <c:v>3.79278446</c:v>
              </c:pt>
              <c:pt idx="24">
                <c:v>0.86821488000000002</c:v>
              </c:pt>
              <c:pt idx="25">
                <c:v>2.0037212000000002</c:v>
              </c:pt>
              <c:pt idx="26">
                <c:v>0.76402159999999997</c:v>
              </c:pt>
              <c:pt idx="27">
                <c:v>-0.61539646000000003</c:v>
              </c:pt>
              <c:pt idx="28">
                <c:v>2.19</c:v>
              </c:pt>
              <c:pt idx="29">
                <c:v>0.28434160000000003</c:v>
              </c:pt>
              <c:pt idx="30">
                <c:v>-0.12963163</c:v>
              </c:pt>
              <c:pt idx="31">
                <c:v>1.31898885</c:v>
              </c:pt>
              <c:pt idx="32">
                <c:v>0.93961996999999997</c:v>
              </c:pt>
              <c:pt idx="33">
                <c:v>-0.21573790000000001</c:v>
              </c:pt>
              <c:pt idx="34">
                <c:v>0.45423858</c:v>
              </c:pt>
              <c:pt idx="35">
                <c:v>1.9318577800000001</c:v>
              </c:pt>
              <c:pt idx="36">
                <c:v>-0.88928412999999995</c:v>
              </c:pt>
              <c:pt idx="37">
                <c:v>-1.0131042800000001</c:v>
              </c:pt>
              <c:pt idx="38">
                <c:v>2.08540218</c:v>
              </c:pt>
              <c:pt idx="39">
                <c:v>0.91172213999999996</c:v>
              </c:pt>
              <c:pt idx="40">
                <c:v>-0.98481755999999998</c:v>
              </c:pt>
              <c:pt idx="41">
                <c:v>1.9260902099999999</c:v>
              </c:pt>
              <c:pt idx="42">
                <c:v>-4.1666666699999997</c:v>
              </c:pt>
              <c:pt idx="43">
                <c:v>-1.2315270899999999</c:v>
              </c:pt>
              <c:pt idx="44">
                <c:v>2.4579059399999998</c:v>
              </c:pt>
              <c:pt idx="45">
                <c:v>1.4504431900000001</c:v>
              </c:pt>
              <c:pt idx="46">
                <c:v>0.81743869000000002</c:v>
              </c:pt>
              <c:pt idx="47">
                <c:v>-0.77519380000000004</c:v>
              </c:pt>
              <c:pt idx="48">
                <c:v>0.32</c:v>
              </c:pt>
              <c:pt idx="49">
                <c:v>1.25</c:v>
              </c:pt>
              <c:pt idx="50">
                <c:v>0.77</c:v>
              </c:pt>
              <c:pt idx="51">
                <c:v>1.08</c:v>
              </c:pt>
              <c:pt idx="52">
                <c:v>0.97</c:v>
              </c:pt>
              <c:pt idx="53">
                <c:v>3.57</c:v>
              </c:pt>
              <c:pt idx="54">
                <c:v>0.77</c:v>
              </c:pt>
              <c:pt idx="55">
                <c:v>1.02</c:v>
              </c:pt>
              <c:pt idx="56">
                <c:v>-0.37</c:v>
              </c:pt>
              <c:pt idx="57">
                <c:v>-0.08</c:v>
              </c:pt>
              <c:pt idx="58">
                <c:v>1.41</c:v>
              </c:pt>
              <c:pt idx="59">
                <c:v>1.77</c:v>
              </c:pt>
              <c:pt idx="60">
                <c:v>1.74</c:v>
              </c:pt>
              <c:pt idx="61">
                <c:v>-0.84</c:v>
              </c:pt>
              <c:pt idx="62">
                <c:v>1.76</c:v>
              </c:pt>
              <c:pt idx="63">
                <c:v>-1.0900000000000001</c:v>
              </c:pt>
              <c:pt idx="64">
                <c:v>-1.18</c:v>
              </c:pt>
              <c:pt idx="65">
                <c:v>1.72</c:v>
              </c:pt>
              <c:pt idx="66">
                <c:v>-0.75</c:v>
              </c:pt>
              <c:pt idx="67">
                <c:v>0.74</c:v>
              </c:pt>
              <c:pt idx="68">
                <c:v>1.53</c:v>
              </c:pt>
              <c:pt idx="69">
                <c:v>0.73</c:v>
              </c:pt>
              <c:pt idx="70">
                <c:v>1.08</c:v>
              </c:pt>
              <c:pt idx="71">
                <c:v>-0.42</c:v>
              </c:pt>
              <c:pt idx="72">
                <c:v>-0.05</c:v>
              </c:pt>
              <c:pt idx="73">
                <c:v>-2.4</c:v>
              </c:pt>
              <c:pt idx="74">
                <c:v>-0.37</c:v>
              </c:pt>
              <c:pt idx="75">
                <c:v>0.3</c:v>
              </c:pt>
              <c:pt idx="76">
                <c:v>3.78</c:v>
              </c:pt>
              <c:pt idx="77">
                <c:v>1.1399999999999999</c:v>
              </c:pt>
              <c:pt idx="78">
                <c:v>0.75</c:v>
              </c:pt>
              <c:pt idx="79">
                <c:v>-0.52</c:v>
              </c:pt>
              <c:pt idx="80">
                <c:v>0.67</c:v>
              </c:pt>
              <c:pt idx="81">
                <c:v>2.44</c:v>
              </c:pt>
              <c:pt idx="82">
                <c:v>-0.38</c:v>
              </c:pt>
              <c:pt idx="83">
                <c:v>2.4500000000000002</c:v>
              </c:pt>
              <c:pt idx="84">
                <c:v>-0.89</c:v>
              </c:pt>
              <c:pt idx="85">
                <c:v>1.25</c:v>
              </c:pt>
              <c:pt idx="86">
                <c:v>0.71</c:v>
              </c:pt>
              <c:pt idx="87">
                <c:v>2.0699999999999998</c:v>
              </c:pt>
              <c:pt idx="88">
                <c:v>4.72</c:v>
              </c:pt>
              <c:pt idx="89">
                <c:v>3.14</c:v>
              </c:pt>
              <c:pt idx="90">
                <c:v>3.17</c:v>
              </c:pt>
              <c:pt idx="91">
                <c:v>3.67</c:v>
              </c:pt>
              <c:pt idx="92">
                <c:v>1.67</c:v>
              </c:pt>
              <c:pt idx="93">
                <c:v>-1.54</c:v>
              </c:pt>
              <c:pt idx="94">
                <c:v>-0.35</c:v>
              </c:pt>
              <c:pt idx="95">
                <c:v>-3.75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129152"/>
        <c:axId val="238130688"/>
      </c:barChart>
      <c:lineChart>
        <c:grouping val="standard"/>
        <c:varyColors val="0"/>
        <c:ser>
          <c:idx val="2"/>
          <c:order val="2"/>
          <c:tx>
            <c:v>1 YEAR VOL Annualised Fund (Right Hand Scale)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Lit>
              <c:formatCode>General</c:formatCode>
              <c:ptCount val="99"/>
              <c:pt idx="0">
                <c:v>42735</c:v>
              </c:pt>
              <c:pt idx="1">
                <c:v>42704</c:v>
              </c:pt>
              <c:pt idx="2">
                <c:v>42674</c:v>
              </c:pt>
              <c:pt idx="3">
                <c:v>42643</c:v>
              </c:pt>
              <c:pt idx="4">
                <c:v>42613</c:v>
              </c:pt>
              <c:pt idx="5">
                <c:v>42582</c:v>
              </c:pt>
              <c:pt idx="6">
                <c:v>42551</c:v>
              </c:pt>
              <c:pt idx="7">
                <c:v>42521</c:v>
              </c:pt>
              <c:pt idx="8">
                <c:v>42490</c:v>
              </c:pt>
              <c:pt idx="9">
                <c:v>42460</c:v>
              </c:pt>
              <c:pt idx="10">
                <c:v>42429</c:v>
              </c:pt>
              <c:pt idx="11">
                <c:v>42400</c:v>
              </c:pt>
              <c:pt idx="12">
                <c:v>42369</c:v>
              </c:pt>
              <c:pt idx="13">
                <c:v>42338</c:v>
              </c:pt>
              <c:pt idx="14">
                <c:v>42308</c:v>
              </c:pt>
              <c:pt idx="15">
                <c:v>42277</c:v>
              </c:pt>
              <c:pt idx="16">
                <c:v>42247</c:v>
              </c:pt>
              <c:pt idx="17">
                <c:v>42216</c:v>
              </c:pt>
              <c:pt idx="18">
                <c:v>42185</c:v>
              </c:pt>
              <c:pt idx="19">
                <c:v>42155</c:v>
              </c:pt>
              <c:pt idx="20">
                <c:v>42124</c:v>
              </c:pt>
              <c:pt idx="21">
                <c:v>42094</c:v>
              </c:pt>
              <c:pt idx="22">
                <c:v>42063</c:v>
              </c:pt>
              <c:pt idx="23">
                <c:v>42035</c:v>
              </c:pt>
              <c:pt idx="24">
                <c:v>42004</c:v>
              </c:pt>
              <c:pt idx="25">
                <c:v>41973</c:v>
              </c:pt>
              <c:pt idx="26">
                <c:v>41943</c:v>
              </c:pt>
              <c:pt idx="27">
                <c:v>41912</c:v>
              </c:pt>
              <c:pt idx="28">
                <c:v>41882</c:v>
              </c:pt>
              <c:pt idx="29">
                <c:v>41851</c:v>
              </c:pt>
              <c:pt idx="30">
                <c:v>41820</c:v>
              </c:pt>
              <c:pt idx="31">
                <c:v>41790</c:v>
              </c:pt>
              <c:pt idx="32">
                <c:v>41759</c:v>
              </c:pt>
              <c:pt idx="33">
                <c:v>41729</c:v>
              </c:pt>
              <c:pt idx="34">
                <c:v>41698</c:v>
              </c:pt>
              <c:pt idx="35">
                <c:v>41670</c:v>
              </c:pt>
              <c:pt idx="36">
                <c:v>41639</c:v>
              </c:pt>
              <c:pt idx="37">
                <c:v>41608</c:v>
              </c:pt>
              <c:pt idx="38">
                <c:v>41578</c:v>
              </c:pt>
              <c:pt idx="39">
                <c:v>41547</c:v>
              </c:pt>
              <c:pt idx="40">
                <c:v>41517</c:v>
              </c:pt>
              <c:pt idx="41">
                <c:v>41486</c:v>
              </c:pt>
              <c:pt idx="42">
                <c:v>41455</c:v>
              </c:pt>
              <c:pt idx="43">
                <c:v>41425</c:v>
              </c:pt>
              <c:pt idx="44">
                <c:v>41394</c:v>
              </c:pt>
              <c:pt idx="45">
                <c:v>41364</c:v>
              </c:pt>
              <c:pt idx="46">
                <c:v>41333</c:v>
              </c:pt>
              <c:pt idx="47">
                <c:v>41305</c:v>
              </c:pt>
              <c:pt idx="48">
                <c:v>41274</c:v>
              </c:pt>
              <c:pt idx="49">
                <c:v>41243</c:v>
              </c:pt>
              <c:pt idx="50">
                <c:v>41213</c:v>
              </c:pt>
              <c:pt idx="51">
                <c:v>41182</c:v>
              </c:pt>
              <c:pt idx="52">
                <c:v>41152</c:v>
              </c:pt>
              <c:pt idx="53">
                <c:v>41121</c:v>
              </c:pt>
              <c:pt idx="54">
                <c:v>41090</c:v>
              </c:pt>
              <c:pt idx="55">
                <c:v>41060</c:v>
              </c:pt>
              <c:pt idx="56">
                <c:v>41029</c:v>
              </c:pt>
              <c:pt idx="57">
                <c:v>40999</c:v>
              </c:pt>
              <c:pt idx="58">
                <c:v>40968</c:v>
              </c:pt>
              <c:pt idx="59">
                <c:v>40939</c:v>
              </c:pt>
              <c:pt idx="60">
                <c:v>40908</c:v>
              </c:pt>
              <c:pt idx="61">
                <c:v>40877</c:v>
              </c:pt>
              <c:pt idx="62">
                <c:v>40847</c:v>
              </c:pt>
              <c:pt idx="63">
                <c:v>40816</c:v>
              </c:pt>
              <c:pt idx="64">
                <c:v>40786</c:v>
              </c:pt>
              <c:pt idx="65">
                <c:v>40755</c:v>
              </c:pt>
              <c:pt idx="66">
                <c:v>40724</c:v>
              </c:pt>
              <c:pt idx="67">
                <c:v>40694</c:v>
              </c:pt>
              <c:pt idx="68">
                <c:v>40663</c:v>
              </c:pt>
              <c:pt idx="69">
                <c:v>40633</c:v>
              </c:pt>
              <c:pt idx="70">
                <c:v>40602</c:v>
              </c:pt>
              <c:pt idx="71">
                <c:v>40574</c:v>
              </c:pt>
              <c:pt idx="72">
                <c:v>40543</c:v>
              </c:pt>
              <c:pt idx="73">
                <c:v>40512</c:v>
              </c:pt>
              <c:pt idx="74">
                <c:v>40482</c:v>
              </c:pt>
              <c:pt idx="75">
                <c:v>40451</c:v>
              </c:pt>
              <c:pt idx="76">
                <c:v>40421</c:v>
              </c:pt>
              <c:pt idx="77">
                <c:v>40390</c:v>
              </c:pt>
              <c:pt idx="78">
                <c:v>40359</c:v>
              </c:pt>
              <c:pt idx="79">
                <c:v>40329</c:v>
              </c:pt>
              <c:pt idx="80">
                <c:v>40298</c:v>
              </c:pt>
              <c:pt idx="81">
                <c:v>40268</c:v>
              </c:pt>
              <c:pt idx="82">
                <c:v>40237</c:v>
              </c:pt>
              <c:pt idx="83">
                <c:v>40209</c:v>
              </c:pt>
              <c:pt idx="84">
                <c:v>40178</c:v>
              </c:pt>
              <c:pt idx="85">
                <c:v>40147</c:v>
              </c:pt>
              <c:pt idx="86">
                <c:v>40117</c:v>
              </c:pt>
              <c:pt idx="87">
                <c:v>40086</c:v>
              </c:pt>
              <c:pt idx="88">
                <c:v>40056</c:v>
              </c:pt>
              <c:pt idx="89">
                <c:v>40025</c:v>
              </c:pt>
              <c:pt idx="90">
                <c:v>39994</c:v>
              </c:pt>
              <c:pt idx="91">
                <c:v>39964</c:v>
              </c:pt>
              <c:pt idx="92">
                <c:v>39933</c:v>
              </c:pt>
              <c:pt idx="93">
                <c:v>39903</c:v>
              </c:pt>
              <c:pt idx="94">
                <c:v>39872</c:v>
              </c:pt>
              <c:pt idx="95">
                <c:v>39844</c:v>
              </c:pt>
            </c:numLit>
          </c:cat>
          <c:val>
            <c:numLit>
              <c:formatCode>General</c:formatCode>
              <c:ptCount val="99"/>
              <c:pt idx="0">
                <c:v>7.583408577933648</c:v>
              </c:pt>
              <c:pt idx="1">
                <c:v>7.6601114520854798</c:v>
              </c:pt>
              <c:pt idx="2">
                <c:v>7.3693632232997359</c:v>
              </c:pt>
              <c:pt idx="3">
                <c:v>6.0211064661127107</c:v>
              </c:pt>
              <c:pt idx="4">
                <c:v>5.4860286571385899</c:v>
              </c:pt>
              <c:pt idx="5">
                <c:v>5.5856356269435361</c:v>
              </c:pt>
              <c:pt idx="6">
                <c:v>4.0835174218056203</c:v>
              </c:pt>
              <c:pt idx="7">
                <c:v>4.6175255247586593</c:v>
              </c:pt>
              <c:pt idx="8">
                <c:v>4.5263759314558696</c:v>
              </c:pt>
              <c:pt idx="9">
                <c:v>4.8094920398314356</c:v>
              </c:pt>
              <c:pt idx="10">
                <c:v>4.2395299615883975</c:v>
              </c:pt>
              <c:pt idx="11">
                <c:v>4.851522245658348</c:v>
              </c:pt>
              <c:pt idx="12">
                <c:v>6.7762031685657247</c:v>
              </c:pt>
              <c:pt idx="13">
                <c:v>6.7419882075226534</c:v>
              </c:pt>
              <c:pt idx="14">
                <c:v>6.9345303753496985</c:v>
              </c:pt>
              <c:pt idx="15">
                <c:v>6.9262625016555202</c:v>
              </c:pt>
              <c:pt idx="16">
                <c:v>7.0050773285731998</c:v>
              </c:pt>
              <c:pt idx="17">
                <c:v>7.2503305840393706</c:v>
              </c:pt>
              <c:pt idx="18">
                <c:v>7.1808833020944025</c:v>
              </c:pt>
              <c:pt idx="19">
                <c:v>6.4784745305539495</c:v>
              </c:pt>
              <c:pt idx="20">
                <c:v>6.4927836585244973</c:v>
              </c:pt>
              <c:pt idx="21">
                <c:v>6.025931438507989</c:v>
              </c:pt>
              <c:pt idx="22">
                <c:v>6.0899218582836712</c:v>
              </c:pt>
              <c:pt idx="23">
                <c:v>4.9477666885512761</c:v>
              </c:pt>
              <c:pt idx="24">
                <c:v>3.5096081718880239</c:v>
              </c:pt>
              <c:pt idx="25">
                <c:v>3.9096320304696297</c:v>
              </c:pt>
              <c:pt idx="26">
                <c:v>3.9196183983600714</c:v>
              </c:pt>
              <c:pt idx="27">
                <c:v>4.189491778359379</c:v>
              </c:pt>
              <c:pt idx="28">
                <c:v>3.9333212354589877</c:v>
              </c:pt>
              <c:pt idx="29">
                <c:v>3.6037940957470265</c:v>
              </c:pt>
              <c:pt idx="30">
                <c:v>3.9071919420114627</c:v>
              </c:pt>
              <c:pt idx="31">
                <c:v>5.9381317122417725</c:v>
              </c:pt>
              <c:pt idx="32">
                <c:v>6.0237288233822444</c:v>
              </c:pt>
              <c:pt idx="33">
                <c:v>6.3998594258471542</c:v>
              </c:pt>
              <c:pt idx="34">
                <c:v>6.4862641169538335</c:v>
              </c:pt>
              <c:pt idx="35">
                <c:v>6.4971734647194799</c:v>
              </c:pt>
              <c:pt idx="36">
                <c:v>6.2356047954085971</c:v>
              </c:pt>
              <c:pt idx="37">
                <c:v>6.1680570334043017</c:v>
              </c:pt>
              <c:pt idx="38">
                <c:v>6.1136923807996277</c:v>
              </c:pt>
              <c:pt idx="39">
                <c:v>5.8891554197576337</c:v>
              </c:pt>
              <c:pt idx="40">
                <c:v>5.9284425950492681</c:v>
              </c:pt>
              <c:pt idx="41">
                <c:v>5.8421143256756833</c:v>
              </c:pt>
              <c:pt idx="42">
                <c:v>6.5079664260617225</c:v>
              </c:pt>
              <c:pt idx="43">
                <c:v>4.3448297728617771</c:v>
              </c:pt>
              <c:pt idx="44">
                <c:v>3.7261506433241154</c:v>
              </c:pt>
              <c:pt idx="45">
                <c:v>3.7167900309085686</c:v>
              </c:pt>
              <c:pt idx="46">
                <c:v>3.7965734308131589</c:v>
              </c:pt>
              <c:pt idx="47">
                <c:v>3.7994611673091514</c:v>
              </c:pt>
              <c:pt idx="48">
                <c:v>3.6456174357570847</c:v>
              </c:pt>
              <c:pt idx="49">
                <c:v>3.9548114997469463</c:v>
              </c:pt>
              <c:pt idx="50">
                <c:v>5.3157439955983561</c:v>
              </c:pt>
              <c:pt idx="51">
                <c:v>5.3708433925077701</c:v>
              </c:pt>
              <c:pt idx="52">
                <c:v>5.9234709408970465</c:v>
              </c:pt>
              <c:pt idx="53">
                <c:v>6.5178763996275615</c:v>
              </c:pt>
              <c:pt idx="54">
                <c:v>5.9557900256072172</c:v>
              </c:pt>
              <c:pt idx="55">
                <c:v>6.1684496225471772</c:v>
              </c:pt>
              <c:pt idx="56">
                <c:v>5.9570161367848931</c:v>
              </c:pt>
              <c:pt idx="57">
                <c:v>6.0961466296564817</c:v>
              </c:pt>
              <c:pt idx="58">
                <c:v>6.0934934713077658</c:v>
              </c:pt>
              <c:pt idx="59">
                <c:v>6.0893201576890661</c:v>
              </c:pt>
              <c:pt idx="60">
                <c:v>5.8761040080512963</c:v>
              </c:pt>
              <c:pt idx="61">
                <c:v>5.2305941208672282</c:v>
              </c:pt>
              <c:pt idx="62">
                <c:v>5.3724695407100631</c:v>
              </c:pt>
              <c:pt idx="63">
                <c:v>5.0333639352316286</c:v>
              </c:pt>
              <c:pt idx="64">
                <c:v>4.8665355304312925</c:v>
              </c:pt>
              <c:pt idx="65">
                <c:v>4.8068799739369927</c:v>
              </c:pt>
              <c:pt idx="66">
                <c:v>4.6433087541782623</c:v>
              </c:pt>
              <c:pt idx="67">
                <c:v>4.3393332390013954</c:v>
              </c:pt>
              <c:pt idx="68">
                <c:v>4.6887221332667108</c:v>
              </c:pt>
              <c:pt idx="69">
                <c:v>4.485159878204235</c:v>
              </c:pt>
              <c:pt idx="70">
                <c:v>5.579817659288012</c:v>
              </c:pt>
              <c:pt idx="71">
                <c:v>5.6160473450969022</c:v>
              </c:pt>
              <c:pt idx="72">
                <c:v>5.8583693929011211</c:v>
              </c:pt>
              <c:pt idx="73">
                <c:v>5.8941065863003992</c:v>
              </c:pt>
              <c:pt idx="74">
                <c:v>4.7592080766338301</c:v>
              </c:pt>
              <c:pt idx="75">
                <c:v>4.7088555509733165</c:v>
              </c:pt>
              <c:pt idx="76">
                <c:v>5.255881774910141</c:v>
              </c:pt>
              <c:pt idx="77">
                <c:v>6.0268559240665782</c:v>
              </c:pt>
              <c:pt idx="78">
                <c:v>6.8812121125494308</c:v>
              </c:pt>
              <c:pt idx="79">
                <c:v>6.9067412682463205</c:v>
              </c:pt>
              <c:pt idx="80">
                <c:v>7.1300082275229979</c:v>
              </c:pt>
              <c:pt idx="81">
                <c:v>7.0218849189478831</c:v>
              </c:pt>
              <c:pt idx="82">
                <c:v>8.4907596513520609</c:v>
              </c:pt>
              <c:pt idx="83">
                <c:v>9.898524468965725</c:v>
              </c:pt>
              <c:pt idx="84">
                <c:v>10.829655378832232</c:v>
              </c:pt>
            </c:numLit>
          </c:val>
          <c:smooth val="0"/>
        </c:ser>
        <c:ser>
          <c:idx val="3"/>
          <c:order val="3"/>
          <c:tx>
            <c:v>1 YEAR VOL Annualised Benchmark (Right Hand Scale)</c:v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Lit>
              <c:formatCode>General</c:formatCode>
              <c:ptCount val="99"/>
              <c:pt idx="0">
                <c:v>42735</c:v>
              </c:pt>
              <c:pt idx="1">
                <c:v>42704</c:v>
              </c:pt>
              <c:pt idx="2">
                <c:v>42674</c:v>
              </c:pt>
              <c:pt idx="3">
                <c:v>42643</c:v>
              </c:pt>
              <c:pt idx="4">
                <c:v>42613</c:v>
              </c:pt>
              <c:pt idx="5">
                <c:v>42582</c:v>
              </c:pt>
              <c:pt idx="6">
                <c:v>42551</c:v>
              </c:pt>
              <c:pt idx="7">
                <c:v>42521</c:v>
              </c:pt>
              <c:pt idx="8">
                <c:v>42490</c:v>
              </c:pt>
              <c:pt idx="9">
                <c:v>42460</c:v>
              </c:pt>
              <c:pt idx="10">
                <c:v>42429</c:v>
              </c:pt>
              <c:pt idx="11">
                <c:v>42400</c:v>
              </c:pt>
              <c:pt idx="12">
                <c:v>42369</c:v>
              </c:pt>
              <c:pt idx="13">
                <c:v>42338</c:v>
              </c:pt>
              <c:pt idx="14">
                <c:v>42308</c:v>
              </c:pt>
              <c:pt idx="15">
                <c:v>42277</c:v>
              </c:pt>
              <c:pt idx="16">
                <c:v>42247</c:v>
              </c:pt>
              <c:pt idx="17">
                <c:v>42216</c:v>
              </c:pt>
              <c:pt idx="18">
                <c:v>42185</c:v>
              </c:pt>
              <c:pt idx="19">
                <c:v>42155</c:v>
              </c:pt>
              <c:pt idx="20">
                <c:v>42124</c:v>
              </c:pt>
              <c:pt idx="21">
                <c:v>42094</c:v>
              </c:pt>
              <c:pt idx="22">
                <c:v>42063</c:v>
              </c:pt>
              <c:pt idx="23">
                <c:v>42035</c:v>
              </c:pt>
              <c:pt idx="24">
                <c:v>42004</c:v>
              </c:pt>
              <c:pt idx="25">
                <c:v>41973</c:v>
              </c:pt>
              <c:pt idx="26">
                <c:v>41943</c:v>
              </c:pt>
              <c:pt idx="27">
                <c:v>41912</c:v>
              </c:pt>
              <c:pt idx="28">
                <c:v>41882</c:v>
              </c:pt>
              <c:pt idx="29">
                <c:v>41851</c:v>
              </c:pt>
              <c:pt idx="30">
                <c:v>41820</c:v>
              </c:pt>
              <c:pt idx="31">
                <c:v>41790</c:v>
              </c:pt>
              <c:pt idx="32">
                <c:v>41759</c:v>
              </c:pt>
              <c:pt idx="33">
                <c:v>41729</c:v>
              </c:pt>
              <c:pt idx="34">
                <c:v>41698</c:v>
              </c:pt>
              <c:pt idx="35">
                <c:v>41670</c:v>
              </c:pt>
              <c:pt idx="36">
                <c:v>41639</c:v>
              </c:pt>
              <c:pt idx="37">
                <c:v>41608</c:v>
              </c:pt>
              <c:pt idx="38">
                <c:v>41578</c:v>
              </c:pt>
              <c:pt idx="39">
                <c:v>41547</c:v>
              </c:pt>
              <c:pt idx="40">
                <c:v>41517</c:v>
              </c:pt>
              <c:pt idx="41">
                <c:v>41486</c:v>
              </c:pt>
              <c:pt idx="42">
                <c:v>41455</c:v>
              </c:pt>
              <c:pt idx="43">
                <c:v>41425</c:v>
              </c:pt>
              <c:pt idx="44">
                <c:v>41394</c:v>
              </c:pt>
              <c:pt idx="45">
                <c:v>41364</c:v>
              </c:pt>
              <c:pt idx="46">
                <c:v>41333</c:v>
              </c:pt>
              <c:pt idx="47">
                <c:v>41305</c:v>
              </c:pt>
              <c:pt idx="48">
                <c:v>41274</c:v>
              </c:pt>
              <c:pt idx="49">
                <c:v>41243</c:v>
              </c:pt>
              <c:pt idx="50">
                <c:v>41213</c:v>
              </c:pt>
              <c:pt idx="51">
                <c:v>41182</c:v>
              </c:pt>
              <c:pt idx="52">
                <c:v>41152</c:v>
              </c:pt>
              <c:pt idx="53">
                <c:v>41121</c:v>
              </c:pt>
              <c:pt idx="54">
                <c:v>41090</c:v>
              </c:pt>
              <c:pt idx="55">
                <c:v>41060</c:v>
              </c:pt>
              <c:pt idx="56">
                <c:v>41029</c:v>
              </c:pt>
              <c:pt idx="57">
                <c:v>40999</c:v>
              </c:pt>
              <c:pt idx="58">
                <c:v>40968</c:v>
              </c:pt>
              <c:pt idx="59">
                <c:v>40939</c:v>
              </c:pt>
              <c:pt idx="60">
                <c:v>40908</c:v>
              </c:pt>
              <c:pt idx="61">
                <c:v>40877</c:v>
              </c:pt>
              <c:pt idx="62">
                <c:v>40847</c:v>
              </c:pt>
              <c:pt idx="63">
                <c:v>40816</c:v>
              </c:pt>
              <c:pt idx="64">
                <c:v>40786</c:v>
              </c:pt>
              <c:pt idx="65">
                <c:v>40755</c:v>
              </c:pt>
              <c:pt idx="66">
                <c:v>40724</c:v>
              </c:pt>
              <c:pt idx="67">
                <c:v>40694</c:v>
              </c:pt>
              <c:pt idx="68">
                <c:v>40663</c:v>
              </c:pt>
              <c:pt idx="69">
                <c:v>40633</c:v>
              </c:pt>
              <c:pt idx="70">
                <c:v>40602</c:v>
              </c:pt>
              <c:pt idx="71">
                <c:v>40574</c:v>
              </c:pt>
              <c:pt idx="72">
                <c:v>40543</c:v>
              </c:pt>
              <c:pt idx="73">
                <c:v>40512</c:v>
              </c:pt>
              <c:pt idx="74">
                <c:v>40482</c:v>
              </c:pt>
              <c:pt idx="75">
                <c:v>40451</c:v>
              </c:pt>
              <c:pt idx="76">
                <c:v>40421</c:v>
              </c:pt>
              <c:pt idx="77">
                <c:v>40390</c:v>
              </c:pt>
              <c:pt idx="78">
                <c:v>40359</c:v>
              </c:pt>
              <c:pt idx="79">
                <c:v>40329</c:v>
              </c:pt>
              <c:pt idx="80">
                <c:v>40298</c:v>
              </c:pt>
              <c:pt idx="81">
                <c:v>40268</c:v>
              </c:pt>
              <c:pt idx="82">
                <c:v>40237</c:v>
              </c:pt>
              <c:pt idx="83">
                <c:v>40209</c:v>
              </c:pt>
              <c:pt idx="84">
                <c:v>40178</c:v>
              </c:pt>
              <c:pt idx="85">
                <c:v>40147</c:v>
              </c:pt>
              <c:pt idx="86">
                <c:v>40117</c:v>
              </c:pt>
              <c:pt idx="87">
                <c:v>40086</c:v>
              </c:pt>
              <c:pt idx="88">
                <c:v>40056</c:v>
              </c:pt>
              <c:pt idx="89">
                <c:v>40025</c:v>
              </c:pt>
              <c:pt idx="90">
                <c:v>39994</c:v>
              </c:pt>
              <c:pt idx="91">
                <c:v>39964</c:v>
              </c:pt>
              <c:pt idx="92">
                <c:v>39933</c:v>
              </c:pt>
              <c:pt idx="93">
                <c:v>39903</c:v>
              </c:pt>
              <c:pt idx="94">
                <c:v>39872</c:v>
              </c:pt>
              <c:pt idx="95">
                <c:v>39844</c:v>
              </c:pt>
            </c:numLit>
          </c:cat>
          <c:val>
            <c:numLit>
              <c:formatCode>General</c:formatCode>
              <c:ptCount val="99"/>
              <c:pt idx="0">
                <c:v>6.6523123478375004</c:v>
              </c:pt>
              <c:pt idx="1">
                <c:v>6.7269105367104585</c:v>
              </c:pt>
              <c:pt idx="2">
                <c:v>6.5419546185605082</c:v>
              </c:pt>
              <c:pt idx="3">
                <c:v>5.1371960577576399</c:v>
              </c:pt>
              <c:pt idx="4">
                <c:v>4.9942694434988377</c:v>
              </c:pt>
              <c:pt idx="5">
                <c:v>4.6775006730613251</c:v>
              </c:pt>
              <c:pt idx="6">
                <c:v>3.4335801619051929</c:v>
              </c:pt>
              <c:pt idx="7">
                <c:v>4.0471157419274855</c:v>
              </c:pt>
              <c:pt idx="8">
                <c:v>3.9966639930547339</c:v>
              </c:pt>
              <c:pt idx="9">
                <c:v>4.2300866572525226</c:v>
              </c:pt>
              <c:pt idx="10">
                <c:v>3.5061909043079686</c:v>
              </c:pt>
              <c:pt idx="11">
                <c:v>3.7840225488914037</c:v>
              </c:pt>
              <c:pt idx="12">
                <c:v>5.4493476932428182</c:v>
              </c:pt>
              <c:pt idx="13">
                <c:v>5.4256704966690119</c:v>
              </c:pt>
              <c:pt idx="14">
                <c:v>5.625190160968546</c:v>
              </c:pt>
              <c:pt idx="15">
                <c:v>5.648307932886719</c:v>
              </c:pt>
              <c:pt idx="16">
                <c:v>5.6868076736223614</c:v>
              </c:pt>
              <c:pt idx="17">
                <c:v>5.9484460372579822</c:v>
              </c:pt>
              <c:pt idx="18">
                <c:v>5.92877717596647</c:v>
              </c:pt>
              <c:pt idx="19">
                <c:v>5.2126266468029714</c:v>
              </c:pt>
              <c:pt idx="20">
                <c:v>5.223812916827935</c:v>
              </c:pt>
              <c:pt idx="21">
                <c:v>4.7173207590625958</c:v>
              </c:pt>
              <c:pt idx="22">
                <c:v>4.8321087431921121</c:v>
              </c:pt>
              <c:pt idx="23">
                <c:v>4.0700564180107541</c:v>
              </c:pt>
              <c:pt idx="24">
                <c:v>3.0394956363622421</c:v>
              </c:pt>
              <c:pt idx="25">
                <c:v>3.4477611210403087</c:v>
              </c:pt>
              <c:pt idx="26">
                <c:v>3.4901301954261643</c:v>
              </c:pt>
              <c:pt idx="27">
                <c:v>3.8334243178391421</c:v>
              </c:pt>
              <c:pt idx="28">
                <c:v>3.652306218204898</c:v>
              </c:pt>
              <c:pt idx="29">
                <c:v>3.5828220029327915</c:v>
              </c:pt>
              <c:pt idx="30">
                <c:v>3.8673881762799378</c:v>
              </c:pt>
              <c:pt idx="31">
                <c:v>5.9334246592457172</c:v>
              </c:pt>
              <c:pt idx="32">
                <c:v>5.9512469538826398</c:v>
              </c:pt>
              <c:pt idx="33">
                <c:v>6.3598331113435647</c:v>
              </c:pt>
              <c:pt idx="34">
                <c:v>6.4747036216154141</c:v>
              </c:pt>
              <c:pt idx="35">
                <c:v>6.4957807774588181</c:v>
              </c:pt>
              <c:pt idx="36">
                <c:v>6.3198237090332077</c:v>
              </c:pt>
              <c:pt idx="37">
                <c:v>6.2459017923063946</c:v>
              </c:pt>
              <c:pt idx="38">
                <c:v>6.2002051901737296</c:v>
              </c:pt>
              <c:pt idx="39">
                <c:v>5.9525301758825853</c:v>
              </c:pt>
              <c:pt idx="40">
                <c:v>5.9739785944601413</c:v>
              </c:pt>
              <c:pt idx="41">
                <c:v>5.8644461646503796</c:v>
              </c:pt>
              <c:pt idx="42">
                <c:v>6.4705261646067669</c:v>
              </c:pt>
              <c:pt idx="43">
                <c:v>4.2083666276685356</c:v>
              </c:pt>
              <c:pt idx="44">
                <c:v>3.5377010597797875</c:v>
              </c:pt>
              <c:pt idx="45">
                <c:v>3.5216243477222586</c:v>
              </c:pt>
              <c:pt idx="46">
                <c:v>3.5892343390672834</c:v>
              </c:pt>
              <c:pt idx="47">
                <c:v>3.6401365690857306</c:v>
              </c:pt>
              <c:pt idx="48">
                <c:v>3.3209034915215465</c:v>
              </c:pt>
              <c:pt idx="49">
                <c:v>3.2911953249035015</c:v>
              </c:pt>
              <c:pt idx="50">
                <c:v>3.8016958935015652</c:v>
              </c:pt>
              <c:pt idx="51">
                <c:v>3.8635821030057933</c:v>
              </c:pt>
              <c:pt idx="52">
                <c:v>4.3801702782730558</c:v>
              </c:pt>
              <c:pt idx="53">
                <c:v>4.8022147668202697</c:v>
              </c:pt>
              <c:pt idx="54">
                <c:v>3.9502183483954405</c:v>
              </c:pt>
              <c:pt idx="55">
                <c:v>4.1304832243536183</c:v>
              </c:pt>
              <c:pt idx="56">
                <c:v>4.0987833560704319</c:v>
              </c:pt>
              <c:pt idx="57">
                <c:v>4.1441153056673832</c:v>
              </c:pt>
              <c:pt idx="58">
                <c:v>4.0910838009831414</c:v>
              </c:pt>
              <c:pt idx="59">
                <c:v>4.0399123340323451</c:v>
              </c:pt>
              <c:pt idx="60">
                <c:v>3.9492235523792099</c:v>
              </c:pt>
              <c:pt idx="61">
                <c:v>3.7150897252511492</c:v>
              </c:pt>
              <c:pt idx="62">
                <c:v>4.4151207986494159</c:v>
              </c:pt>
              <c:pt idx="63">
                <c:v>4.0923546604206553</c:v>
              </c:pt>
              <c:pt idx="64">
                <c:v>3.9490283615086881</c:v>
              </c:pt>
              <c:pt idx="65">
                <c:v>5.066743694589916</c:v>
              </c:pt>
              <c:pt idx="66">
                <c:v>4.9552421736984753</c:v>
              </c:pt>
              <c:pt idx="67">
                <c:v>4.799940103792963</c:v>
              </c:pt>
              <c:pt idx="68">
                <c:v>4.9051019357399692</c:v>
              </c:pt>
              <c:pt idx="69">
                <c:v>4.7855920915459</c:v>
              </c:pt>
              <c:pt idx="70">
                <c:v>5.171292552802119</c:v>
              </c:pt>
              <c:pt idx="71">
                <c:v>5.2057628323490359</c:v>
              </c:pt>
              <c:pt idx="72">
                <c:v>5.4659575251429331</c:v>
              </c:pt>
              <c:pt idx="73">
                <c:v>5.6303544885439187</c:v>
              </c:pt>
              <c:pt idx="74">
                <c:v>4.7067079790443769</c:v>
              </c:pt>
              <c:pt idx="75">
                <c:v>4.5289623535640038</c:v>
              </c:pt>
              <c:pt idx="76">
                <c:v>4.5819018976839736</c:v>
              </c:pt>
              <c:pt idx="77">
                <c:v>5.176861179002838</c:v>
              </c:pt>
              <c:pt idx="78">
                <c:v>5.4975653702343541</c:v>
              </c:pt>
              <c:pt idx="79">
                <c:v>5.7098941904965859</c:v>
              </c:pt>
              <c:pt idx="80">
                <c:v>5.5846903823458884</c:v>
              </c:pt>
              <c:pt idx="81">
                <c:v>5.4413938165387963</c:v>
              </c:pt>
              <c:pt idx="82">
                <c:v>6.374950980203689</c:v>
              </c:pt>
              <c:pt idx="83">
                <c:v>6.3653613408823855</c:v>
              </c:pt>
              <c:pt idx="84">
                <c:v>8.1310203336768669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150400"/>
        <c:axId val="238132224"/>
      </c:lineChart>
      <c:catAx>
        <c:axId val="238129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8130688"/>
        <c:crosses val="autoZero"/>
        <c:auto val="1"/>
        <c:lblAlgn val="ctr"/>
        <c:lblOffset val="100"/>
        <c:noMultiLvlLbl val="1"/>
      </c:catAx>
      <c:valAx>
        <c:axId val="238130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129152"/>
        <c:crosses val="autoZero"/>
        <c:crossBetween val="between"/>
      </c:valAx>
      <c:valAx>
        <c:axId val="2381322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38150400"/>
        <c:crosses val="max"/>
        <c:crossBetween val="between"/>
      </c:valAx>
      <c:catAx>
        <c:axId val="238150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8132224"/>
        <c:crosses val="autoZero"/>
        <c:auto val="1"/>
        <c:lblAlgn val="ctr"/>
        <c:lblOffset val="100"/>
        <c:noMultiLvlLbl val="1"/>
      </c:catAx>
      <c:spPr>
        <a:solidFill>
          <a:schemeClr val="tx1">
            <a:lumMod val="50000"/>
            <a:lumOff val="50000"/>
          </a:schemeClr>
        </a:solidFill>
      </c:spPr>
    </c:plotArea>
    <c:legend>
      <c:legendPos val="r"/>
      <c:layout>
        <c:manualLayout>
          <c:xMode val="edge"/>
          <c:yMode val="edge"/>
          <c:x val="0.85366482427910162"/>
          <c:y val="0.18563848906458733"/>
          <c:w val="0.1403597399945436"/>
          <c:h val="0.55127247189179773"/>
        </c:manualLayout>
      </c:layout>
      <c:overlay val="0"/>
    </c:legend>
    <c:plotVisOnly val="1"/>
    <c:dispBlanksAs val="gap"/>
    <c:showDLblsOverMax val="0"/>
  </c:chart>
  <c:spPr>
    <a:solidFill>
      <a:schemeClr val="tx1">
        <a:lumMod val="50000"/>
        <a:lumOff val="50000"/>
      </a:schemeClr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Fund Rtns (LHS)</c:v>
          </c:tx>
          <c:invertIfNegative val="0"/>
          <c:cat>
            <c:numLit>
              <c:formatCode>General</c:formatCode>
              <c:ptCount val="8"/>
              <c:pt idx="0">
                <c:v>40178</c:v>
              </c:pt>
              <c:pt idx="1">
                <c:v>40543</c:v>
              </c:pt>
              <c:pt idx="2">
                <c:v>40908</c:v>
              </c:pt>
              <c:pt idx="3">
                <c:v>41274</c:v>
              </c:pt>
              <c:pt idx="4">
                <c:v>41639</c:v>
              </c:pt>
              <c:pt idx="5">
                <c:v>42004</c:v>
              </c:pt>
              <c:pt idx="6">
                <c:v>42369</c:v>
              </c:pt>
              <c:pt idx="7">
                <c:v>42735</c:v>
              </c:pt>
            </c:numLit>
          </c:cat>
          <c:val>
            <c:numLit>
              <c:formatCode>General</c:formatCode>
              <c:ptCount val="8"/>
              <c:pt idx="0">
                <c:v>21.740925203193129</c:v>
              </c:pt>
              <c:pt idx="1">
                <c:v>11.002019241156603</c:v>
              </c:pt>
              <c:pt idx="2">
                <c:v>6.0628135052814613</c:v>
              </c:pt>
              <c:pt idx="3">
                <c:v>16.639987038562953</c:v>
              </c:pt>
              <c:pt idx="4">
                <c:v>2.1003524102258808</c:v>
              </c:pt>
              <c:pt idx="5">
                <c:v>12.955621383556725</c:v>
              </c:pt>
              <c:pt idx="6">
                <c:v>1.3208555323447557</c:v>
              </c:pt>
              <c:pt idx="7">
                <c:v>11.981368358954869</c:v>
              </c:pt>
            </c:numLit>
          </c:val>
        </c:ser>
        <c:ser>
          <c:idx val="1"/>
          <c:order val="1"/>
          <c:tx>
            <c:v>Benchmark Rtns (LHS)</c:v>
          </c:tx>
          <c:invertIfNegative val="0"/>
          <c:cat>
            <c:numLit>
              <c:formatCode>General</c:formatCode>
              <c:ptCount val="8"/>
              <c:pt idx="0">
                <c:v>40178</c:v>
              </c:pt>
              <c:pt idx="1">
                <c:v>40543</c:v>
              </c:pt>
              <c:pt idx="2">
                <c:v>40908</c:v>
              </c:pt>
              <c:pt idx="3">
                <c:v>41274</c:v>
              </c:pt>
              <c:pt idx="4">
                <c:v>41639</c:v>
              </c:pt>
              <c:pt idx="5">
                <c:v>42004</c:v>
              </c:pt>
              <c:pt idx="6">
                <c:v>42369</c:v>
              </c:pt>
              <c:pt idx="7">
                <c:v>42735</c:v>
              </c:pt>
            </c:numLit>
          </c:cat>
          <c:val>
            <c:numLit>
              <c:formatCode>General</c:formatCode>
              <c:ptCount val="8"/>
              <c:pt idx="0">
                <c:v>14.413482466232953</c:v>
              </c:pt>
              <c:pt idx="1">
                <c:v>7.9367320673925823</c:v>
              </c:pt>
              <c:pt idx="2">
                <c:v>5.055740887581206</c:v>
              </c:pt>
              <c:pt idx="3">
                <c:v>13.158482651383551</c:v>
              </c:pt>
              <c:pt idx="4">
                <c:v>0.3878177679893513</c:v>
              </c:pt>
              <c:pt idx="5">
                <c:v>10.196017416879876</c:v>
              </c:pt>
              <c:pt idx="6">
                <c:v>-0.45632581745962408</c:v>
              </c:pt>
              <c:pt idx="7">
                <c:v>8.7212751541322131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853184"/>
        <c:axId val="241854720"/>
      </c:barChart>
      <c:lineChart>
        <c:grouping val="standard"/>
        <c:varyColors val="0"/>
        <c:ser>
          <c:idx val="2"/>
          <c:order val="2"/>
          <c:tx>
            <c:v>Std Dev Fund (RHS)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Lit>
              <c:formatCode>General</c:formatCode>
              <c:ptCount val="8"/>
              <c:pt idx="0">
                <c:v>40178</c:v>
              </c:pt>
              <c:pt idx="1">
                <c:v>40543</c:v>
              </c:pt>
              <c:pt idx="2">
                <c:v>40908</c:v>
              </c:pt>
              <c:pt idx="3">
                <c:v>41274</c:v>
              </c:pt>
              <c:pt idx="4">
                <c:v>41639</c:v>
              </c:pt>
              <c:pt idx="5">
                <c:v>42004</c:v>
              </c:pt>
              <c:pt idx="6">
                <c:v>42369</c:v>
              </c:pt>
              <c:pt idx="7">
                <c:v>42735</c:v>
              </c:pt>
            </c:numLit>
          </c:cat>
          <c:val>
            <c:numLit>
              <c:formatCode>General</c:formatCode>
              <c:ptCount val="8"/>
              <c:pt idx="0">
                <c:v>10.829655378832229</c:v>
              </c:pt>
              <c:pt idx="1">
                <c:v>5.8583693929011265</c:v>
              </c:pt>
              <c:pt idx="2">
                <c:v>5.8761040080512936</c:v>
              </c:pt>
              <c:pt idx="3">
                <c:v>3.645617435757091</c:v>
              </c:pt>
              <c:pt idx="4">
                <c:v>6.2356047954085971</c:v>
              </c:pt>
              <c:pt idx="5">
                <c:v>3.5096081718880239</c:v>
              </c:pt>
              <c:pt idx="6">
                <c:v>6.7762031685657229</c:v>
              </c:pt>
              <c:pt idx="7">
                <c:v>7.583408577933648</c:v>
              </c:pt>
            </c:numLit>
          </c:val>
          <c:smooth val="0"/>
        </c:ser>
        <c:ser>
          <c:idx val="3"/>
          <c:order val="3"/>
          <c:tx>
            <c:v>Std Dev Benchmark (RHS)</c:v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Lit>
              <c:formatCode>General</c:formatCode>
              <c:ptCount val="8"/>
              <c:pt idx="0">
                <c:v>40178</c:v>
              </c:pt>
              <c:pt idx="1">
                <c:v>40543</c:v>
              </c:pt>
              <c:pt idx="2">
                <c:v>40908</c:v>
              </c:pt>
              <c:pt idx="3">
                <c:v>41274</c:v>
              </c:pt>
              <c:pt idx="4">
                <c:v>41639</c:v>
              </c:pt>
              <c:pt idx="5">
                <c:v>42004</c:v>
              </c:pt>
              <c:pt idx="6">
                <c:v>42369</c:v>
              </c:pt>
              <c:pt idx="7">
                <c:v>42735</c:v>
              </c:pt>
            </c:numLit>
          </c:cat>
          <c:val>
            <c:numLit>
              <c:formatCode>General</c:formatCode>
              <c:ptCount val="8"/>
              <c:pt idx="0">
                <c:v>8.1310203336768634</c:v>
              </c:pt>
              <c:pt idx="1">
                <c:v>5.4659575251429331</c:v>
              </c:pt>
              <c:pt idx="2">
                <c:v>3.9492235523792099</c:v>
              </c:pt>
              <c:pt idx="3">
                <c:v>3.3209034915215456</c:v>
              </c:pt>
              <c:pt idx="4">
                <c:v>6.3198237090332086</c:v>
              </c:pt>
              <c:pt idx="5">
                <c:v>3.0394956363622425</c:v>
              </c:pt>
              <c:pt idx="6">
                <c:v>5.4493476932428173</c:v>
              </c:pt>
              <c:pt idx="7">
                <c:v>6.6523123478375004</c:v>
              </c:pt>
            </c:numLit>
          </c:val>
          <c:smooth val="0"/>
        </c:ser>
        <c:ser>
          <c:idx val="4"/>
          <c:order val="4"/>
          <c:tx>
            <c:v>Tracking Error (RHS)</c:v>
          </c:tx>
          <c:spPr>
            <a:ln>
              <a:solidFill>
                <a:schemeClr val="bg1"/>
              </a:solidFill>
            </a:ln>
          </c:spPr>
          <c:marker>
            <c:symbol val="none"/>
          </c:marker>
          <c:cat>
            <c:numLit>
              <c:formatCode>General</c:formatCode>
              <c:ptCount val="8"/>
              <c:pt idx="0">
                <c:v>40178</c:v>
              </c:pt>
              <c:pt idx="1">
                <c:v>40543</c:v>
              </c:pt>
              <c:pt idx="2">
                <c:v>40908</c:v>
              </c:pt>
              <c:pt idx="3">
                <c:v>41274</c:v>
              </c:pt>
              <c:pt idx="4">
                <c:v>41639</c:v>
              </c:pt>
              <c:pt idx="5">
                <c:v>42004</c:v>
              </c:pt>
              <c:pt idx="6">
                <c:v>42369</c:v>
              </c:pt>
              <c:pt idx="7">
                <c:v>42735</c:v>
              </c:pt>
            </c:numLit>
          </c:cat>
          <c:val>
            <c:numLit>
              <c:formatCode>General</c:formatCode>
              <c:ptCount val="8"/>
              <c:pt idx="0">
                <c:v>5.1754715372549871</c:v>
              </c:pt>
              <c:pt idx="1">
                <c:v>2.3740000594543429</c:v>
              </c:pt>
              <c:pt idx="2">
                <c:v>2.2412224013164828</c:v>
              </c:pt>
              <c:pt idx="3">
                <c:v>1.3117617139191453</c:v>
              </c:pt>
              <c:pt idx="4">
                <c:v>0.32303641433014624</c:v>
              </c:pt>
              <c:pt idx="5">
                <c:v>0.67382681241017561</c:v>
              </c:pt>
              <c:pt idx="6">
                <c:v>1.7143371559335898</c:v>
              </c:pt>
              <c:pt idx="7">
                <c:v>1.4739414927962251</c:v>
              </c:pt>
            </c:numLit>
          </c:val>
          <c:smooth val="0"/>
        </c:ser>
        <c:ser>
          <c:idx val="5"/>
          <c:order val="5"/>
          <c:tx>
            <c:v>Info Ratio (Fund) (RHS)</c:v>
          </c:tx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Lit>
              <c:formatCode>General</c:formatCode>
              <c:ptCount val="8"/>
              <c:pt idx="0">
                <c:v>40178</c:v>
              </c:pt>
              <c:pt idx="1">
                <c:v>40543</c:v>
              </c:pt>
              <c:pt idx="2">
                <c:v>40908</c:v>
              </c:pt>
              <c:pt idx="3">
                <c:v>41274</c:v>
              </c:pt>
              <c:pt idx="4">
                <c:v>41639</c:v>
              </c:pt>
              <c:pt idx="5">
                <c:v>42004</c:v>
              </c:pt>
              <c:pt idx="6">
                <c:v>42369</c:v>
              </c:pt>
              <c:pt idx="7">
                <c:v>42735</c:v>
              </c:pt>
            </c:numLit>
          </c:cat>
          <c:val>
            <c:numLit>
              <c:formatCode>General</c:formatCode>
              <c:ptCount val="8"/>
              <c:pt idx="0">
                <c:v>1.4158019581818762</c:v>
              </c:pt>
              <c:pt idx="1">
                <c:v>1.2911908580442784</c:v>
              </c:pt>
              <c:pt idx="2">
                <c:v>0.44934077809890977</c:v>
              </c:pt>
              <c:pt idx="3">
                <c:v>2.6540676940308963</c:v>
              </c:pt>
              <c:pt idx="4">
                <c:v>5.3013671718331512</c:v>
              </c:pt>
              <c:pt idx="5">
                <c:v>4.0954202413023122</c:v>
              </c:pt>
              <c:pt idx="6">
                <c:v>1.0366580130712773</c:v>
              </c:pt>
              <c:pt idx="7">
                <c:v>2.2118199540186021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853184"/>
        <c:axId val="241854720"/>
      </c:lineChart>
      <c:catAx>
        <c:axId val="241853184"/>
        <c:scaling>
          <c:orientation val="minMax"/>
          <c:max val="42370"/>
          <c:min val="40178"/>
        </c:scaling>
        <c:delete val="0"/>
        <c:axPos val="b"/>
        <c:numFmt formatCode="yyyy" sourceLinked="0"/>
        <c:majorTickMark val="out"/>
        <c:minorTickMark val="none"/>
        <c:tickLblPos val="nextTo"/>
        <c:crossAx val="241854720"/>
        <c:crosses val="autoZero"/>
        <c:auto val="1"/>
        <c:lblAlgn val="ctr"/>
        <c:lblOffset val="100"/>
        <c:noMultiLvlLbl val="1"/>
      </c:catAx>
      <c:valAx>
        <c:axId val="24185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1853184"/>
        <c:crosses val="autoZero"/>
        <c:crossBetween val="between"/>
      </c:valAx>
      <c:spPr>
        <a:solidFill>
          <a:schemeClr val="tx1">
            <a:lumMod val="50000"/>
            <a:lumOff val="50000"/>
          </a:schemeClr>
        </a:solidFill>
      </c:spPr>
    </c:plotArea>
    <c:legend>
      <c:legendPos val="r"/>
      <c:layout>
        <c:manualLayout>
          <c:xMode val="edge"/>
          <c:yMode val="edge"/>
          <c:x val="0.82335808876163208"/>
          <c:y val="0.23402916388794637"/>
          <c:w val="0.16906615366261035"/>
          <c:h val="0.3734472121148304"/>
        </c:manualLayout>
      </c:layout>
      <c:overlay val="0"/>
    </c:legend>
    <c:plotVisOnly val="1"/>
    <c:dispBlanksAs val="gap"/>
    <c:showDLblsOverMax val="0"/>
  </c:chart>
  <c:spPr>
    <a:solidFill>
      <a:schemeClr val="tx1">
        <a:lumMod val="50000"/>
        <a:lumOff val="50000"/>
      </a:schemeClr>
    </a:solid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'Historical Data'!$B$6:$B$18</c:f>
              <c:numCache>
                <c:formatCode>mmm\ yy</c:formatCode>
                <c:ptCount val="13"/>
                <c:pt idx="0">
                  <c:v>42521</c:v>
                </c:pt>
                <c:pt idx="1">
                  <c:v>42551</c:v>
                </c:pt>
                <c:pt idx="2">
                  <c:v>42582</c:v>
                </c:pt>
                <c:pt idx="3">
                  <c:v>42613</c:v>
                </c:pt>
                <c:pt idx="4">
                  <c:v>42643</c:v>
                </c:pt>
                <c:pt idx="5">
                  <c:v>42674</c:v>
                </c:pt>
                <c:pt idx="6">
                  <c:v>42704</c:v>
                </c:pt>
                <c:pt idx="7">
                  <c:v>42735</c:v>
                </c:pt>
                <c:pt idx="8">
                  <c:v>42766</c:v>
                </c:pt>
                <c:pt idx="9">
                  <c:v>42794</c:v>
                </c:pt>
                <c:pt idx="10">
                  <c:v>42825</c:v>
                </c:pt>
                <c:pt idx="11">
                  <c:v>42855</c:v>
                </c:pt>
                <c:pt idx="12">
                  <c:v>42886</c:v>
                </c:pt>
              </c:numCache>
            </c:numRef>
          </c:cat>
          <c:val>
            <c:numRef>
              <c:f>'Historical Data'!$C$6:$C$18</c:f>
              <c:numCache>
                <c:formatCode>0.000_ ;[Red]\-0.000\ </c:formatCode>
                <c:ptCount val="13"/>
                <c:pt idx="0">
                  <c:v>1.0841984858</c:v>
                </c:pt>
                <c:pt idx="1">
                  <c:v>2.9147057102999998</c:v>
                </c:pt>
                <c:pt idx="2">
                  <c:v>2.1804275612000001</c:v>
                </c:pt>
                <c:pt idx="3">
                  <c:v>0.77311382719999999</c:v>
                </c:pt>
                <c:pt idx="4">
                  <c:v>-0.26207888629999998</c:v>
                </c:pt>
                <c:pt idx="5">
                  <c:v>19.3084136292</c:v>
                </c:pt>
                <c:pt idx="6">
                  <c:v>-9.2877619499999994E-2</c:v>
                </c:pt>
                <c:pt idx="7">
                  <c:v>-1.0014259738</c:v>
                </c:pt>
                <c:pt idx="8">
                  <c:v>1.7561093717</c:v>
                </c:pt>
                <c:pt idx="9">
                  <c:v>-0.37919687819999998</c:v>
                </c:pt>
                <c:pt idx="10">
                  <c:v>0.4075291633</c:v>
                </c:pt>
                <c:pt idx="11">
                  <c:v>0.32337536290000002</c:v>
                </c:pt>
                <c:pt idx="12">
                  <c:v>4.9351730000999998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numRef>
              <c:f>'Historical Data'!$B$6:$B$18</c:f>
              <c:numCache>
                <c:formatCode>mmm\ yy</c:formatCode>
                <c:ptCount val="13"/>
                <c:pt idx="0">
                  <c:v>42521</c:v>
                </c:pt>
                <c:pt idx="1">
                  <c:v>42551</c:v>
                </c:pt>
                <c:pt idx="2">
                  <c:v>42582</c:v>
                </c:pt>
                <c:pt idx="3">
                  <c:v>42613</c:v>
                </c:pt>
                <c:pt idx="4">
                  <c:v>42643</c:v>
                </c:pt>
                <c:pt idx="5">
                  <c:v>42674</c:v>
                </c:pt>
                <c:pt idx="6">
                  <c:v>42704</c:v>
                </c:pt>
                <c:pt idx="7">
                  <c:v>42735</c:v>
                </c:pt>
                <c:pt idx="8">
                  <c:v>42766</c:v>
                </c:pt>
                <c:pt idx="9">
                  <c:v>42794</c:v>
                </c:pt>
                <c:pt idx="10">
                  <c:v>42825</c:v>
                </c:pt>
                <c:pt idx="11">
                  <c:v>42855</c:v>
                </c:pt>
                <c:pt idx="12">
                  <c:v>42886</c:v>
                </c:pt>
              </c:numCache>
            </c:numRef>
          </c:cat>
          <c:val>
            <c:numRef>
              <c:f>'Historical Data'!$D$6:$D$18</c:f>
              <c:numCache>
                <c:formatCode>0.000_ ;[Red]\-0.000\ 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885568"/>
        <c:axId val="241887104"/>
      </c:lineChart>
      <c:dateAx>
        <c:axId val="241885568"/>
        <c:scaling>
          <c:orientation val="minMax"/>
        </c:scaling>
        <c:delete val="0"/>
        <c:axPos val="b"/>
        <c:numFmt formatCode="mmm\ yy" sourceLinked="1"/>
        <c:majorTickMark val="out"/>
        <c:minorTickMark val="none"/>
        <c:tickLblPos val="nextTo"/>
        <c:crossAx val="241887104"/>
        <c:crosses val="autoZero"/>
        <c:auto val="1"/>
        <c:lblOffset val="100"/>
        <c:baseTimeUnit val="months"/>
      </c:dateAx>
      <c:valAx>
        <c:axId val="241887104"/>
        <c:scaling>
          <c:orientation val="minMax"/>
        </c:scaling>
        <c:delete val="0"/>
        <c:axPos val="l"/>
        <c:majorGridlines/>
        <c:numFmt formatCode="0.000_ ;[Red]\-0.000\ " sourceLinked="1"/>
        <c:majorTickMark val="out"/>
        <c:minorTickMark val="none"/>
        <c:tickLblPos val="nextTo"/>
        <c:crossAx val="2418855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361950</xdr:colOff>
      <xdr:row>0</xdr:row>
      <xdr:rowOff>171450</xdr:rowOff>
    </xdr:from>
    <xdr:to>
      <xdr:col>5</xdr:col>
      <xdr:colOff>708422</xdr:colOff>
      <xdr:row>4</xdr:row>
      <xdr:rowOff>35719</xdr:rowOff>
    </xdr:to>
    <xdr:sp macro="[0]!btnBOneReturnsRequest_Click" textlink="">
      <xdr:nvSpPr>
        <xdr:cNvPr id="2" name="btnBOneReturnsRequest"/>
        <xdr:cNvSpPr/>
      </xdr:nvSpPr>
      <xdr:spPr>
        <a:xfrm>
          <a:off x="2278856" y="171450"/>
          <a:ext cx="1995488" cy="62626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Request returns from B-One and perform</a:t>
          </a:r>
          <a:r>
            <a:rPr lang="en-GB" sz="1100" baseline="0"/>
            <a:t> the checks</a:t>
          </a:r>
          <a:endParaRPr lang="en-GB" sz="1100"/>
        </a:p>
      </xdr:txBody>
    </xdr:sp>
    <xdr:clientData/>
  </xdr:twoCellAnchor>
  <xdr:twoCellAnchor>
    <xdr:from>
      <xdr:col>3</xdr:col>
      <xdr:colOff>357403</xdr:colOff>
      <xdr:row>4</xdr:row>
      <xdr:rowOff>177519</xdr:rowOff>
    </xdr:from>
    <xdr:to>
      <xdr:col>5</xdr:col>
      <xdr:colOff>684609</xdr:colOff>
      <xdr:row>8</xdr:row>
      <xdr:rowOff>53579</xdr:rowOff>
    </xdr:to>
    <xdr:sp macro="[0]!btnBOneReturnsSaveToIpas_Click" textlink="">
      <xdr:nvSpPr>
        <xdr:cNvPr id="3" name="btnBOneReturnsSave"/>
        <xdr:cNvSpPr/>
      </xdr:nvSpPr>
      <xdr:spPr>
        <a:xfrm>
          <a:off x="2274309" y="939519"/>
          <a:ext cx="1976222" cy="6380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Save</a:t>
          </a:r>
          <a:r>
            <a:rPr lang="en-GB" sz="1100" baseline="0"/>
            <a:t> the returns to iPas</a:t>
          </a:r>
          <a:endParaRPr lang="en-GB" sz="1100"/>
        </a:p>
      </xdr:txBody>
    </xdr:sp>
    <xdr:clientData/>
  </xdr:twoCellAnchor>
  <xdr:twoCellAnchor>
    <xdr:from>
      <xdr:col>3</xdr:col>
      <xdr:colOff>378199</xdr:colOff>
      <xdr:row>8</xdr:row>
      <xdr:rowOff>188259</xdr:rowOff>
    </xdr:from>
    <xdr:to>
      <xdr:col>5</xdr:col>
      <xdr:colOff>676275</xdr:colOff>
      <xdr:row>11</xdr:row>
      <xdr:rowOff>171450</xdr:rowOff>
    </xdr:to>
    <xdr:sp macro="[0]!btnClearTables_Click" textlink="">
      <xdr:nvSpPr>
        <xdr:cNvPr id="4" name="btnBOneReturnsSave"/>
        <xdr:cNvSpPr/>
      </xdr:nvSpPr>
      <xdr:spPr>
        <a:xfrm>
          <a:off x="2292724" y="1712259"/>
          <a:ext cx="1945901" cy="5546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Clear Tables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704850</xdr:colOff>
      <xdr:row>0</xdr:row>
      <xdr:rowOff>66675</xdr:rowOff>
    </xdr:from>
    <xdr:to>
      <xdr:col>6</xdr:col>
      <xdr:colOff>1428750</xdr:colOff>
      <xdr:row>1</xdr:row>
      <xdr:rowOff>123825</xdr:rowOff>
    </xdr:to>
    <xdr:sp macro="[0]!shtRefTables.sbrRefreshRefTables" textlink="">
      <xdr:nvSpPr>
        <xdr:cNvPr id="2" name="Rounded Rectangle 1"/>
        <xdr:cNvSpPr/>
      </xdr:nvSpPr>
      <xdr:spPr>
        <a:xfrm>
          <a:off x="5476875" y="66675"/>
          <a:ext cx="1781175" cy="247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Refresh All Tables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28687</xdr:colOff>
      <xdr:row>1</xdr:row>
      <xdr:rowOff>54894</xdr:rowOff>
    </xdr:from>
    <xdr:to>
      <xdr:col>14</xdr:col>
      <xdr:colOff>0</xdr:colOff>
      <xdr:row>3</xdr:row>
      <xdr:rowOff>80908</xdr:rowOff>
    </xdr:to>
    <xdr:grpSp>
      <xdr:nvGrpSpPr>
        <xdr:cNvPr id="2" name="Group 7"/>
        <xdr:cNvGrpSpPr>
          <a:grpSpLocks/>
        </xdr:cNvGrpSpPr>
      </xdr:nvGrpSpPr>
      <xdr:grpSpPr bwMode="auto">
        <a:xfrm>
          <a:off x="260008" y="163751"/>
          <a:ext cx="15238528" cy="407014"/>
          <a:chOff x="16" y="6"/>
          <a:chExt cx="1204" cy="27"/>
        </a:xfrm>
      </xdr:grpSpPr>
      <xdr:sp macro="" textlink="">
        <xdr:nvSpPr>
          <xdr:cNvPr id="3" name="Freeform 4"/>
          <xdr:cNvSpPr>
            <a:spLocks noChangeAspect="1"/>
          </xdr:cNvSpPr>
        </xdr:nvSpPr>
        <xdr:spPr bwMode="auto">
          <a:xfrm>
            <a:off x="114" y="6"/>
            <a:ext cx="1106" cy="25"/>
          </a:xfrm>
          <a:custGeom>
            <a:avLst/>
            <a:gdLst>
              <a:gd name="T0" fmla="*/ 0 w 4843"/>
              <a:gd name="T1" fmla="*/ 0 h 177"/>
              <a:gd name="T2" fmla="*/ 0 w 4843"/>
              <a:gd name="T3" fmla="*/ 0 h 177"/>
              <a:gd name="T4" fmla="*/ 0 w 4843"/>
              <a:gd name="T5" fmla="*/ 0 h 177"/>
              <a:gd name="T6" fmla="*/ 0 w 4843"/>
              <a:gd name="T7" fmla="*/ 0 h 177"/>
              <a:gd name="T8" fmla="*/ 0 w 4843"/>
              <a:gd name="T9" fmla="*/ 0 h 177"/>
              <a:gd name="T10" fmla="*/ 0 w 4843"/>
              <a:gd name="T11" fmla="*/ 0 h 177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4843" h="177">
                <a:moveTo>
                  <a:pt x="4843" y="0"/>
                </a:moveTo>
                <a:lnTo>
                  <a:pt x="0" y="0"/>
                </a:lnTo>
                <a:lnTo>
                  <a:pt x="59" y="87"/>
                </a:lnTo>
                <a:lnTo>
                  <a:pt x="0" y="177"/>
                </a:lnTo>
                <a:lnTo>
                  <a:pt x="4843" y="177"/>
                </a:lnTo>
                <a:lnTo>
                  <a:pt x="4843" y="0"/>
                </a:lnTo>
                <a:close/>
              </a:path>
            </a:pathLst>
          </a:custGeom>
          <a:solidFill>
            <a:srgbClr val="99999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4" name="Freeform 5"/>
          <xdr:cNvSpPr>
            <a:spLocks noChangeAspect="1"/>
          </xdr:cNvSpPr>
        </xdr:nvSpPr>
        <xdr:spPr bwMode="auto">
          <a:xfrm>
            <a:off x="34" y="6"/>
            <a:ext cx="169" cy="25"/>
          </a:xfrm>
          <a:custGeom>
            <a:avLst/>
            <a:gdLst>
              <a:gd name="T0" fmla="*/ 0 w 1191"/>
              <a:gd name="T1" fmla="*/ 0 h 177"/>
              <a:gd name="T2" fmla="*/ 0 w 1191"/>
              <a:gd name="T3" fmla="*/ 0 h 177"/>
              <a:gd name="T4" fmla="*/ 0 w 1191"/>
              <a:gd name="T5" fmla="*/ 0 h 177"/>
              <a:gd name="T6" fmla="*/ 0 w 1191"/>
              <a:gd name="T7" fmla="*/ 0 h 177"/>
              <a:gd name="T8" fmla="*/ 0 w 1191"/>
              <a:gd name="T9" fmla="*/ 0 h 177"/>
              <a:gd name="T10" fmla="*/ 0 w 1191"/>
              <a:gd name="T11" fmla="*/ 0 h 177"/>
              <a:gd name="T12" fmla="*/ 0 w 1191"/>
              <a:gd name="T13" fmla="*/ 0 h 17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0" t="0" r="r" b="b"/>
            <a:pathLst>
              <a:path w="1191" h="177">
                <a:moveTo>
                  <a:pt x="0" y="0"/>
                </a:moveTo>
                <a:lnTo>
                  <a:pt x="59" y="88"/>
                </a:lnTo>
                <a:lnTo>
                  <a:pt x="0" y="177"/>
                </a:lnTo>
                <a:lnTo>
                  <a:pt x="1132" y="177"/>
                </a:lnTo>
                <a:lnTo>
                  <a:pt x="1191" y="90"/>
                </a:lnTo>
                <a:lnTo>
                  <a:pt x="1132" y="0"/>
                </a:lnTo>
                <a:lnTo>
                  <a:pt x="0" y="0"/>
                </a:lnTo>
                <a:close/>
              </a:path>
            </a:pathLst>
          </a:custGeom>
          <a:solidFill>
            <a:srgbClr val="66666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5" name="Freeform 7"/>
          <xdr:cNvSpPr>
            <a:spLocks noChangeAspect="1"/>
          </xdr:cNvSpPr>
        </xdr:nvSpPr>
        <xdr:spPr bwMode="auto">
          <a:xfrm>
            <a:off x="16" y="6"/>
            <a:ext cx="20" cy="25"/>
          </a:xfrm>
          <a:custGeom>
            <a:avLst/>
            <a:gdLst>
              <a:gd name="T0" fmla="*/ 0 w 119"/>
              <a:gd name="T1" fmla="*/ 0 h 177"/>
              <a:gd name="T2" fmla="*/ 0 w 119"/>
              <a:gd name="T3" fmla="*/ 0 h 177"/>
              <a:gd name="T4" fmla="*/ 0 w 119"/>
              <a:gd name="T5" fmla="*/ 0 h 177"/>
              <a:gd name="T6" fmla="*/ 0 w 119"/>
              <a:gd name="T7" fmla="*/ 0 h 177"/>
              <a:gd name="T8" fmla="*/ 0 w 119"/>
              <a:gd name="T9" fmla="*/ 0 h 177"/>
              <a:gd name="T10" fmla="*/ 0 w 119"/>
              <a:gd name="T11" fmla="*/ 0 h 177"/>
              <a:gd name="T12" fmla="*/ 0 w 119"/>
              <a:gd name="T13" fmla="*/ 0 h 17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0" t="0" r="r" b="b"/>
            <a:pathLst>
              <a:path w="119" h="177">
                <a:moveTo>
                  <a:pt x="0" y="0"/>
                </a:moveTo>
                <a:lnTo>
                  <a:pt x="59" y="88"/>
                </a:lnTo>
                <a:lnTo>
                  <a:pt x="0" y="177"/>
                </a:lnTo>
                <a:lnTo>
                  <a:pt x="59" y="177"/>
                </a:lnTo>
                <a:lnTo>
                  <a:pt x="119" y="90"/>
                </a:lnTo>
                <a:lnTo>
                  <a:pt x="59" y="0"/>
                </a:lnTo>
                <a:lnTo>
                  <a:pt x="0" y="0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9999FF" mc:Ignorable="a14" a14:legacySpreadsheetColorIndex="24"/>
          </a:solidFill>
          <a:ln>
            <a:noFill/>
          </a:ln>
          <a:extLst>
            <a:ext uri="{91240B29-F687-4F45-9708-019B960494DF}">
              <a14:hiddenLine xmlns:a14="http://schemas.microsoft.com/office/drawing/2010/main" w="9525" cap="flat" cmpd="sng">
                <a:solidFill>
                  <a:srgbClr val="000000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6" name="PresDate"/>
          <xdr:cNvSpPr txBox="1">
            <a:spLocks noChangeArrowheads="1"/>
          </xdr:cNvSpPr>
        </xdr:nvSpPr>
        <xdr:spPr bwMode="auto">
          <a:xfrm>
            <a:off x="55" y="11"/>
            <a:ext cx="129" cy="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6688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19191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8D1DB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GB" sz="1600" b="1" i="0" u="none" strike="noStrike" baseline="0">
                <a:solidFill>
                  <a:srgbClr val="FFFFFF"/>
                </a:solidFill>
                <a:latin typeface="Century Gothic"/>
              </a:rPr>
              <a:t>LGIM</a:t>
            </a:r>
          </a:p>
          <a:p>
            <a:pPr algn="l" rtl="0">
              <a:defRPr sz="1000"/>
            </a:pPr>
            <a:endParaRPr lang="en-GB" sz="1600" b="1" i="0" u="none" strike="noStrike" baseline="0">
              <a:solidFill>
                <a:srgbClr val="FFFFFF"/>
              </a:solidFill>
              <a:latin typeface="Century Gothic"/>
            </a:endParaRPr>
          </a:p>
        </xdr:txBody>
      </xdr:sp>
      <xdr:sp macro="" textlink="">
        <xdr:nvSpPr>
          <xdr:cNvPr id="7" name="Rectangle 12"/>
          <xdr:cNvSpPr>
            <a:spLocks noChangeArrowheads="1"/>
          </xdr:cNvSpPr>
        </xdr:nvSpPr>
        <xdr:spPr bwMode="auto">
          <a:xfrm>
            <a:off x="211" y="10"/>
            <a:ext cx="388" cy="2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6688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19191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8D1DB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GB" sz="1600" b="1" i="0" u="none" strike="noStrike" baseline="0">
                <a:solidFill>
                  <a:srgbClr val="FFFFFF"/>
                </a:solidFill>
                <a:latin typeface="Century Gothic"/>
              </a:rPr>
              <a:t>Performance Summary</a:t>
            </a:r>
          </a:p>
        </xdr:txBody>
      </xdr:sp>
    </xdr:grpSp>
    <xdr:clientData/>
  </xdr:twoCellAnchor>
  <xdr:twoCellAnchor>
    <xdr:from>
      <xdr:col>1</xdr:col>
      <xdr:colOff>6594</xdr:colOff>
      <xdr:row>7</xdr:row>
      <xdr:rowOff>9301</xdr:rowOff>
    </xdr:from>
    <xdr:to>
      <xdr:col>8</xdr:col>
      <xdr:colOff>0</xdr:colOff>
      <xdr:row>26</xdr:row>
      <xdr:rowOff>12701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9525</xdr:rowOff>
        </xdr:from>
        <xdr:to>
          <xdr:col>11</xdr:col>
          <xdr:colOff>857250</xdr:colOff>
          <xdr:row>15</xdr:row>
          <xdr:rowOff>142875</xdr:rowOff>
        </xdr:to>
        <xdr:sp macro="" textlink="">
          <xdr:nvSpPr>
            <xdr:cNvPr id="9217" name="calRepDate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108857</xdr:colOff>
      <xdr:row>0</xdr:row>
      <xdr:rowOff>190499</xdr:rowOff>
    </xdr:from>
    <xdr:to>
      <xdr:col>53</xdr:col>
      <xdr:colOff>3020786</xdr:colOff>
      <xdr:row>4</xdr:row>
      <xdr:rowOff>174546</xdr:rowOff>
    </xdr:to>
    <xdr:grpSp>
      <xdr:nvGrpSpPr>
        <xdr:cNvPr id="2" name="Group 7"/>
        <xdr:cNvGrpSpPr>
          <a:grpSpLocks/>
        </xdr:cNvGrpSpPr>
      </xdr:nvGrpSpPr>
      <xdr:grpSpPr bwMode="auto">
        <a:xfrm>
          <a:off x="394607" y="190499"/>
          <a:ext cx="55013679" cy="746047"/>
          <a:chOff x="16" y="6"/>
          <a:chExt cx="1204" cy="30"/>
        </a:xfrm>
      </xdr:grpSpPr>
      <xdr:sp macro="" textlink="">
        <xdr:nvSpPr>
          <xdr:cNvPr id="3" name="Freeform 2"/>
          <xdr:cNvSpPr>
            <a:spLocks noChangeAspect="1"/>
          </xdr:cNvSpPr>
        </xdr:nvSpPr>
        <xdr:spPr bwMode="auto">
          <a:xfrm>
            <a:off x="114" y="6"/>
            <a:ext cx="1106" cy="25"/>
          </a:xfrm>
          <a:custGeom>
            <a:avLst/>
            <a:gdLst>
              <a:gd name="T0" fmla="*/ 0 w 4843"/>
              <a:gd name="T1" fmla="*/ 0 h 177"/>
              <a:gd name="T2" fmla="*/ 0 w 4843"/>
              <a:gd name="T3" fmla="*/ 0 h 177"/>
              <a:gd name="T4" fmla="*/ 0 w 4843"/>
              <a:gd name="T5" fmla="*/ 0 h 177"/>
              <a:gd name="T6" fmla="*/ 0 w 4843"/>
              <a:gd name="T7" fmla="*/ 0 h 177"/>
              <a:gd name="T8" fmla="*/ 0 w 4843"/>
              <a:gd name="T9" fmla="*/ 0 h 177"/>
              <a:gd name="T10" fmla="*/ 0 w 4843"/>
              <a:gd name="T11" fmla="*/ 0 h 177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4843" h="177">
                <a:moveTo>
                  <a:pt x="4843" y="0"/>
                </a:moveTo>
                <a:lnTo>
                  <a:pt x="0" y="0"/>
                </a:lnTo>
                <a:lnTo>
                  <a:pt x="59" y="87"/>
                </a:lnTo>
                <a:lnTo>
                  <a:pt x="0" y="177"/>
                </a:lnTo>
                <a:lnTo>
                  <a:pt x="4843" y="177"/>
                </a:lnTo>
                <a:lnTo>
                  <a:pt x="4843" y="0"/>
                </a:lnTo>
                <a:close/>
              </a:path>
            </a:pathLst>
          </a:custGeom>
          <a:solidFill>
            <a:srgbClr val="99999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4" name="Freeform 3"/>
          <xdr:cNvSpPr>
            <a:spLocks noChangeAspect="1"/>
          </xdr:cNvSpPr>
        </xdr:nvSpPr>
        <xdr:spPr bwMode="auto">
          <a:xfrm>
            <a:off x="34" y="6"/>
            <a:ext cx="169" cy="25"/>
          </a:xfrm>
          <a:custGeom>
            <a:avLst/>
            <a:gdLst>
              <a:gd name="T0" fmla="*/ 0 w 1191"/>
              <a:gd name="T1" fmla="*/ 0 h 177"/>
              <a:gd name="T2" fmla="*/ 0 w 1191"/>
              <a:gd name="T3" fmla="*/ 0 h 177"/>
              <a:gd name="T4" fmla="*/ 0 w 1191"/>
              <a:gd name="T5" fmla="*/ 0 h 177"/>
              <a:gd name="T6" fmla="*/ 0 w 1191"/>
              <a:gd name="T7" fmla="*/ 0 h 177"/>
              <a:gd name="T8" fmla="*/ 0 w 1191"/>
              <a:gd name="T9" fmla="*/ 0 h 177"/>
              <a:gd name="T10" fmla="*/ 0 w 1191"/>
              <a:gd name="T11" fmla="*/ 0 h 177"/>
              <a:gd name="T12" fmla="*/ 0 w 1191"/>
              <a:gd name="T13" fmla="*/ 0 h 17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0" t="0" r="r" b="b"/>
            <a:pathLst>
              <a:path w="1191" h="177">
                <a:moveTo>
                  <a:pt x="0" y="0"/>
                </a:moveTo>
                <a:lnTo>
                  <a:pt x="59" y="88"/>
                </a:lnTo>
                <a:lnTo>
                  <a:pt x="0" y="177"/>
                </a:lnTo>
                <a:lnTo>
                  <a:pt x="1132" y="177"/>
                </a:lnTo>
                <a:lnTo>
                  <a:pt x="1191" y="90"/>
                </a:lnTo>
                <a:lnTo>
                  <a:pt x="1132" y="0"/>
                </a:lnTo>
                <a:lnTo>
                  <a:pt x="0" y="0"/>
                </a:lnTo>
                <a:close/>
              </a:path>
            </a:pathLst>
          </a:custGeom>
          <a:solidFill>
            <a:srgbClr val="66666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5" name="Freeform 7"/>
          <xdr:cNvSpPr>
            <a:spLocks noChangeAspect="1"/>
          </xdr:cNvSpPr>
        </xdr:nvSpPr>
        <xdr:spPr bwMode="auto">
          <a:xfrm>
            <a:off x="16" y="6"/>
            <a:ext cx="20" cy="25"/>
          </a:xfrm>
          <a:custGeom>
            <a:avLst/>
            <a:gdLst>
              <a:gd name="T0" fmla="*/ 0 w 119"/>
              <a:gd name="T1" fmla="*/ 0 h 177"/>
              <a:gd name="T2" fmla="*/ 0 w 119"/>
              <a:gd name="T3" fmla="*/ 0 h 177"/>
              <a:gd name="T4" fmla="*/ 0 w 119"/>
              <a:gd name="T5" fmla="*/ 0 h 177"/>
              <a:gd name="T6" fmla="*/ 0 w 119"/>
              <a:gd name="T7" fmla="*/ 0 h 177"/>
              <a:gd name="T8" fmla="*/ 0 w 119"/>
              <a:gd name="T9" fmla="*/ 0 h 177"/>
              <a:gd name="T10" fmla="*/ 0 w 119"/>
              <a:gd name="T11" fmla="*/ 0 h 177"/>
              <a:gd name="T12" fmla="*/ 0 w 119"/>
              <a:gd name="T13" fmla="*/ 0 h 17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0" t="0" r="r" b="b"/>
            <a:pathLst>
              <a:path w="119" h="177">
                <a:moveTo>
                  <a:pt x="0" y="0"/>
                </a:moveTo>
                <a:lnTo>
                  <a:pt x="59" y="88"/>
                </a:lnTo>
                <a:lnTo>
                  <a:pt x="0" y="177"/>
                </a:lnTo>
                <a:lnTo>
                  <a:pt x="59" y="177"/>
                </a:lnTo>
                <a:lnTo>
                  <a:pt x="119" y="90"/>
                </a:lnTo>
                <a:lnTo>
                  <a:pt x="59" y="0"/>
                </a:lnTo>
                <a:lnTo>
                  <a:pt x="0" y="0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9999FF" mc:Ignorable="a14" a14:legacySpreadsheetColorIndex="24"/>
          </a:solidFill>
          <a:ln>
            <a:noFill/>
          </a:ln>
          <a:extLst>
            <a:ext uri="{91240B29-F687-4F45-9708-019B960494DF}">
              <a14:hiddenLine xmlns:a14="http://schemas.microsoft.com/office/drawing/2010/main" w="9525" cap="flat" cmpd="sng">
                <a:solidFill>
                  <a:srgbClr val="000000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6" name="PresDate"/>
          <xdr:cNvSpPr txBox="1">
            <a:spLocks noChangeArrowheads="1"/>
          </xdr:cNvSpPr>
        </xdr:nvSpPr>
        <xdr:spPr bwMode="auto">
          <a:xfrm>
            <a:off x="53" y="11"/>
            <a:ext cx="226" cy="25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6688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19191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8D1DB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GB" sz="1800" b="1" i="0" u="none" strike="noStrike" baseline="0">
                <a:solidFill>
                  <a:srgbClr val="FFFFFF"/>
                </a:solidFill>
                <a:latin typeface="Century Gothic" pitchFamily="34" charset="0"/>
              </a:rPr>
              <a:t>Aggregates</a:t>
            </a:r>
          </a:p>
          <a:p>
            <a:pPr algn="l" rtl="0">
              <a:defRPr sz="1000"/>
            </a:pPr>
            <a:endParaRPr lang="en-GB" sz="1800" b="1" i="0" u="none" strike="noStrike" baseline="0">
              <a:solidFill>
                <a:srgbClr val="FFFFFF"/>
              </a:solidFill>
              <a:latin typeface="Century Gothic" pitchFamily="34" charset="0"/>
            </a:endParaRPr>
          </a:p>
        </xdr:txBody>
      </xdr:sp>
      <xdr:sp macro="" textlink="">
        <xdr:nvSpPr>
          <xdr:cNvPr id="7" name="Rectangle 12"/>
          <xdr:cNvSpPr>
            <a:spLocks noChangeArrowheads="1"/>
          </xdr:cNvSpPr>
        </xdr:nvSpPr>
        <xdr:spPr bwMode="auto">
          <a:xfrm>
            <a:off x="230" y="12"/>
            <a:ext cx="526" cy="2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6688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19191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8D1DB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lang="en-GB" sz="1800" b="1" i="0" u="none" strike="noStrike" baseline="0">
                <a:solidFill>
                  <a:schemeClr val="bg1"/>
                </a:solidFill>
                <a:latin typeface="Century Gothic"/>
              </a:rPr>
              <a:t>LGIM Performance </a:t>
            </a:r>
            <a:r>
              <a:rPr lang="en-GB" sz="1800" b="1" i="0" u="none" strike="noStrike" baseline="0">
                <a:solidFill>
                  <a:schemeClr val="bg1"/>
                </a:solidFill>
                <a:latin typeface="Century Gothic" pitchFamily="34" charset="0"/>
              </a:rPr>
              <a:t>Dashboard - </a:t>
            </a:r>
            <a:r>
              <a:rPr lang="en-GB" sz="1800" b="1" i="0" baseline="0">
                <a:solidFill>
                  <a:schemeClr val="bg1"/>
                </a:solidFill>
                <a:effectLst/>
                <a:latin typeface="Century Gothic" pitchFamily="34" charset="0"/>
                <a:ea typeface="+mn-ea"/>
                <a:cs typeface="+mn-cs"/>
              </a:rPr>
              <a:t>Supplementary Data</a:t>
            </a:r>
            <a:endParaRPr lang="en-GB" sz="1800">
              <a:solidFill>
                <a:schemeClr val="bg1"/>
              </a:solidFill>
              <a:effectLst/>
              <a:latin typeface="Century Gothic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13608</xdr:colOff>
      <xdr:row>1</xdr:row>
      <xdr:rowOff>68036</xdr:rowOff>
    </xdr:from>
    <xdr:to>
      <xdr:col>12</xdr:col>
      <xdr:colOff>3020787</xdr:colOff>
      <xdr:row>4</xdr:row>
      <xdr:rowOff>0</xdr:rowOff>
    </xdr:to>
    <xdr:grpSp>
      <xdr:nvGrpSpPr>
        <xdr:cNvPr id="2" name="Group 7"/>
        <xdr:cNvGrpSpPr>
          <a:grpSpLocks/>
        </xdr:cNvGrpSpPr>
      </xdr:nvGrpSpPr>
      <xdr:grpSpPr bwMode="auto">
        <a:xfrm>
          <a:off x="299358" y="258536"/>
          <a:ext cx="12409715" cy="503464"/>
          <a:chOff x="16" y="6"/>
          <a:chExt cx="1204" cy="29"/>
        </a:xfrm>
      </xdr:grpSpPr>
      <xdr:sp macro="" textlink="">
        <xdr:nvSpPr>
          <xdr:cNvPr id="3" name="Freeform 4"/>
          <xdr:cNvSpPr>
            <a:spLocks noChangeAspect="1"/>
          </xdr:cNvSpPr>
        </xdr:nvSpPr>
        <xdr:spPr bwMode="auto">
          <a:xfrm>
            <a:off x="114" y="6"/>
            <a:ext cx="1106" cy="25"/>
          </a:xfrm>
          <a:custGeom>
            <a:avLst/>
            <a:gdLst>
              <a:gd name="T0" fmla="*/ 0 w 4843"/>
              <a:gd name="T1" fmla="*/ 0 h 177"/>
              <a:gd name="T2" fmla="*/ 0 w 4843"/>
              <a:gd name="T3" fmla="*/ 0 h 177"/>
              <a:gd name="T4" fmla="*/ 0 w 4843"/>
              <a:gd name="T5" fmla="*/ 0 h 177"/>
              <a:gd name="T6" fmla="*/ 0 w 4843"/>
              <a:gd name="T7" fmla="*/ 0 h 177"/>
              <a:gd name="T8" fmla="*/ 0 w 4843"/>
              <a:gd name="T9" fmla="*/ 0 h 177"/>
              <a:gd name="T10" fmla="*/ 0 w 4843"/>
              <a:gd name="T11" fmla="*/ 0 h 177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4843" h="177">
                <a:moveTo>
                  <a:pt x="4843" y="0"/>
                </a:moveTo>
                <a:lnTo>
                  <a:pt x="0" y="0"/>
                </a:lnTo>
                <a:lnTo>
                  <a:pt x="59" y="87"/>
                </a:lnTo>
                <a:lnTo>
                  <a:pt x="0" y="177"/>
                </a:lnTo>
                <a:lnTo>
                  <a:pt x="4843" y="177"/>
                </a:lnTo>
                <a:lnTo>
                  <a:pt x="4843" y="0"/>
                </a:lnTo>
                <a:close/>
              </a:path>
            </a:pathLst>
          </a:custGeom>
          <a:solidFill>
            <a:srgbClr val="99999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4" name="Freeform 5"/>
          <xdr:cNvSpPr>
            <a:spLocks noChangeAspect="1"/>
          </xdr:cNvSpPr>
        </xdr:nvSpPr>
        <xdr:spPr bwMode="auto">
          <a:xfrm>
            <a:off x="34" y="6"/>
            <a:ext cx="169" cy="25"/>
          </a:xfrm>
          <a:custGeom>
            <a:avLst/>
            <a:gdLst>
              <a:gd name="T0" fmla="*/ 0 w 1191"/>
              <a:gd name="T1" fmla="*/ 0 h 177"/>
              <a:gd name="T2" fmla="*/ 0 w 1191"/>
              <a:gd name="T3" fmla="*/ 0 h 177"/>
              <a:gd name="T4" fmla="*/ 0 w 1191"/>
              <a:gd name="T5" fmla="*/ 0 h 177"/>
              <a:gd name="T6" fmla="*/ 0 w 1191"/>
              <a:gd name="T7" fmla="*/ 0 h 177"/>
              <a:gd name="T8" fmla="*/ 0 w 1191"/>
              <a:gd name="T9" fmla="*/ 0 h 177"/>
              <a:gd name="T10" fmla="*/ 0 w 1191"/>
              <a:gd name="T11" fmla="*/ 0 h 177"/>
              <a:gd name="T12" fmla="*/ 0 w 1191"/>
              <a:gd name="T13" fmla="*/ 0 h 17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0" t="0" r="r" b="b"/>
            <a:pathLst>
              <a:path w="1191" h="177">
                <a:moveTo>
                  <a:pt x="0" y="0"/>
                </a:moveTo>
                <a:lnTo>
                  <a:pt x="59" y="88"/>
                </a:lnTo>
                <a:lnTo>
                  <a:pt x="0" y="177"/>
                </a:lnTo>
                <a:lnTo>
                  <a:pt x="1132" y="177"/>
                </a:lnTo>
                <a:lnTo>
                  <a:pt x="1191" y="90"/>
                </a:lnTo>
                <a:lnTo>
                  <a:pt x="1132" y="0"/>
                </a:lnTo>
                <a:lnTo>
                  <a:pt x="0" y="0"/>
                </a:lnTo>
                <a:close/>
              </a:path>
            </a:pathLst>
          </a:custGeom>
          <a:solidFill>
            <a:srgbClr val="66666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5" name="Freeform 7"/>
          <xdr:cNvSpPr>
            <a:spLocks noChangeAspect="1"/>
          </xdr:cNvSpPr>
        </xdr:nvSpPr>
        <xdr:spPr bwMode="auto">
          <a:xfrm>
            <a:off x="16" y="6"/>
            <a:ext cx="20" cy="25"/>
          </a:xfrm>
          <a:custGeom>
            <a:avLst/>
            <a:gdLst>
              <a:gd name="T0" fmla="*/ 0 w 119"/>
              <a:gd name="T1" fmla="*/ 0 h 177"/>
              <a:gd name="T2" fmla="*/ 0 w 119"/>
              <a:gd name="T3" fmla="*/ 0 h 177"/>
              <a:gd name="T4" fmla="*/ 0 w 119"/>
              <a:gd name="T5" fmla="*/ 0 h 177"/>
              <a:gd name="T6" fmla="*/ 0 w 119"/>
              <a:gd name="T7" fmla="*/ 0 h 177"/>
              <a:gd name="T8" fmla="*/ 0 w 119"/>
              <a:gd name="T9" fmla="*/ 0 h 177"/>
              <a:gd name="T10" fmla="*/ 0 w 119"/>
              <a:gd name="T11" fmla="*/ 0 h 177"/>
              <a:gd name="T12" fmla="*/ 0 w 119"/>
              <a:gd name="T13" fmla="*/ 0 h 17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0" t="0" r="r" b="b"/>
            <a:pathLst>
              <a:path w="119" h="177">
                <a:moveTo>
                  <a:pt x="0" y="0"/>
                </a:moveTo>
                <a:lnTo>
                  <a:pt x="59" y="88"/>
                </a:lnTo>
                <a:lnTo>
                  <a:pt x="0" y="177"/>
                </a:lnTo>
                <a:lnTo>
                  <a:pt x="59" y="177"/>
                </a:lnTo>
                <a:lnTo>
                  <a:pt x="119" y="90"/>
                </a:lnTo>
                <a:lnTo>
                  <a:pt x="59" y="0"/>
                </a:lnTo>
                <a:lnTo>
                  <a:pt x="0" y="0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9999FF" mc:Ignorable="a14" a14:legacySpreadsheetColorIndex="24"/>
          </a:solidFill>
          <a:ln>
            <a:noFill/>
          </a:ln>
          <a:extLst>
            <a:ext uri="{91240B29-F687-4F45-9708-019B960494DF}">
              <a14:hiddenLine xmlns:a14="http://schemas.microsoft.com/office/drawing/2010/main" w="9525" cap="flat" cmpd="sng">
                <a:solidFill>
                  <a:srgbClr val="000000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6" name="PresDate"/>
          <xdr:cNvSpPr txBox="1">
            <a:spLocks noChangeArrowheads="1"/>
          </xdr:cNvSpPr>
        </xdr:nvSpPr>
        <xdr:spPr bwMode="auto">
          <a:xfrm>
            <a:off x="54" y="10"/>
            <a:ext cx="226" cy="25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6688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19191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8D1DB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GB" sz="1200" b="1" i="0" u="none" strike="noStrike" baseline="0">
                <a:solidFill>
                  <a:srgbClr val="FFFFFF"/>
                </a:solidFill>
                <a:latin typeface="Century Gothic" pitchFamily="34" charset="0"/>
              </a:rPr>
              <a:t>WHT Impact</a:t>
            </a:r>
          </a:p>
        </xdr:txBody>
      </xdr:sp>
      <xdr:sp macro="" textlink="">
        <xdr:nvSpPr>
          <xdr:cNvPr id="7" name="Rectangle 12"/>
          <xdr:cNvSpPr>
            <a:spLocks noChangeArrowheads="1"/>
          </xdr:cNvSpPr>
        </xdr:nvSpPr>
        <xdr:spPr bwMode="auto">
          <a:xfrm>
            <a:off x="231" y="10"/>
            <a:ext cx="526" cy="2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6688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19191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8D1DB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lang="en-GB" sz="1600" b="1" i="0" u="none" strike="noStrike" baseline="0">
                <a:solidFill>
                  <a:schemeClr val="bg1"/>
                </a:solidFill>
                <a:latin typeface="Century Gothic"/>
              </a:rPr>
              <a:t>LGIM Performance </a:t>
            </a:r>
            <a:r>
              <a:rPr lang="en-GB" sz="1600" b="1" i="0" u="none" strike="noStrike" baseline="0">
                <a:solidFill>
                  <a:schemeClr val="bg1"/>
                </a:solidFill>
                <a:latin typeface="Century Gothic" pitchFamily="34" charset="0"/>
              </a:rPr>
              <a:t>Dashboard - </a:t>
            </a:r>
            <a:r>
              <a:rPr lang="en-GB" sz="1600" b="1" i="0" baseline="0">
                <a:solidFill>
                  <a:schemeClr val="bg1"/>
                </a:solidFill>
                <a:effectLst/>
                <a:latin typeface="Century Gothic" pitchFamily="34" charset="0"/>
                <a:ea typeface="+mn-ea"/>
                <a:cs typeface="+mn-cs"/>
              </a:rPr>
              <a:t>Supplementary Data</a:t>
            </a:r>
            <a:endParaRPr lang="en-GB" sz="1600">
              <a:solidFill>
                <a:schemeClr val="bg1"/>
              </a:solidFill>
              <a:effectLst/>
              <a:latin typeface="Century Gothic" pitchFamily="34" charset="0"/>
            </a:endParaRPr>
          </a:p>
          <a:p>
            <a:pPr algn="l" rtl="0">
              <a:defRPr sz="1000"/>
            </a:pPr>
            <a:endParaRPr lang="en-GB" sz="1600" b="1" i="0" u="none" strike="noStrike" baseline="0">
              <a:solidFill>
                <a:schemeClr val="bg1"/>
              </a:solidFill>
              <a:latin typeface="Century Gothic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176893</xdr:rowOff>
    </xdr:from>
    <xdr:to>
      <xdr:col>12</xdr:col>
      <xdr:colOff>3034392</xdr:colOff>
      <xdr:row>3</xdr:row>
      <xdr:rowOff>167182</xdr:rowOff>
    </xdr:to>
    <xdr:grpSp>
      <xdr:nvGrpSpPr>
        <xdr:cNvPr id="2" name="Group 7"/>
        <xdr:cNvGrpSpPr>
          <a:grpSpLocks/>
        </xdr:cNvGrpSpPr>
      </xdr:nvGrpSpPr>
      <xdr:grpSpPr bwMode="auto">
        <a:xfrm>
          <a:off x="285750" y="176893"/>
          <a:ext cx="12409713" cy="561789"/>
          <a:chOff x="16" y="6"/>
          <a:chExt cx="1204" cy="29"/>
        </a:xfrm>
      </xdr:grpSpPr>
      <xdr:sp macro="" textlink="">
        <xdr:nvSpPr>
          <xdr:cNvPr id="3" name="Freeform 4"/>
          <xdr:cNvSpPr>
            <a:spLocks noChangeAspect="1"/>
          </xdr:cNvSpPr>
        </xdr:nvSpPr>
        <xdr:spPr bwMode="auto">
          <a:xfrm>
            <a:off x="114" y="6"/>
            <a:ext cx="1106" cy="25"/>
          </a:xfrm>
          <a:custGeom>
            <a:avLst/>
            <a:gdLst>
              <a:gd name="T0" fmla="*/ 0 w 4843"/>
              <a:gd name="T1" fmla="*/ 0 h 177"/>
              <a:gd name="T2" fmla="*/ 0 w 4843"/>
              <a:gd name="T3" fmla="*/ 0 h 177"/>
              <a:gd name="T4" fmla="*/ 0 w 4843"/>
              <a:gd name="T5" fmla="*/ 0 h 177"/>
              <a:gd name="T6" fmla="*/ 0 w 4843"/>
              <a:gd name="T7" fmla="*/ 0 h 177"/>
              <a:gd name="T8" fmla="*/ 0 w 4843"/>
              <a:gd name="T9" fmla="*/ 0 h 177"/>
              <a:gd name="T10" fmla="*/ 0 w 4843"/>
              <a:gd name="T11" fmla="*/ 0 h 177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4843" h="177">
                <a:moveTo>
                  <a:pt x="4843" y="0"/>
                </a:moveTo>
                <a:lnTo>
                  <a:pt x="0" y="0"/>
                </a:lnTo>
                <a:lnTo>
                  <a:pt x="59" y="87"/>
                </a:lnTo>
                <a:lnTo>
                  <a:pt x="0" y="177"/>
                </a:lnTo>
                <a:lnTo>
                  <a:pt x="4843" y="177"/>
                </a:lnTo>
                <a:lnTo>
                  <a:pt x="4843" y="0"/>
                </a:lnTo>
                <a:close/>
              </a:path>
            </a:pathLst>
          </a:custGeom>
          <a:solidFill>
            <a:srgbClr val="99999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4" name="Freeform 5"/>
          <xdr:cNvSpPr>
            <a:spLocks noChangeAspect="1"/>
          </xdr:cNvSpPr>
        </xdr:nvSpPr>
        <xdr:spPr bwMode="auto">
          <a:xfrm>
            <a:off x="34" y="6"/>
            <a:ext cx="169" cy="25"/>
          </a:xfrm>
          <a:custGeom>
            <a:avLst/>
            <a:gdLst>
              <a:gd name="T0" fmla="*/ 0 w 1191"/>
              <a:gd name="T1" fmla="*/ 0 h 177"/>
              <a:gd name="T2" fmla="*/ 0 w 1191"/>
              <a:gd name="T3" fmla="*/ 0 h 177"/>
              <a:gd name="T4" fmla="*/ 0 w 1191"/>
              <a:gd name="T5" fmla="*/ 0 h 177"/>
              <a:gd name="T6" fmla="*/ 0 w 1191"/>
              <a:gd name="T7" fmla="*/ 0 h 177"/>
              <a:gd name="T8" fmla="*/ 0 w 1191"/>
              <a:gd name="T9" fmla="*/ 0 h 177"/>
              <a:gd name="T10" fmla="*/ 0 w 1191"/>
              <a:gd name="T11" fmla="*/ 0 h 177"/>
              <a:gd name="T12" fmla="*/ 0 w 1191"/>
              <a:gd name="T13" fmla="*/ 0 h 17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0" t="0" r="r" b="b"/>
            <a:pathLst>
              <a:path w="1191" h="177">
                <a:moveTo>
                  <a:pt x="0" y="0"/>
                </a:moveTo>
                <a:lnTo>
                  <a:pt x="59" y="88"/>
                </a:lnTo>
                <a:lnTo>
                  <a:pt x="0" y="177"/>
                </a:lnTo>
                <a:lnTo>
                  <a:pt x="1132" y="177"/>
                </a:lnTo>
                <a:lnTo>
                  <a:pt x="1191" y="90"/>
                </a:lnTo>
                <a:lnTo>
                  <a:pt x="1132" y="0"/>
                </a:lnTo>
                <a:lnTo>
                  <a:pt x="0" y="0"/>
                </a:lnTo>
                <a:close/>
              </a:path>
            </a:pathLst>
          </a:custGeom>
          <a:solidFill>
            <a:srgbClr val="66666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5" name="Freeform 7"/>
          <xdr:cNvSpPr>
            <a:spLocks noChangeAspect="1"/>
          </xdr:cNvSpPr>
        </xdr:nvSpPr>
        <xdr:spPr bwMode="auto">
          <a:xfrm>
            <a:off x="16" y="6"/>
            <a:ext cx="20" cy="25"/>
          </a:xfrm>
          <a:custGeom>
            <a:avLst/>
            <a:gdLst>
              <a:gd name="T0" fmla="*/ 0 w 119"/>
              <a:gd name="T1" fmla="*/ 0 h 177"/>
              <a:gd name="T2" fmla="*/ 0 w 119"/>
              <a:gd name="T3" fmla="*/ 0 h 177"/>
              <a:gd name="T4" fmla="*/ 0 w 119"/>
              <a:gd name="T5" fmla="*/ 0 h 177"/>
              <a:gd name="T6" fmla="*/ 0 w 119"/>
              <a:gd name="T7" fmla="*/ 0 h 177"/>
              <a:gd name="T8" fmla="*/ 0 w 119"/>
              <a:gd name="T9" fmla="*/ 0 h 177"/>
              <a:gd name="T10" fmla="*/ 0 w 119"/>
              <a:gd name="T11" fmla="*/ 0 h 177"/>
              <a:gd name="T12" fmla="*/ 0 w 119"/>
              <a:gd name="T13" fmla="*/ 0 h 17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0" t="0" r="r" b="b"/>
            <a:pathLst>
              <a:path w="119" h="177">
                <a:moveTo>
                  <a:pt x="0" y="0"/>
                </a:moveTo>
                <a:lnTo>
                  <a:pt x="59" y="88"/>
                </a:lnTo>
                <a:lnTo>
                  <a:pt x="0" y="177"/>
                </a:lnTo>
                <a:lnTo>
                  <a:pt x="59" y="177"/>
                </a:lnTo>
                <a:lnTo>
                  <a:pt x="119" y="90"/>
                </a:lnTo>
                <a:lnTo>
                  <a:pt x="59" y="0"/>
                </a:lnTo>
                <a:lnTo>
                  <a:pt x="0" y="0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9999FF" mc:Ignorable="a14" a14:legacySpreadsheetColorIndex="24"/>
          </a:solidFill>
          <a:ln>
            <a:noFill/>
          </a:ln>
          <a:extLst>
            <a:ext uri="{91240B29-F687-4F45-9708-019B960494DF}">
              <a14:hiddenLine xmlns:a14="http://schemas.microsoft.com/office/drawing/2010/main" w="9525" cap="flat" cmpd="sng">
                <a:solidFill>
                  <a:srgbClr val="000000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6" name="PresDate"/>
          <xdr:cNvSpPr txBox="1">
            <a:spLocks noChangeArrowheads="1"/>
          </xdr:cNvSpPr>
        </xdr:nvSpPr>
        <xdr:spPr bwMode="auto">
          <a:xfrm>
            <a:off x="54" y="10"/>
            <a:ext cx="129" cy="25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6688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19191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8D1DB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GB" sz="1800" b="1" i="0" u="none" strike="noStrike" baseline="0">
                <a:solidFill>
                  <a:srgbClr val="FFFFFF"/>
                </a:solidFill>
                <a:latin typeface="Century Gothic"/>
              </a:rPr>
              <a:t>Supplementary Data</a:t>
            </a:r>
            <a:endParaRPr lang="en-GB" sz="1400" b="1" i="0" u="none" strike="noStrike" baseline="0">
              <a:solidFill>
                <a:srgbClr val="FFFFFF"/>
              </a:solidFill>
              <a:latin typeface="Century Gothic"/>
            </a:endParaRPr>
          </a:p>
        </xdr:txBody>
      </xdr:sp>
      <xdr:sp macro="" textlink="">
        <xdr:nvSpPr>
          <xdr:cNvPr id="7" name="Rectangle 12"/>
          <xdr:cNvSpPr>
            <a:spLocks noChangeArrowheads="1"/>
          </xdr:cNvSpPr>
        </xdr:nvSpPr>
        <xdr:spPr bwMode="auto">
          <a:xfrm>
            <a:off x="211" y="10"/>
            <a:ext cx="388" cy="2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6688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19191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8D1DB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GB" sz="1800" b="1" i="0" u="none" strike="noStrike" baseline="0">
                <a:solidFill>
                  <a:srgbClr val="FFFFFF"/>
                </a:solidFill>
                <a:latin typeface="Century Gothic"/>
              </a:rPr>
              <a:t>LGIM Performance Dashboard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0</xdr:row>
      <xdr:rowOff>149678</xdr:rowOff>
    </xdr:from>
    <xdr:to>
      <xdr:col>13</xdr:col>
      <xdr:colOff>13607</xdr:colOff>
      <xdr:row>3</xdr:row>
      <xdr:rowOff>81642</xdr:rowOff>
    </xdr:to>
    <xdr:grpSp>
      <xdr:nvGrpSpPr>
        <xdr:cNvPr id="4" name="Group 7"/>
        <xdr:cNvGrpSpPr>
          <a:grpSpLocks/>
        </xdr:cNvGrpSpPr>
      </xdr:nvGrpSpPr>
      <xdr:grpSpPr bwMode="auto">
        <a:xfrm>
          <a:off x="381000" y="149678"/>
          <a:ext cx="12192000" cy="503464"/>
          <a:chOff x="16" y="6"/>
          <a:chExt cx="1204" cy="29"/>
        </a:xfrm>
      </xdr:grpSpPr>
      <xdr:sp macro="" textlink="">
        <xdr:nvSpPr>
          <xdr:cNvPr id="5" name="Freeform 4"/>
          <xdr:cNvSpPr>
            <a:spLocks noChangeAspect="1"/>
          </xdr:cNvSpPr>
        </xdr:nvSpPr>
        <xdr:spPr bwMode="auto">
          <a:xfrm>
            <a:off x="114" y="6"/>
            <a:ext cx="1106" cy="25"/>
          </a:xfrm>
          <a:custGeom>
            <a:avLst/>
            <a:gdLst>
              <a:gd name="T0" fmla="*/ 0 w 4843"/>
              <a:gd name="T1" fmla="*/ 0 h 177"/>
              <a:gd name="T2" fmla="*/ 0 w 4843"/>
              <a:gd name="T3" fmla="*/ 0 h 177"/>
              <a:gd name="T4" fmla="*/ 0 w 4843"/>
              <a:gd name="T5" fmla="*/ 0 h 177"/>
              <a:gd name="T6" fmla="*/ 0 w 4843"/>
              <a:gd name="T7" fmla="*/ 0 h 177"/>
              <a:gd name="T8" fmla="*/ 0 w 4843"/>
              <a:gd name="T9" fmla="*/ 0 h 177"/>
              <a:gd name="T10" fmla="*/ 0 w 4843"/>
              <a:gd name="T11" fmla="*/ 0 h 177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4843" h="177">
                <a:moveTo>
                  <a:pt x="4843" y="0"/>
                </a:moveTo>
                <a:lnTo>
                  <a:pt x="0" y="0"/>
                </a:lnTo>
                <a:lnTo>
                  <a:pt x="59" y="87"/>
                </a:lnTo>
                <a:lnTo>
                  <a:pt x="0" y="177"/>
                </a:lnTo>
                <a:lnTo>
                  <a:pt x="4843" y="177"/>
                </a:lnTo>
                <a:lnTo>
                  <a:pt x="4843" y="0"/>
                </a:lnTo>
                <a:close/>
              </a:path>
            </a:pathLst>
          </a:custGeom>
          <a:solidFill>
            <a:srgbClr val="99999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6" name="Freeform 5"/>
          <xdr:cNvSpPr>
            <a:spLocks noChangeAspect="1"/>
          </xdr:cNvSpPr>
        </xdr:nvSpPr>
        <xdr:spPr bwMode="auto">
          <a:xfrm>
            <a:off x="34" y="6"/>
            <a:ext cx="169" cy="25"/>
          </a:xfrm>
          <a:custGeom>
            <a:avLst/>
            <a:gdLst>
              <a:gd name="T0" fmla="*/ 0 w 1191"/>
              <a:gd name="T1" fmla="*/ 0 h 177"/>
              <a:gd name="T2" fmla="*/ 0 w 1191"/>
              <a:gd name="T3" fmla="*/ 0 h 177"/>
              <a:gd name="T4" fmla="*/ 0 w 1191"/>
              <a:gd name="T5" fmla="*/ 0 h 177"/>
              <a:gd name="T6" fmla="*/ 0 w 1191"/>
              <a:gd name="T7" fmla="*/ 0 h 177"/>
              <a:gd name="T8" fmla="*/ 0 w 1191"/>
              <a:gd name="T9" fmla="*/ 0 h 177"/>
              <a:gd name="T10" fmla="*/ 0 w 1191"/>
              <a:gd name="T11" fmla="*/ 0 h 177"/>
              <a:gd name="T12" fmla="*/ 0 w 1191"/>
              <a:gd name="T13" fmla="*/ 0 h 17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0" t="0" r="r" b="b"/>
            <a:pathLst>
              <a:path w="1191" h="177">
                <a:moveTo>
                  <a:pt x="0" y="0"/>
                </a:moveTo>
                <a:lnTo>
                  <a:pt x="59" y="88"/>
                </a:lnTo>
                <a:lnTo>
                  <a:pt x="0" y="177"/>
                </a:lnTo>
                <a:lnTo>
                  <a:pt x="1132" y="177"/>
                </a:lnTo>
                <a:lnTo>
                  <a:pt x="1191" y="90"/>
                </a:lnTo>
                <a:lnTo>
                  <a:pt x="1132" y="0"/>
                </a:lnTo>
                <a:lnTo>
                  <a:pt x="0" y="0"/>
                </a:lnTo>
                <a:close/>
              </a:path>
            </a:pathLst>
          </a:custGeom>
          <a:solidFill>
            <a:srgbClr val="66666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7"/>
          <xdr:cNvSpPr>
            <a:spLocks noChangeAspect="1"/>
          </xdr:cNvSpPr>
        </xdr:nvSpPr>
        <xdr:spPr bwMode="auto">
          <a:xfrm>
            <a:off x="16" y="6"/>
            <a:ext cx="20" cy="25"/>
          </a:xfrm>
          <a:custGeom>
            <a:avLst/>
            <a:gdLst>
              <a:gd name="T0" fmla="*/ 0 w 119"/>
              <a:gd name="T1" fmla="*/ 0 h 177"/>
              <a:gd name="T2" fmla="*/ 0 w 119"/>
              <a:gd name="T3" fmla="*/ 0 h 177"/>
              <a:gd name="T4" fmla="*/ 0 w 119"/>
              <a:gd name="T5" fmla="*/ 0 h 177"/>
              <a:gd name="T6" fmla="*/ 0 w 119"/>
              <a:gd name="T7" fmla="*/ 0 h 177"/>
              <a:gd name="T8" fmla="*/ 0 w 119"/>
              <a:gd name="T9" fmla="*/ 0 h 177"/>
              <a:gd name="T10" fmla="*/ 0 w 119"/>
              <a:gd name="T11" fmla="*/ 0 h 177"/>
              <a:gd name="T12" fmla="*/ 0 w 119"/>
              <a:gd name="T13" fmla="*/ 0 h 17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0" t="0" r="r" b="b"/>
            <a:pathLst>
              <a:path w="119" h="177">
                <a:moveTo>
                  <a:pt x="0" y="0"/>
                </a:moveTo>
                <a:lnTo>
                  <a:pt x="59" y="88"/>
                </a:lnTo>
                <a:lnTo>
                  <a:pt x="0" y="177"/>
                </a:lnTo>
                <a:lnTo>
                  <a:pt x="59" y="177"/>
                </a:lnTo>
                <a:lnTo>
                  <a:pt x="119" y="90"/>
                </a:lnTo>
                <a:lnTo>
                  <a:pt x="59" y="0"/>
                </a:lnTo>
                <a:lnTo>
                  <a:pt x="0" y="0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9999FF" mc:Ignorable="a14" a14:legacySpreadsheetColorIndex="24"/>
          </a:solidFill>
          <a:ln>
            <a:noFill/>
          </a:ln>
          <a:extLst>
            <a:ext uri="{91240B29-F687-4F45-9708-019B960494DF}">
              <a14:hiddenLine xmlns:a14="http://schemas.microsoft.com/office/drawing/2010/main" w="9525" cap="flat" cmpd="sng">
                <a:solidFill>
                  <a:srgbClr val="000000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8" name="PresDate"/>
          <xdr:cNvSpPr txBox="1">
            <a:spLocks noChangeArrowheads="1"/>
          </xdr:cNvSpPr>
        </xdr:nvSpPr>
        <xdr:spPr bwMode="auto">
          <a:xfrm>
            <a:off x="54" y="10"/>
            <a:ext cx="226" cy="25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6688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19191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8D1DB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GB" sz="1200" b="1" i="0" u="none" strike="noStrike" baseline="0">
                <a:solidFill>
                  <a:srgbClr val="FFFFFF"/>
                </a:solidFill>
                <a:latin typeface="Century Gothic" pitchFamily="34" charset="0"/>
              </a:rPr>
              <a:t>Excluded Securities</a:t>
            </a:r>
          </a:p>
        </xdr:txBody>
      </xdr:sp>
      <xdr:sp macro="" textlink="">
        <xdr:nvSpPr>
          <xdr:cNvPr id="9" name="Rectangle 12"/>
          <xdr:cNvSpPr>
            <a:spLocks noChangeArrowheads="1"/>
          </xdr:cNvSpPr>
        </xdr:nvSpPr>
        <xdr:spPr bwMode="auto">
          <a:xfrm>
            <a:off x="231" y="10"/>
            <a:ext cx="526" cy="2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6688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19191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8D1DB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lang="en-GB" sz="1600" b="1" i="0" u="none" strike="noStrike" baseline="0">
                <a:solidFill>
                  <a:schemeClr val="bg1"/>
                </a:solidFill>
                <a:latin typeface="Century Gothic"/>
              </a:rPr>
              <a:t>LGIM Performance </a:t>
            </a:r>
            <a:r>
              <a:rPr lang="en-GB" sz="1600" b="1" i="0" u="none" strike="noStrike" baseline="0">
                <a:solidFill>
                  <a:schemeClr val="bg1"/>
                </a:solidFill>
                <a:latin typeface="Century Gothic" pitchFamily="34" charset="0"/>
              </a:rPr>
              <a:t>Dashboard - </a:t>
            </a:r>
            <a:r>
              <a:rPr lang="en-GB" sz="1600" b="1" i="0" baseline="0">
                <a:solidFill>
                  <a:schemeClr val="bg1"/>
                </a:solidFill>
                <a:effectLst/>
                <a:latin typeface="Century Gothic" pitchFamily="34" charset="0"/>
                <a:ea typeface="+mn-ea"/>
                <a:cs typeface="+mn-cs"/>
              </a:rPr>
              <a:t>Supplementary Data</a:t>
            </a:r>
            <a:endParaRPr lang="en-GB" sz="1600">
              <a:solidFill>
                <a:schemeClr val="bg1"/>
              </a:solidFill>
              <a:effectLst/>
              <a:latin typeface="Century Gothic" pitchFamily="34" charset="0"/>
            </a:endParaRPr>
          </a:p>
          <a:p>
            <a:pPr algn="l" rtl="0">
              <a:defRPr sz="1000"/>
            </a:pPr>
            <a:endParaRPr lang="en-GB" sz="1600" b="1" i="0" u="none" strike="noStrike" baseline="0">
              <a:solidFill>
                <a:schemeClr val="bg1"/>
              </a:solidFill>
              <a:latin typeface="Century Gothic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57151</xdr:colOff>
      <xdr:row>0</xdr:row>
      <xdr:rowOff>161927</xdr:rowOff>
    </xdr:from>
    <xdr:to>
      <xdr:col>8</xdr:col>
      <xdr:colOff>0</xdr:colOff>
      <xdr:row>2</xdr:row>
      <xdr:rowOff>104775</xdr:rowOff>
    </xdr:to>
    <xdr:grpSp>
      <xdr:nvGrpSpPr>
        <xdr:cNvPr id="2" name="Group 7"/>
        <xdr:cNvGrpSpPr>
          <a:grpSpLocks/>
        </xdr:cNvGrpSpPr>
      </xdr:nvGrpSpPr>
      <xdr:grpSpPr bwMode="auto">
        <a:xfrm>
          <a:off x="234044" y="161927"/>
          <a:ext cx="8188777" cy="323848"/>
          <a:chOff x="16" y="6"/>
          <a:chExt cx="1204" cy="27"/>
        </a:xfrm>
      </xdr:grpSpPr>
      <xdr:sp macro="" textlink="">
        <xdr:nvSpPr>
          <xdr:cNvPr id="3" name="Freeform 4"/>
          <xdr:cNvSpPr>
            <a:spLocks noChangeAspect="1"/>
          </xdr:cNvSpPr>
        </xdr:nvSpPr>
        <xdr:spPr bwMode="auto">
          <a:xfrm>
            <a:off x="114" y="6"/>
            <a:ext cx="1106" cy="25"/>
          </a:xfrm>
          <a:custGeom>
            <a:avLst/>
            <a:gdLst>
              <a:gd name="T0" fmla="*/ 0 w 4843"/>
              <a:gd name="T1" fmla="*/ 0 h 177"/>
              <a:gd name="T2" fmla="*/ 0 w 4843"/>
              <a:gd name="T3" fmla="*/ 0 h 177"/>
              <a:gd name="T4" fmla="*/ 0 w 4843"/>
              <a:gd name="T5" fmla="*/ 0 h 177"/>
              <a:gd name="T6" fmla="*/ 0 w 4843"/>
              <a:gd name="T7" fmla="*/ 0 h 177"/>
              <a:gd name="T8" fmla="*/ 0 w 4843"/>
              <a:gd name="T9" fmla="*/ 0 h 177"/>
              <a:gd name="T10" fmla="*/ 0 w 4843"/>
              <a:gd name="T11" fmla="*/ 0 h 177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4843" h="177">
                <a:moveTo>
                  <a:pt x="4843" y="0"/>
                </a:moveTo>
                <a:lnTo>
                  <a:pt x="0" y="0"/>
                </a:lnTo>
                <a:lnTo>
                  <a:pt x="59" y="87"/>
                </a:lnTo>
                <a:lnTo>
                  <a:pt x="0" y="177"/>
                </a:lnTo>
                <a:lnTo>
                  <a:pt x="4843" y="177"/>
                </a:lnTo>
                <a:lnTo>
                  <a:pt x="4843" y="0"/>
                </a:lnTo>
                <a:close/>
              </a:path>
            </a:pathLst>
          </a:custGeom>
          <a:solidFill>
            <a:srgbClr val="99999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4" name="Freeform 5"/>
          <xdr:cNvSpPr>
            <a:spLocks noChangeAspect="1"/>
          </xdr:cNvSpPr>
        </xdr:nvSpPr>
        <xdr:spPr bwMode="auto">
          <a:xfrm>
            <a:off x="34" y="6"/>
            <a:ext cx="169" cy="25"/>
          </a:xfrm>
          <a:custGeom>
            <a:avLst/>
            <a:gdLst>
              <a:gd name="T0" fmla="*/ 0 w 1191"/>
              <a:gd name="T1" fmla="*/ 0 h 177"/>
              <a:gd name="T2" fmla="*/ 0 w 1191"/>
              <a:gd name="T3" fmla="*/ 0 h 177"/>
              <a:gd name="T4" fmla="*/ 0 w 1191"/>
              <a:gd name="T5" fmla="*/ 0 h 177"/>
              <a:gd name="T6" fmla="*/ 0 w 1191"/>
              <a:gd name="T7" fmla="*/ 0 h 177"/>
              <a:gd name="T8" fmla="*/ 0 w 1191"/>
              <a:gd name="T9" fmla="*/ 0 h 177"/>
              <a:gd name="T10" fmla="*/ 0 w 1191"/>
              <a:gd name="T11" fmla="*/ 0 h 177"/>
              <a:gd name="T12" fmla="*/ 0 w 1191"/>
              <a:gd name="T13" fmla="*/ 0 h 17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0" t="0" r="r" b="b"/>
            <a:pathLst>
              <a:path w="1191" h="177">
                <a:moveTo>
                  <a:pt x="0" y="0"/>
                </a:moveTo>
                <a:lnTo>
                  <a:pt x="59" y="88"/>
                </a:lnTo>
                <a:lnTo>
                  <a:pt x="0" y="177"/>
                </a:lnTo>
                <a:lnTo>
                  <a:pt x="1132" y="177"/>
                </a:lnTo>
                <a:lnTo>
                  <a:pt x="1191" y="90"/>
                </a:lnTo>
                <a:lnTo>
                  <a:pt x="1132" y="0"/>
                </a:lnTo>
                <a:lnTo>
                  <a:pt x="0" y="0"/>
                </a:lnTo>
                <a:close/>
              </a:path>
            </a:pathLst>
          </a:custGeom>
          <a:solidFill>
            <a:srgbClr val="66666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5" name="Freeform 7"/>
          <xdr:cNvSpPr>
            <a:spLocks noChangeAspect="1"/>
          </xdr:cNvSpPr>
        </xdr:nvSpPr>
        <xdr:spPr bwMode="auto">
          <a:xfrm>
            <a:off x="16" y="6"/>
            <a:ext cx="20" cy="25"/>
          </a:xfrm>
          <a:custGeom>
            <a:avLst/>
            <a:gdLst>
              <a:gd name="T0" fmla="*/ 0 w 119"/>
              <a:gd name="T1" fmla="*/ 0 h 177"/>
              <a:gd name="T2" fmla="*/ 0 w 119"/>
              <a:gd name="T3" fmla="*/ 0 h 177"/>
              <a:gd name="T4" fmla="*/ 0 w 119"/>
              <a:gd name="T5" fmla="*/ 0 h 177"/>
              <a:gd name="T6" fmla="*/ 0 w 119"/>
              <a:gd name="T7" fmla="*/ 0 h 177"/>
              <a:gd name="T8" fmla="*/ 0 w 119"/>
              <a:gd name="T9" fmla="*/ 0 h 177"/>
              <a:gd name="T10" fmla="*/ 0 w 119"/>
              <a:gd name="T11" fmla="*/ 0 h 177"/>
              <a:gd name="T12" fmla="*/ 0 w 119"/>
              <a:gd name="T13" fmla="*/ 0 h 17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0" t="0" r="r" b="b"/>
            <a:pathLst>
              <a:path w="119" h="177">
                <a:moveTo>
                  <a:pt x="0" y="0"/>
                </a:moveTo>
                <a:lnTo>
                  <a:pt x="59" y="88"/>
                </a:lnTo>
                <a:lnTo>
                  <a:pt x="0" y="177"/>
                </a:lnTo>
                <a:lnTo>
                  <a:pt x="59" y="177"/>
                </a:lnTo>
                <a:lnTo>
                  <a:pt x="119" y="90"/>
                </a:lnTo>
                <a:lnTo>
                  <a:pt x="59" y="0"/>
                </a:lnTo>
                <a:lnTo>
                  <a:pt x="0" y="0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9999FF" mc:Ignorable="a14" a14:legacySpreadsheetColorIndex="24"/>
          </a:solidFill>
          <a:ln>
            <a:noFill/>
          </a:ln>
          <a:extLst>
            <a:ext uri="{91240B29-F687-4F45-9708-019B960494DF}">
              <a14:hiddenLine xmlns:a14="http://schemas.microsoft.com/office/drawing/2010/main" w="9525" cap="flat" cmpd="sng">
                <a:solidFill>
                  <a:srgbClr val="000000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6" name="PresDate"/>
          <xdr:cNvSpPr txBox="1">
            <a:spLocks noChangeArrowheads="1"/>
          </xdr:cNvSpPr>
        </xdr:nvSpPr>
        <xdr:spPr bwMode="auto">
          <a:xfrm>
            <a:off x="55" y="11"/>
            <a:ext cx="129" cy="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6688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19191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8D1DB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GB" sz="1200" b="1" i="0" u="none" strike="noStrike" baseline="0">
                <a:solidFill>
                  <a:srgbClr val="FFFFFF"/>
                </a:solidFill>
                <a:latin typeface="Century Gothic"/>
              </a:rPr>
              <a:t>Historical </a:t>
            </a:r>
            <a:endParaRPr lang="en-GB" sz="1100" b="1" i="0" u="none" strike="noStrike" baseline="0">
              <a:solidFill>
                <a:srgbClr val="FFFFFF"/>
              </a:solidFill>
              <a:latin typeface="Century Gothic"/>
            </a:endParaRPr>
          </a:p>
          <a:p>
            <a:pPr algn="l" rtl="0">
              <a:defRPr sz="1000"/>
            </a:pPr>
            <a:endParaRPr lang="en-GB" sz="1100" b="1" i="0" u="none" strike="noStrike" baseline="0">
              <a:solidFill>
                <a:srgbClr val="FFFFFF"/>
              </a:solidFill>
              <a:latin typeface="Century Gothic"/>
            </a:endParaRPr>
          </a:p>
        </xdr:txBody>
      </xdr:sp>
      <xdr:sp macro="" textlink="">
        <xdr:nvSpPr>
          <xdr:cNvPr id="7" name="Rectangle 12"/>
          <xdr:cNvSpPr>
            <a:spLocks noChangeArrowheads="1"/>
          </xdr:cNvSpPr>
        </xdr:nvSpPr>
        <xdr:spPr bwMode="auto">
          <a:xfrm>
            <a:off x="211" y="10"/>
            <a:ext cx="388" cy="2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6688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19191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8D1DB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GB" sz="1200" b="1" i="0" u="none" strike="noStrike" baseline="0">
                <a:solidFill>
                  <a:srgbClr val="FFFFFF"/>
                </a:solidFill>
                <a:latin typeface="Century Gothic"/>
              </a:rPr>
              <a:t>LGIM Performance Data</a:t>
            </a:r>
          </a:p>
        </xdr:txBody>
      </xdr:sp>
    </xdr:grpSp>
    <xdr:clientData/>
  </xdr:twoCellAnchor>
  <xdr:twoCellAnchor>
    <xdr:from>
      <xdr:col>9</xdr:col>
      <xdr:colOff>-1</xdr:colOff>
      <xdr:row>14</xdr:row>
      <xdr:rowOff>40821</xdr:rowOff>
    </xdr:from>
    <xdr:to>
      <xdr:col>21</xdr:col>
      <xdr:colOff>233723</xdr:colOff>
      <xdr:row>42</xdr:row>
      <xdr:rowOff>74916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598714</xdr:colOff>
      <xdr:row>43</xdr:row>
      <xdr:rowOff>13607</xdr:rowOff>
    </xdr:from>
    <xdr:to>
      <xdr:col>21</xdr:col>
      <xdr:colOff>234042</xdr:colOff>
      <xdr:row>73</xdr:row>
      <xdr:rowOff>123825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54429</xdr:colOff>
      <xdr:row>0</xdr:row>
      <xdr:rowOff>111579</xdr:rowOff>
    </xdr:from>
    <xdr:to>
      <xdr:col>17</xdr:col>
      <xdr:colOff>340178</xdr:colOff>
      <xdr:row>14</xdr:row>
      <xdr:rowOff>38100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VWNDEVSQL19_DEV19 iPAS vReturnFund" connectionId="4" autoFormatId="16" applyNumberFormats="0" applyBorderFormats="0" applyFontFormats="0" applyPatternFormats="0" applyAlignmentFormats="0" applyWidthHeightFormats="0">
  <queryTableRefresh preserveSortFilterLayout="0" nextId="28">
    <queryTableFields count="27">
      <queryTableField id="1" name="Id" tableColumnId="325"/>
      <queryTableField id="2" name="BOneFundCode" tableColumnId="326"/>
      <queryTableField id="3" name="iPasFundCode" tableColumnId="327"/>
      <queryTableField id="4" name="QuasarFundCode" tableColumnId="328"/>
      <queryTableField id="5" name="ScopeFundCode" tableColumnId="329"/>
      <queryTableField id="6" name="LipperFundCode" tableColumnId="330"/>
      <queryTableField id="7" name="NorthernTrustFundCode" tableColumnId="331"/>
      <queryTableField id="8" name="StartDate" tableColumnId="332"/>
      <queryTableField id="9" name="EndDate" tableColumnId="333"/>
      <queryTableField id="10" name="ReturnFrequency" tableColumnId="334"/>
      <queryTableField id="11" name="FullPeriod" tableColumnId="335"/>
      <queryTableField id="12" name="ReturnType" tableColumnId="336"/>
      <queryTableField id="13" name="Currency" tableColumnId="337"/>
      <queryTableField id="14" name="ReturnSource" tableColumnId="338"/>
      <queryTableField id="15" name="ReturnStatus" tableColumnId="339"/>
      <queryTableField id="16" name="Approved" tableColumnId="340"/>
      <queryTableField id="17" name="GrossReturn" tableColumnId="341"/>
      <queryTableField id="18" name="NetReturn" tableColumnId="342"/>
      <queryTableField id="19" name="CapitalReturn" tableColumnId="343"/>
      <queryTableField id="20" name="ProfitAndLoss" tableColumnId="344"/>
      <queryTableField id="21" name="WhtImpact" tableColumnId="345"/>
      <queryTableField id="22" name="DealingCost" tableColumnId="346"/>
      <queryTableField id="23" name="ReturnComment" tableColumnId="347"/>
      <queryTableField id="24" name="EndNavPerShare" tableColumnId="348"/>
      <queryTableField id="25" name="StartNav" tableColumnId="349"/>
      <queryTableField id="26" name="EndNav" tableColumnId="350"/>
      <queryTableField id="27" name="RowVersion" tableColumnId="351"/>
    </queryTableFields>
  </queryTableRefresh>
</queryTable>
</file>

<file path=xl/queryTables/queryTable2.xml><?xml version="1.0" encoding="utf-8"?>
<queryTable xmlns="http://schemas.openxmlformats.org/spreadsheetml/2006/main" name="VWNDEVSQL19_DEV19 iPAS vReturnBenchmark" connectionId="8" autoFormatId="16" applyNumberFormats="0" applyBorderFormats="0" applyFontFormats="0" applyPatternFormats="0" applyAlignmentFormats="0" applyWidthHeightFormats="0">
  <queryTableRefresh preserveSortFilterLayout="0" nextId="23">
    <queryTableFields count="22">
      <queryTableField id="1" name="Id" tableColumnId="265"/>
      <queryTableField id="2" name="BOneBmkCode" tableColumnId="266"/>
      <queryTableField id="3" name="iPasBmkCode" tableColumnId="267"/>
      <queryTableField id="4" name="ExternalBmkCode" tableColumnId="268"/>
      <queryTableField id="5" name="BbergBmkCode" tableColumnId="269"/>
      <queryTableField id="6" name="BOneFundCode" tableColumnId="270"/>
      <queryTableField id="7" name="QuasarFundCode" tableColumnId="271"/>
      <queryTableField id="8" name="StartDate" tableColumnId="272"/>
      <queryTableField id="9" name="EndDate" tableColumnId="273"/>
      <queryTableField id="10" name="ReturnFrequency" tableColumnId="274"/>
      <queryTableField id="11" name="FullPeriod" tableColumnId="275"/>
      <queryTableField id="12" name="ReturnType" tableColumnId="276"/>
      <queryTableField id="13" name="Currency" tableColumnId="277"/>
      <queryTableField id="14" name="ReturnSource" tableColumnId="278"/>
      <queryTableField id="15" name="GrossReturn" tableColumnId="279"/>
      <queryTableField id="16" name="NetReturn" tableColumnId="280"/>
      <queryTableField id="17" name="CapitalReturn" tableColumnId="281"/>
      <queryTableField id="18" name="IndexRebased" tableColumnId="282"/>
      <queryTableField id="19" name="StartIndexLevel" tableColumnId="283"/>
      <queryTableField id="20" name="EndIndexLevel" tableColumnId="284"/>
      <queryTableField id="21" name="ReturnComment" tableColumnId="285"/>
      <queryTableField id="22" name="RowVersion" tableColumnId="286"/>
    </queryTableFields>
  </queryTableRefresh>
</queryTable>
</file>

<file path=xl/queryTables/queryTable3.xml><?xml version="1.0" encoding="utf-8"?>
<queryTable xmlns="http://schemas.openxmlformats.org/spreadsheetml/2006/main" name="VWNDEVSQL19_DEV19 iPAS vReturnCoverPageComment" connectionId="13" autoFormatId="16" applyNumberFormats="0" applyBorderFormats="0" applyFontFormats="0" applyPatternFormats="0" applyAlignmentFormats="0" applyWidthHeightFormats="0">
  <queryTableRefresh nextId="3">
    <queryTableFields count="2">
      <queryTableField id="1" name="BOneFundCode" tableColumnId="1"/>
      <queryTableField id="2" name="Comment" tableColumnId="2"/>
    </queryTableFields>
  </queryTableRefresh>
</queryTable>
</file>

<file path=xl/queryTables/queryTable4.xml><?xml version="1.0" encoding="utf-8"?>
<queryTable xmlns="http://schemas.openxmlformats.org/spreadsheetml/2006/main" name="VWNDEVSQL19_DEV19 iPAS ReturnStatus" connectionId="11" autoFormatId="16" applyNumberFormats="0" applyBorderFormats="0" applyFontFormats="0" applyPatternFormats="0" applyAlignmentFormats="0" applyWidthHeightFormats="0">
  <queryTableRefresh nextId="4">
    <queryTableFields count="2">
      <queryTableField id="1" name="Id" tableColumnId="1"/>
      <queryTableField id="3" name="ReturnStatus" tableColumnId="3"/>
    </queryTableFields>
  </queryTableRefresh>
</queryTable>
</file>

<file path=xl/queryTables/queryTable5.xml><?xml version="1.0" encoding="utf-8"?>
<queryTable xmlns="http://schemas.openxmlformats.org/spreadsheetml/2006/main" name="VWNDEVSQL19_DEV19 iPAS ReturnType" connectionId="3" autoFormatId="16" applyNumberFormats="0" applyBorderFormats="0" applyFontFormats="0" applyPatternFormats="0" applyAlignmentFormats="0" applyWidthHeightFormats="0">
  <queryTableRefresh nextId="4">
    <queryTableFields count="2">
      <queryTableField id="1" name="Id" tableColumnId="1"/>
      <queryTableField id="3" name="ReturnType" tableColumnId="3"/>
    </queryTableFields>
  </queryTableRefresh>
</queryTable>
</file>

<file path=xl/queryTables/queryTable6.xml><?xml version="1.0" encoding="utf-8"?>
<queryTable xmlns="http://schemas.openxmlformats.org/spreadsheetml/2006/main" name="VWNDEVSQL19_DEV19 iPAS vReturnTolarance" connectionId="14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iPasFundId" tableColumnId="1"/>
      <queryTableField id="2" name="BOneFundCode" tableColumnId="2"/>
      <queryTableField id="3" name="Division" tableColumnId="3"/>
      <queryTableField id="4" name="CCY" tableColumnId="4"/>
      <queryTableField id="5" name="ToleranceFundBench" tableColumnId="5"/>
      <queryTableField id="6" name="ToleranceGrossDecomposed" tableColumnId="6"/>
      <queryTableField id="7" name="ToleranceCashflow" tableColumnId="7"/>
      <queryTableField id="8" name="ToleranceNavChange" tableColumnId="8"/>
      <queryTableField id="9" name="ToleranceFree1" tableColumnId="9"/>
      <queryTableField id="10" name="ToleranceFree2" tableColumnId="10"/>
      <queryTableField id="11" name="ToleranceFree3" tableColumnId="11"/>
    </queryTableFields>
  </queryTableRefresh>
</queryTable>
</file>

<file path=xl/queryTables/queryTable7.xml><?xml version="1.0" encoding="utf-8"?>
<queryTable xmlns="http://schemas.openxmlformats.org/spreadsheetml/2006/main" name="VWNDEVSQL19_DEV19 iPAS ReturnFrequency" connectionId="2" autoFormatId="16" applyNumberFormats="0" applyBorderFormats="0" applyFontFormats="0" applyPatternFormats="0" applyAlignmentFormats="0" applyWidthHeightFormats="0">
  <queryTableRefresh nextId="4">
    <queryTableFields count="2">
      <queryTableField id="1" name="Id" tableColumnId="1"/>
      <queryTableField id="3" name="ReturnFrequency" tableColumnId="2"/>
    </queryTableFields>
  </queryTableRefresh>
</queryTable>
</file>

<file path=xl/queryTables/queryTable8.xml><?xml version="1.0" encoding="utf-8"?>
<queryTable xmlns="http://schemas.openxmlformats.org/spreadsheetml/2006/main" name="VWNDEVSQL19_DEV19 iPAS vAggregateFund" connectionId="5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BOneFundCode_Master" tableColumnId="2"/>
      <queryTableField id="3" name="BOneFundCode_SubFund" tableColumnId="3"/>
      <queryTableField id="4" name="Weight" tableColumnId="4"/>
    </queryTableFields>
  </queryTableRefresh>
</queryTable>
</file>

<file path=xl/queryTables/queryTable9.xml><?xml version="1.0" encoding="utf-8"?>
<queryTable xmlns="http://schemas.openxmlformats.org/spreadsheetml/2006/main" name="VWNDEVSQL19_DEV19 iPAS ReturnSource" connectionId="10" autoFormatId="16" applyNumberFormats="0" applyBorderFormats="0" applyFontFormats="0" applyPatternFormats="0" applyAlignmentFormats="0" applyWidthHeightFormats="0">
  <queryTableRefresh nextId="4">
    <queryTableFields count="2">
      <queryTableField id="1" name="Id" tableColumnId="1"/>
      <queryTableField id="3" name="ReturnSource" tableColumnId="3"/>
    </queryTableFields>
  </queryTableRefresh>
</queryTable>
</file>

<file path=xl/queryTables/queryTable10.xml><?xml version="1.0" encoding="utf-8"?>
<queryTable xmlns="http://schemas.openxmlformats.org/spreadsheetml/2006/main" name="VWNDEVSQL19_DEV19 iPAS Currency" connectionId="9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CurrencyCode" tableColumnId="2"/>
      <queryTableField id="3" name="Description" tableColumnId="3"/>
    </queryTableFields>
  </queryTableRefresh>
</queryTable>
</file>

<file path=xl/queryTables/queryTable11.xml><?xml version="1.0" encoding="utf-8"?>
<queryTable xmlns="http://schemas.openxmlformats.org/spreadsheetml/2006/main" name="VWNDEVSQL19_DEV19 iPAS vFundCodeMap" connectionId="12" autoFormatId="16" applyNumberFormats="0" applyBorderFormats="0" applyFontFormats="0" applyPatternFormats="0" applyAlignmentFormats="0" applyWidthHeightFormats="0">
  <queryTableRefresh preserveSortFilterLayout="0" nextId="14">
    <queryTableFields count="13">
      <queryTableField id="1" name="BOneFundCode" tableColumnId="1"/>
      <queryTableField id="2" name="QuasarFundCode" tableColumnId="2"/>
      <queryTableField id="3" name="IPasFundCode" tableColumnId="3"/>
      <queryTableField id="4" name="ScopeFundCode" tableColumnId="4"/>
      <queryTableField id="5" name="LipperFundCode" tableColumnId="5"/>
      <queryTableField id="6" name="CCY" tableColumnId="6"/>
      <queryTableField id="7" name="Division" tableColumnId="7"/>
      <queryTableField id="8" name="Inception Date" tableColumnId="8"/>
      <queryTableField id="9" name="Return Target Level" tableColumnId="9"/>
      <queryTableField id="10" name="Return Tolerance Level" tableColumnId="10"/>
      <queryTableField id="11" name="Closed" tableColumnId="11"/>
      <queryTableField id="12" name="Fund Description" tableColumnId="12"/>
      <queryTableField id="13" name="Benchmark Description" tableColumnId="13"/>
    </queryTableFields>
  </queryTableRefresh>
</queryTable>
</file>

<file path=xl/queryTables/queryTable12.xml><?xml version="1.0" encoding="utf-8"?>
<queryTable xmlns="http://schemas.openxmlformats.org/spreadsheetml/2006/main" name="VWNDEVSQL19_DEV19 iPAS BenchmarkDetails" connectionId="1" autoFormatId="16" applyNumberFormats="0" applyBorderFormats="0" applyFontFormats="0" applyPatternFormats="0" applyAlignmentFormats="0" applyWidthHeightFormats="0">
  <queryTableRefresh nextId="7">
    <queryTableFields count="6">
      <queryTableField id="1" name="iPasId" tableColumnId="1"/>
      <queryTableField id="2" name="BOneCode" tableColumnId="2"/>
      <queryTableField id="3" name="ExternalCode" tableColumnId="3"/>
      <queryTableField id="4" name="BloombergCode" tableColumnId="4"/>
      <queryTableField id="5" name="Description" tableColumnId="5"/>
      <queryTableField id="6" name="Closed" tableColumnId="6"/>
    </queryTableFields>
  </queryTableRefresh>
</queryTable>
</file>

<file path=xl/queryTables/queryTable13.xml><?xml version="1.0" encoding="utf-8"?>
<queryTable xmlns="http://schemas.openxmlformats.org/spreadsheetml/2006/main" name="VWNDEVSQL19_DEV19 iPAS vComposite" connectionId="6" autoFormatId="16" applyNumberFormats="0" applyBorderFormats="0" applyFontFormats="0" applyPatternFormats="0" applyAlignmentFormats="0" applyWidthHeightFormats="0">
  <queryTableRefresh nextId="11">
    <queryTableFields count="10">
      <queryTableField id="1" name="Id" tableColumnId="1"/>
      <queryTableField id="2" name="Code" tableColumnId="2"/>
      <queryTableField id="3" name="Description" tableColumnId="3"/>
      <queryTableField id="4" name="Inception Date" tableColumnId="4"/>
      <queryTableField id="5" name="Ccy" tableColumnId="5"/>
      <queryTableField id="6" name="Division" tableColumnId="6"/>
      <queryTableField id="7" name="Investment Strategy" tableColumnId="7"/>
      <queryTableField id="8" name="Region" tableColumnId="8"/>
      <queryTableField id="9" name="Gips" tableColumnId="9"/>
      <queryTableField id="10" name="Closed" tableColumnId="10"/>
    </queryTableFields>
  </queryTableRefresh>
</queryTable>
</file>

<file path=xl/queryTables/queryTable14.xml><?xml version="1.0" encoding="utf-8"?>
<queryTable xmlns="http://schemas.openxmlformats.org/spreadsheetml/2006/main" name="VWNDEVSQL19_DEV19 iPAS vCompositeFund" connectionId="7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CompositeCode" tableColumnId="2"/>
      <queryTableField id="3" name="FundCode" tableColumnId="3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id="9" name="tblHome" displayName="tblHome" ref="B15:O32" totalsRowShown="0" headerRowDxfId="158" dataDxfId="157">
  <autoFilter ref="B15:O32"/>
  <tableColumns count="14">
    <tableColumn id="1" name="BOne Fund Code" dataDxfId="156"/>
    <tableColumn id="2" name="Fund Type" dataDxfId="155" dataCellStyle="Comma">
      <calculatedColumnFormula>IFERROR(INDEX(trk.vFundCodeMap[Division],MATCH(tblHome[[#This Row],[BOne Fund Code]],trk.vFundCodeMap[BOneFundCode],0)),"Set up the fund in Tracking Tool")</calculatedColumnFormula>
    </tableColumn>
    <tableColumn id="3" name="Fund CCY" dataDxfId="154">
      <calculatedColumnFormula>IFERROR(INDEX(trk.vFundCodeMap[CCY],MATCH(tblHome[[#This Row],[BOne Fund Code]],trk.vFundCodeMap[BOneFundCode],0)),"Set up the fund in Tracking Tool")</calculatedColumnFormula>
    </tableColumn>
    <tableColumn id="6" name="Previous Month Return in iPas" dataDxfId="153">
      <calculatedColumnFormula>INDEX(tblChecks[Previous Month Return in iPas],MATCH(tblHome[[#This Row],[BOne Fund Code]],tblHome[BOne Fund Code],0))</calculatedColumnFormula>
    </tableColumn>
    <tableColumn id="7" name="Historical Returns Approved" dataDxfId="152">
      <calculatedColumnFormula>INDEX(tblChecks[All Previous Months Approved],MATCH(tblHome[[#This Row],[BOne Fund Code]],tblHome[BOne Fund Code],0))</calculatedColumnFormula>
    </tableColumn>
    <tableColumn id="12" name="Fund Gross Return in BOne" dataDxfId="151">
      <calculatedColumnFormula>IF(INDEX(tblBoneReturn[GROSS_TOTAL_RETURN],MATCH(tblHome[[#This Row],[BOne Fund Code]],tblBoneReturn[FUND_CODE],0))=0,"",INDEX(tblBoneReturn[GROSS_TOTAL_RETURN],MATCH(tblHome[[#This Row],[BOne Fund Code]],tblBoneReturn[FUND_CODE],0)))</calculatedColumnFormula>
    </tableColumn>
    <tableColumn id="13" name="Bmk Return in BOne" dataDxfId="150">
      <calculatedColumnFormula>IF(INDEX(tblBoneReturn[BMK_TOTAL_RETURN],MATCH(tblHome[[#This Row],[BOne Fund Code]],tblBoneReturn[FUND_CODE],0))=0,"",INDEX(tblBoneReturn[BMK_TOTAL_RETURN],MATCH(tblHome[[#This Row],[BOne Fund Code]],tblBoneReturn[FUND_CODE],0)))</calculatedColumnFormula>
    </tableColumn>
    <tableColumn id="4" name="Fund Gross Return In IPas" dataDxfId="149" dataCellStyle="Comma">
      <calculatedColumnFormula>SUMIFS(trk.vReturnFund[GrossReturn],trk.vReturnFund[BOneFundCode],tblHome[[#This Row],[BOne Fund Code]],trk.vReturnFund[EndDate],RngEndDate,trk.vReturnFund[StartDate], RngStartDate, trk.vReturnFund[Currency],tblHome[[#This Row],[Fund CCY]])</calculatedColumnFormula>
    </tableColumn>
    <tableColumn id="5" name="Bmk Return In IPas" dataDxfId="148">
      <calculatedColumnFormula>SUMIFS(trk.vReturnBenchmark[GrossReturn],trk.vReturnBenchmark[BOneFundCode],tblHome[[#This Row],[BOne Fund Code]],trk.vReturnBenchmark[EndDate],RngEndDate,trk.vReturnBenchmark[ReturnFrequency],"Monthly",trk.vReturnBenchmark[ReturnSource],"B-One")</calculatedColumnFormula>
    </tableColumn>
    <tableColumn id="8" name="Difference - Gross Fund Bmk" dataDxfId="147">
      <calculatedColumnFormula>IF(INDEX(tblChecks[Difference - Gross Fund Bmk],MATCH(tblHome[[#This Row],[BOne Fund Code]],tblChecks[BOne Fund Code],0))=0,"",INDEX(tblChecks[Difference - Gross Fund Bmk],MATCH(tblHome[[#This Row],[BOne Fund Code]],tblChecks[BOne Fund Code],0)))</calculatedColumnFormula>
    </tableColumn>
    <tableColumn id="9" name="Difference - Total Decomposed" dataDxfId="146">
      <calculatedColumnFormula>IF(INDEX(tblChecks[Difference - Total Decomposed],MATCH(tblHome[[#This Row],[BOne Fund Code]],tblChecks[BOne Fund Code],0))=0,"",INDEX(tblChecks[Difference - Total Decomposed],MATCH(tblHome[[#This Row],[BOne Fund Code]],tblChecks[BOne Fund Code],0)))</calculatedColumnFormula>
    </tableColumn>
    <tableColumn id="10" name="Cashflow % of  End NAV" dataDxfId="145" dataCellStyle="Percent">
      <calculatedColumnFormula>IF(INDEX(tblChecks[Proportion of  End NAV],MATCH(tblHome[[#This Row],[BOne Fund Code]],tblChecks[BOne Fund Code],0))=0,"",INDEX(tblChecks[Proportion of  End NAV],MATCH(tblHome[[#This Row],[BOne Fund Code]],tblChecks[BOne Fund Code],0)))</calculatedColumnFormula>
    </tableColumn>
    <tableColumn id="11" name="Significant NAV Movement" dataDxfId="144">
      <calculatedColumnFormula>IF(INDEX(tblChecks[NAV Movement],MATCH(tblHome[[#This Row],[BOne Fund Code]],tblChecks[BOne Fund Code],0))=0,"",INDEX(tblChecks[NAV Movement],MATCH(tblHome[[#This Row],[BOne Fund Code]],tblChecks[BOne Fund Code],0)))</calculatedColumnFormula>
    </tableColumn>
    <tableColumn id="14" name="NAV Consistency Diff" dataDxfId="143">
      <calculatedColumnFormula>IF(INDEX(tblChecks[Diff],MATCH(tblHome[[#This Row],[BOne Fund Code]],tblChecks[BOne Fund Code],0))=0,"",INDEX(tblChecks[Diff],MATCH(tblHome[[#This Row],[BOne Fund Code]],tblChecks[BOne Fund Code],0)))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3" name="tblHomeBmk" displayName="tblHomeBmk" ref="Q15:Q16" insertRow="1" totalsRowShown="0" dataDxfId="283">
  <autoFilter ref="Q15:Q16"/>
  <tableColumns count="1">
    <tableColumn id="1" name="Benchmark Code" dataDxfId="28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3" name="tblBoneReturn" displayName="tblBoneReturn" ref="B3:Y20" totalsRowShown="0" dataDxfId="142">
  <autoFilter ref="B3:Y20"/>
  <tableColumns count="24">
    <tableColumn id="1" name="FUND_CODE" dataDxfId="141"/>
    <tableColumn id="2" name="BENCH_CODE" dataDxfId="140"/>
    <tableColumn id="3" name="FUND_CURRENCY" dataDxfId="139"/>
    <tableColumn id="4" name="FUND_NAME" dataDxfId="138"/>
    <tableColumn id="5" name="START_DATE" dataDxfId="137"/>
    <tableColumn id="6" name="END_DATE" dataDxfId="136"/>
    <tableColumn id="7" name="GROSS_TOTAL_RETURN" dataDxfId="135"/>
    <tableColumn id="8" name="DECOMPOSED" dataDxfId="134"/>
    <tableColumn id="9" name="TOTAL_LESS_DECOMPOSED" dataDxfId="133"/>
    <tableColumn id="10" name="BMK_TOTAL_RETURN" dataDxfId="132"/>
    <tableColumn id="11" name="BMK_DECOMPOSED" dataDxfId="131"/>
    <tableColumn id="12" name="BMK_TOTAL_LESS_DECOMPOSED" dataDxfId="130"/>
    <tableColumn id="13" name="MANAG_FEES" dataDxfId="129"/>
    <tableColumn id="14" name="NET_TOTAL_RETURN" dataDxfId="128"/>
    <tableColumn id="15" name="START_NAV_PER_SHARE" dataDxfId="127"/>
    <tableColumn id="16" name="END_NAV_PER_SHARE" dataDxfId="126"/>
    <tableColumn id="17" name="START_NAV" dataDxfId="125"/>
    <tableColumn id="18" name="END_NAV" dataDxfId="124"/>
    <tableColumn id="19" name="FUND_PL" dataDxfId="123"/>
    <tableColumn id="20" name="FUND_INCOME" dataDxfId="122"/>
    <tableColumn id="21" name="NET_CASHFLOW" dataDxfId="121"/>
    <tableColumn id="22" name="BMK_START_INDEX_LEVEL" dataDxfId="120"/>
    <tableColumn id="23" name="BMK_END_INDEX_LEVEL" dataDxfId="119"/>
    <tableColumn id="26" name="DoNotDelete" dataDxfId="1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blChecks" displayName="tblChecks" ref="B3:AA20" totalsRowShown="0" dataDxfId="281">
  <autoFilter ref="B3:AA20"/>
  <tableColumns count="26">
    <tableColumn id="1" name="BOne Fund Code" dataDxfId="116"/>
    <tableColumn id="32" name="Start Date" dataDxfId="117"/>
    <tableColumn id="33" name="End Date" dataDxfId="280"/>
    <tableColumn id="34" name="Fund Division" dataDxfId="279">
      <calculatedColumnFormula>IFERROR(INDEX(trk.vFundCodeMap[Division],MATCH(tblChecks[[#This Row],[BOne Fund Code]],trk.vFundCodeMap[BOneFundCode],0)),"Set up the fund and its tolerances in Tracking Tool")</calculatedColumnFormula>
    </tableColumn>
    <tableColumn id="35" name="Fund CCY" dataDxfId="278">
      <calculatedColumnFormula>IFERROR(INDEX(trk.vFundCodeMap[CCY],MATCH(tblChecks[[#This Row],[BOne Fund Code]],trk.vFundCodeMap[BOneFundCode],0)),"Set up the fund and its tolerances in Tracking Tool")</calculatedColumnFormula>
    </tableColumn>
    <tableColumn id="36" name="Previous Month Return in iPas" dataDxfId="277">
      <calculatedColumnFormula>IF(SUMIFS(trk.vReturnFund[GrossReturn],trk.vReturnFund[BOneFundCode],tblChecks[[#This Row],[BOne Fund Code]],trk.vReturnFund[StartDate],EOMONTH(tblChecks[[#This Row],[Start Date]],-1),trk.vReturnFund[EndDate],EOMONTH(tblChecks[[#This Row],[End Date]],-1),trk.vReturnFund[Currency],tblChecks[[#This Row],[Fund CCY]],trk.vReturnFund[ReturnType], "Total Return",trk.vReturnFund[ReturnSource],"B-One")&lt;&gt;0,"Yes","No")</calculatedColumnFormula>
    </tableColumn>
    <tableColumn id="37" name="All Previous Months Approved" dataDxfId="276">
      <calculatedColumnFormula>checkAllPreviousMonthApproved(tblChecks[[#This Row],[BOne Fund Code]])</calculatedColumnFormula>
    </tableColumn>
    <tableColumn id="38" name="Gross Fund Return" dataDxfId="275">
      <calculatedColumnFormula>SUMIFS(tblBoneReturn[GROSS_TOTAL_RETURN],tblBoneReturn[FUND_CODE],tblChecks[[#This Row],[BOne Fund Code]],tblBoneReturn[END_DATE],tblChecks[[#This Row],[End Date]],tblBoneReturn[FUND_CURRENCY],tblChecks[[#This Row],[Fund CCY]])</calculatedColumnFormula>
    </tableColumn>
    <tableColumn id="39" name="Benchmark Return" dataDxfId="274">
      <calculatedColumnFormula>SUMIFS(tblBoneReturn[BMK_TOTAL_RETURN],tblBoneReturn[FUND_CODE],tblChecks[[#This Row],[BOne Fund Code]],tblBoneReturn[END_DATE],tblChecks[[#This Row],[End Date]])</calculatedColumnFormula>
    </tableColumn>
    <tableColumn id="40" name="Tolerance - Gross" dataDxfId="273">
      <calculatedColumnFormula>IFERROR(INDEX(trk.tblReturnTolerance[ToleranceFundBench],MATCH(tblChecks[[#This Row],[BOne Fund Code]],trk.tblReturnTolerance[BOneFundCode],0)),"Set up the fund and its tolerances in Tracking Tool")</calculatedColumnFormula>
    </tableColumn>
    <tableColumn id="41" name="Difference - Gross Fund Bmk" dataDxfId="272">
      <calculatedColumnFormula>IF(tblChecks[[#This Row],[Benchmark Return]]=0,0,tblChecks[[#This Row],[Gross Fund Return]]-tblChecks[[#This Row],[Benchmark Return]])</calculatedColumnFormula>
    </tableColumn>
    <tableColumn id="42" name="Gross Return" dataDxfId="271">
      <calculatedColumnFormula>SUMIFS(tblBoneReturn[GROSS_TOTAL_RETURN],tblBoneReturn[FUND_CODE],tblChecks[[#This Row],[BOne Fund Code]],tblBoneReturn[END_DATE],tblChecks[[#This Row],[End Date]],tblBoneReturn[FUND_CURRENCY],tblChecks[[#This Row],[Fund CCY]])</calculatedColumnFormula>
    </tableColumn>
    <tableColumn id="43" name="Decomposed" dataDxfId="270">
      <calculatedColumnFormula>SUMIFS(tblBoneReturn[DECOMPOSED],tblBoneReturn[FUND_CODE],tblChecks[[#This Row],[BOne Fund Code]],tblBoneReturn[END_DATE],tblChecks[[#This Row],[End Date]],tblBoneReturn[FUND_CURRENCY],tblChecks[[#This Row],[Fund CCY]])</calculatedColumnFormula>
    </tableColumn>
    <tableColumn id="44" name="Tolerance - Decomposed" dataDxfId="269">
      <calculatedColumnFormula>IFERROR(INDEX(trk.tblReturnTolerance[ToleranceGrossDecomposed],MATCH(tblChecks[[#This Row],[BOne Fund Code]],trk.tblReturnTolerance[BOneFundCode],0)),"Set up the fund and its tolerances in Tracking Tool")</calculatedColumnFormula>
    </tableColumn>
    <tableColumn id="45" name="Difference - Total Decomposed" dataDxfId="268">
      <calculatedColumnFormula>tblChecks[[#This Row],[Gross Return]]-tblChecks[[#This Row],[Decomposed]]</calculatedColumnFormula>
    </tableColumn>
    <tableColumn id="46" name="BOne Cashflows (Net)" dataDxfId="267">
      <calculatedColumnFormula>SUMIFS(tblBoneReturn[NET_CASHFLOW],tblBoneReturn[FUND_CODE],tblChecks[[#This Row],[BOne Fund Code]],tblBoneReturn[START_DATE],tblChecks[[#This Row],[Start Date]],tblBoneReturn[END_DATE],tblChecks[[#This Row],[End Date]],tblBoneReturn[FUND_CURRENCY],tblChecks[[#This Row],[Fund CCY]])</calculatedColumnFormula>
    </tableColumn>
    <tableColumn id="47" name="BOne End NAV" dataDxfId="266">
      <calculatedColumnFormula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calculatedColumnFormula>
    </tableColumn>
    <tableColumn id="48" name="Tolerance - Cashflow" dataDxfId="265">
      <calculatedColumnFormula>IFERROR(INDEX(trk.tblReturnTolerance[ToleranceCashflow],MATCH(tblChecks[[#This Row],[BOne Fund Code]],trk.tblReturnTolerance[BOneFundCode],0)),"Set up the fund and its tolerances in Tracking Tool")</calculatedColumnFormula>
    </tableColumn>
    <tableColumn id="49" name="Proportion of  End NAV" dataDxfId="264" dataCellStyle="Percent">
      <calculatedColumnFormula>IFERROR(tblChecks[[#This Row],[BOne Cashflows (Net)]]/tblChecks[[#This Row],[BOne End NAV]],"Set up the fund and its tolerances in Tracking Tool")</calculatedColumnFormula>
    </tableColumn>
    <tableColumn id="50" name="Start NAV" dataDxfId="263">
      <calculatedColumnFormula>SUMIFS(tblBoneReturn[START_NAV],tblBoneReturn[FUND_CODE],tblChecks[[#This Row],[BOne Fund Code]],tblBoneReturn[START_DATE],tblChecks[[#This Row],[Start Date]],tblBoneReturn[END_DATE],tblChecks[[#This Row],[End Date]],tblBoneReturn[FUND_CURRENCY],tblChecks[[#This Row],[Fund CCY]])</calculatedColumnFormula>
    </tableColumn>
    <tableColumn id="51" name="End NAV" dataDxfId="262">
      <calculatedColumnFormula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calculatedColumnFormula>
    </tableColumn>
    <tableColumn id="52" name="Tolerance - NAV Change" dataDxfId="261">
      <calculatedColumnFormula>IFERROR(INDEX(trk.tblReturnTolerance[ToleranceNavChange],MATCH(tblChecks[[#This Row],[BOne Fund Code]],trk.tblReturnTolerance[BOneFundCode],0)),"Set up the fund and its tolerances in Tracking Tool")</calculatedColumnFormula>
    </tableColumn>
    <tableColumn id="53" name="NAV Movement" dataDxfId="260">
      <calculatedColumnFormula>IFERROR(tblChecks[[#This Row],[End NAV]]/tblChecks[[#This Row],[Start NAV]]-1,"Set up the fund and its tolerances in Tracking Tool")</calculatedColumnFormula>
    </tableColumn>
    <tableColumn id="54" name="BOne Starting NAV" dataDxfId="259">
      <calculatedColumnFormula>SUMIFS(tblBoneReturn[START_NAV],tblBoneReturn[FUND_CODE],tblChecks[[#This Row],[BOne Fund Code]],tblBoneReturn[FUND_CURRENCY],tblChecks[[#This Row],[Fund CCY]],tblBoneReturn[START_DATE],tblChecks[[#This Row],[Start Date]])</calculatedColumnFormula>
    </tableColumn>
    <tableColumn id="55" name="iPas previous month ending NAV" dataDxfId="258">
      <calculatedColumnFormula>SUMIFS(trk.vReturnFund[EndNav],trk.vReturnFund[BOneFundCode],tblChecks[[#This Row],[BOne Fund Code]],trk.vReturnFund[EndDate],tblChecks[[#This Row],[Start Date]],trk.vReturnFund[Currency],tblChecks[[#This Row],[Fund CCY]],trk.vReturnFund[ReturnFrequency],"Monthly",trk.vReturnFund[ReturnType], "Total Return")</calculatedColumnFormula>
    </tableColumn>
    <tableColumn id="56" name="Diff" dataDxfId="257">
      <calculatedColumnFormula>tblChecks[[#This Row],[BOne Starting NAV]]-tblChecks[[#This Row],[iPas previous month ending NAV]]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7" name="trk.ReturnFund" displayName="trk.ReturnFund" ref="B3:X20" totalsRowShown="0" headerRowDxfId="256" dataDxfId="115">
  <autoFilter ref="B3:X20"/>
  <tableColumns count="23">
    <tableColumn id="19" name="Id" dataDxfId="114"/>
    <tableColumn id="20" name="LoadFlag" dataDxfId="113"/>
    <tableColumn id="1" name="FundCode" dataDxfId="112"/>
    <tableColumn id="21" name="FundCodeType" dataDxfId="111"/>
    <tableColumn id="2" name="StartDate" dataDxfId="110"/>
    <tableColumn id="3" name="EndDate" dataDxfId="109"/>
    <tableColumn id="4" name="Frequency" dataDxfId="108"/>
    <tableColumn id="5" name="FullPeriod" dataDxfId="107"/>
    <tableColumn id="6" name="ReturnType" dataDxfId="106"/>
    <tableColumn id="7" name="Currency" dataDxfId="105"/>
    <tableColumn id="8" name="Source" dataDxfId="104"/>
    <tableColumn id="9" name="Status" dataDxfId="103"/>
    <tableColumn id="10" name="Approved" dataDxfId="102"/>
    <tableColumn id="11" name="GrossReturn" dataDxfId="101"/>
    <tableColumn id="12" name="NetReturn" dataDxfId="100"/>
    <tableColumn id="13" name="CapitalReturn" dataDxfId="99"/>
    <tableColumn id="14" name="ProfitAndLoss" dataDxfId="98"/>
    <tableColumn id="16" name="WhtImpact" dataDxfId="97"/>
    <tableColumn id="17" name="DealingCost" dataDxfId="96"/>
    <tableColumn id="18" name="ReturnComment" dataDxfId="95"/>
    <tableColumn id="22" name="EndNavPerShare" dataDxfId="94"/>
    <tableColumn id="23" name="StartNav" dataDxfId="93"/>
    <tableColumn id="24" name="EndNav" dataDxfId="9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tblReturnBenchmark" displayName="tblReturnBenchmark" ref="B3:S8" totalsRowShown="0" headerRowDxfId="255" dataDxfId="91">
  <autoFilter ref="B3:S8"/>
  <tableColumns count="18">
    <tableColumn id="1" name="Id" dataDxfId="90"/>
    <tableColumn id="2" name="LoadFlag" dataDxfId="89"/>
    <tableColumn id="3" name="BmkCode" dataDxfId="88"/>
    <tableColumn id="4" name="BmkCodeType" dataDxfId="87"/>
    <tableColumn id="5" name="StartDate" dataDxfId="86"/>
    <tableColumn id="6" name="EndDate" dataDxfId="85"/>
    <tableColumn id="7" name="Frequency" dataDxfId="84"/>
    <tableColumn id="8" name="FullPeriod" dataDxfId="83"/>
    <tableColumn id="9" name="ReturnType" dataDxfId="82"/>
    <tableColumn id="10" name="Currency" dataDxfId="81"/>
    <tableColumn id="11" name="Source" dataDxfId="80"/>
    <tableColumn id="12" name="GrossReturn" dataDxfId="79"/>
    <tableColumn id="13" name="NetReturn" dataDxfId="78"/>
    <tableColumn id="14" name="CapitalReturn" dataDxfId="77"/>
    <tableColumn id="15" name="IndexRebased" dataDxfId="76"/>
    <tableColumn id="16" name="StartIndexLevel" dataDxfId="75"/>
    <tableColumn id="17" name="EndIndexLevel" dataDxfId="74"/>
    <tableColumn id="18" name="ReturnComment" dataDxfId="7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rk.vReturnFund" displayName="trk.vReturnFund" ref="B3:AB105" tableType="queryTable" totalsRowShown="0" dataDxfId="72">
  <autoFilter ref="B3:AB105"/>
  <tableColumns count="27">
    <tableColumn id="325" uniqueName="325" name="Id" queryTableFieldId="1" dataDxfId="71"/>
    <tableColumn id="326" uniqueName="326" name="BOneFundCode" queryTableFieldId="2" dataDxfId="70"/>
    <tableColumn id="327" uniqueName="327" name="iPasFundCode" queryTableFieldId="3" dataDxfId="69"/>
    <tableColumn id="328" uniqueName="328" name="QuasarFundCode" queryTableFieldId="4" dataDxfId="68"/>
    <tableColumn id="329" uniqueName="329" name="ScopeFundCode" queryTableFieldId="5" dataDxfId="67"/>
    <tableColumn id="330" uniqueName="330" name="LipperFundCode" queryTableFieldId="6" dataDxfId="66"/>
    <tableColumn id="331" uniqueName="331" name="NorthernTrustFundCode" queryTableFieldId="7" dataDxfId="65"/>
    <tableColumn id="332" uniqueName="332" name="StartDate" queryTableFieldId="8" dataDxfId="64"/>
    <tableColumn id="333" uniqueName="333" name="EndDate" queryTableFieldId="9" dataDxfId="63"/>
    <tableColumn id="334" uniqueName="334" name="ReturnFrequency" queryTableFieldId="10" dataDxfId="62"/>
    <tableColumn id="335" uniqueName="335" name="FullPeriod" queryTableFieldId="11" dataDxfId="61"/>
    <tableColumn id="336" uniqueName="336" name="ReturnType" queryTableFieldId="12" dataDxfId="60"/>
    <tableColumn id="337" uniqueName="337" name="Currency" queryTableFieldId="13" dataDxfId="59"/>
    <tableColumn id="338" uniqueName="338" name="ReturnSource" queryTableFieldId="14" dataDxfId="58"/>
    <tableColumn id="339" uniqueName="339" name="ReturnStatus" queryTableFieldId="15" dataDxfId="57"/>
    <tableColumn id="340" uniqueName="340" name="Approved" queryTableFieldId="16" dataDxfId="56"/>
    <tableColumn id="341" uniqueName="341" name="GrossReturn" queryTableFieldId="17" dataDxfId="55"/>
    <tableColumn id="342" uniqueName="342" name="NetReturn" queryTableFieldId="18" dataDxfId="54"/>
    <tableColumn id="343" uniqueName="343" name="CapitalReturn" queryTableFieldId="19" dataDxfId="53"/>
    <tableColumn id="344" uniqueName="344" name="ProfitAndLoss" queryTableFieldId="20" dataDxfId="52"/>
    <tableColumn id="345" uniqueName="345" name="WhtImpact" queryTableFieldId="21" dataDxfId="51"/>
    <tableColumn id="346" uniqueName="346" name="DealingCost" queryTableFieldId="22" dataDxfId="50"/>
    <tableColumn id="347" uniqueName="347" name="ReturnComment" queryTableFieldId="23" dataDxfId="49"/>
    <tableColumn id="348" uniqueName="348" name="EndNavPerShare" queryTableFieldId="24" dataDxfId="48"/>
    <tableColumn id="349" uniqueName="349" name="StartNav" queryTableFieldId="25" dataDxfId="47"/>
    <tableColumn id="350" uniqueName="350" name="EndNav" queryTableFieldId="26" dataDxfId="46"/>
    <tableColumn id="351" uniqueName="351" name="RowVersion" queryTableFieldId="27" dataDxfId="4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4" name="trk.vReturnBenchmark" displayName="trk.vReturnBenchmark" ref="AD3:AY33" tableType="queryTable" totalsRowShown="0" dataDxfId="22">
  <autoFilter ref="AD3:AY33"/>
  <tableColumns count="22">
    <tableColumn id="265" uniqueName="265" name="Id" queryTableFieldId="1" dataDxfId="21"/>
    <tableColumn id="266" uniqueName="266" name="BOneBmkCode" queryTableFieldId="2" dataDxfId="20"/>
    <tableColumn id="267" uniqueName="267" name="iPasBmkCode" queryTableFieldId="3" dataDxfId="19"/>
    <tableColumn id="268" uniqueName="268" name="ExternalBmkCode" queryTableFieldId="4" dataDxfId="18"/>
    <tableColumn id="269" uniqueName="269" name="BbergBmkCode" queryTableFieldId="5" dataDxfId="17"/>
    <tableColumn id="270" uniqueName="270" name="BOneFundCode" queryTableFieldId="6" dataDxfId="16"/>
    <tableColumn id="271" uniqueName="271" name="QuasarFundCode" queryTableFieldId="7" dataDxfId="15"/>
    <tableColumn id="272" uniqueName="272" name="StartDate" queryTableFieldId="8" dataDxfId="14"/>
    <tableColumn id="273" uniqueName="273" name="EndDate" queryTableFieldId="9" dataDxfId="13"/>
    <tableColumn id="274" uniqueName="274" name="ReturnFrequency" queryTableFieldId="10" dataDxfId="12"/>
    <tableColumn id="275" uniqueName="275" name="FullPeriod" queryTableFieldId="11" dataDxfId="11"/>
    <tableColumn id="276" uniqueName="276" name="ReturnType" queryTableFieldId="12" dataDxfId="10"/>
    <tableColumn id="277" uniqueName="277" name="Currency" queryTableFieldId="13" dataDxfId="9"/>
    <tableColumn id="278" uniqueName="278" name="ReturnSource" queryTableFieldId="14" dataDxfId="8"/>
    <tableColumn id="279" uniqueName="279" name="GrossReturn" queryTableFieldId="15" dataDxfId="7"/>
    <tableColumn id="280" uniqueName="280" name="NetReturn" queryTableFieldId="16" dataDxfId="6"/>
    <tableColumn id="281" uniqueName="281" name="CapitalReturn" queryTableFieldId="17" dataDxfId="5"/>
    <tableColumn id="282" uniqueName="282" name="IndexRebased" queryTableFieldId="18" dataDxfId="4"/>
    <tableColumn id="283" uniqueName="283" name="StartIndexLevel" queryTableFieldId="19" dataDxfId="3"/>
    <tableColumn id="284" uniqueName="284" name="EndIndexLevel" queryTableFieldId="20" dataDxfId="2"/>
    <tableColumn id="285" uniqueName="285" name="ReturnComment" queryTableFieldId="21" dataDxfId="1"/>
    <tableColumn id="286" uniqueName="286" name="RowVersion" queryTableFieldId="22" data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trk.tblReturnCoverPageComment" displayName="trk.tblReturnCoverPageComment" ref="B3:C4" tableType="queryTable" insertRow="1" totalsRowShown="0" dataDxfId="254">
  <autoFilter ref="B3:C4"/>
  <sortState ref="B4:C4">
    <sortCondition ref="B3:B4"/>
  </sortState>
  <tableColumns count="2">
    <tableColumn id="1" uniqueName="1" name="BOneFundCode" queryTableFieldId="1" dataDxfId="160"/>
    <tableColumn id="2" uniqueName="2" name="Comment" queryTableFieldId="2" dataDxfId="15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9" name="trk.tblReturnStatus" displayName="trk.tblReturnStatus" ref="H4:I8" tableType="queryTable" totalsRowShown="0" dataDxfId="184">
  <autoFilter ref="H4:I8"/>
  <tableColumns count="2">
    <tableColumn id="1" uniqueName="1" name="Id" queryTableFieldId="1" dataDxfId="183"/>
    <tableColumn id="3" uniqueName="3" name="ReturnStatus" queryTableFieldId="3" dataDxfId="18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rk.tblReturnType" displayName="trk.tblReturnType" ref="B4:C69" tableType="queryTable" totalsRowShown="0" dataDxfId="181">
  <autoFilter ref="B4:C69"/>
  <tableColumns count="2">
    <tableColumn id="1" uniqueName="1" name="Id" queryTableFieldId="1" dataDxfId="180"/>
    <tableColumn id="3" uniqueName="3" name="ReturnType" queryTableFieldId="3" dataDxfId="17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6" name="trk.tblReturnTolerance" displayName="trk.tblReturnTolerance" ref="K4:U5" tableType="queryTable" insertRow="1" totalsRowShown="0" dataDxfId="253">
  <autoFilter ref="K4:U5"/>
  <sortState ref="K5:U20">
    <sortCondition descending="1" ref="L4:L20"/>
  </sortState>
  <tableColumns count="11">
    <tableColumn id="1" uniqueName="1" name="iPasFundId" queryTableFieldId="1" dataDxfId="178"/>
    <tableColumn id="2" uniqueName="2" name="BOneFundCode" queryTableFieldId="2" dataDxfId="177"/>
    <tableColumn id="3" uniqueName="3" name="Division" queryTableFieldId="3" dataDxfId="176"/>
    <tableColumn id="4" uniqueName="4" name="CCY" queryTableFieldId="4" dataDxfId="175"/>
    <tableColumn id="5" uniqueName="5" name="ToleranceFundBench" queryTableFieldId="5" dataDxfId="174"/>
    <tableColumn id="6" uniqueName="6" name="ToleranceGrossDecomposed" queryTableFieldId="6" dataDxfId="173"/>
    <tableColumn id="7" uniqueName="7" name="ToleranceCashflow" queryTableFieldId="7" dataDxfId="172"/>
    <tableColumn id="8" uniqueName="8" name="ToleranceNavChange" queryTableFieldId="8" dataDxfId="171"/>
    <tableColumn id="9" uniqueName="9" name="ToleranceFree1" queryTableFieldId="9" dataDxfId="170"/>
    <tableColumn id="10" uniqueName="10" name="ToleranceFree2" queryTableFieldId="10" dataDxfId="169"/>
    <tableColumn id="11" uniqueName="11" name="ToleranceFree3" queryTableFieldId="11" dataDxfId="16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1" name="trk.tblReturnFrequency" displayName="trk.tblReturnFrequency" ref="E4:F25" tableType="queryTable" totalsRowShown="0" dataDxfId="167">
  <autoFilter ref="E4:F25"/>
  <tableColumns count="2">
    <tableColumn id="1" uniqueName="1" name="Id" queryTableFieldId="1" dataDxfId="166"/>
    <tableColumn id="2" uniqueName="2" name="ReturnFrequency" queryTableFieldId="3" dataDxfId="16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2" name="trk.tblAggregateFund" displayName="trk.tblAggregateFund" ref="W4:Z5" tableType="queryTable" insertRow="1" totalsRowShown="0" dataDxfId="252">
  <autoFilter ref="W4:Z5"/>
  <tableColumns count="4">
    <tableColumn id="1" uniqueName="1" name="Id" queryTableFieldId="1" dataDxfId="164"/>
    <tableColumn id="2" uniqueName="2" name="BOneFundCode_Master" queryTableFieldId="2" dataDxfId="163"/>
    <tableColumn id="3" uniqueName="3" name="BOneFundCode_SubFund" queryTableFieldId="3" dataDxfId="162"/>
    <tableColumn id="4" uniqueName="4" name="Weight" queryTableFieldId="4" dataDxfId="16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rk.tblReturnSource" displayName="trk.tblReturnSource" ref="B4:C9" tableType="queryTable" totalsRowShown="0" dataDxfId="227">
  <autoFilter ref="B4:C9"/>
  <tableColumns count="2">
    <tableColumn id="1" uniqueName="1" name="Id" queryTableFieldId="1" dataDxfId="226"/>
    <tableColumn id="3" uniqueName="3" name="ReturnSource" queryTableFieldId="3" dataDxfId="22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7" name="tblCurrency" displayName="tblCurrency" ref="E4:G202" tableType="queryTable" totalsRowShown="0" dataDxfId="224">
  <autoFilter ref="E4:G202"/>
  <tableColumns count="3">
    <tableColumn id="1" uniqueName="1" name="Id" queryTableFieldId="1" dataDxfId="223"/>
    <tableColumn id="2" uniqueName="2" name="CurrencyCode" queryTableFieldId="2" dataDxfId="222"/>
    <tableColumn id="3" uniqueName="3" name="Description" queryTableFieldId="3" dataDxfId="22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8" name="trk.vFundCodeMap" displayName="trk.vFundCodeMap" ref="I4:U513" tableType="queryTable" totalsRowShown="0" dataDxfId="220">
  <autoFilter ref="I4:U513"/>
  <tableColumns count="13">
    <tableColumn id="1" uniqueName="1" name="BOneFundCode" queryTableFieldId="1" dataDxfId="219"/>
    <tableColumn id="2" uniqueName="2" name="QuasarFundCode" queryTableFieldId="2" dataDxfId="218"/>
    <tableColumn id="3" uniqueName="3" name="IPasFundCode" queryTableFieldId="3" dataDxfId="217"/>
    <tableColumn id="4" uniqueName="4" name="ScopeFundCode" queryTableFieldId="4" dataDxfId="216"/>
    <tableColumn id="5" uniqueName="5" name="LipperFundCode" queryTableFieldId="5" dataDxfId="215"/>
    <tableColumn id="6" uniqueName="6" name="CCY" queryTableFieldId="6" dataDxfId="214"/>
    <tableColumn id="7" uniqueName="7" name="Division" queryTableFieldId="7" dataDxfId="213"/>
    <tableColumn id="8" uniqueName="8" name="Inception Date" queryTableFieldId="8" dataDxfId="212"/>
    <tableColumn id="9" uniqueName="9" name="Return Target Level" queryTableFieldId="9" dataDxfId="211"/>
    <tableColumn id="10" uniqueName="10" name="Return Tolerance Level" queryTableFieldId="10" dataDxfId="210"/>
    <tableColumn id="11" uniqueName="11" name="Closed" queryTableFieldId="11" dataDxfId="209"/>
    <tableColumn id="12" uniqueName="12" name="Fund Description" queryTableFieldId="12" dataDxfId="208"/>
    <tableColumn id="13" uniqueName="13" name="Benchmark Description" queryTableFieldId="13" dataDxfId="20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" name="trk.BenchmarkDetails" displayName="trk.BenchmarkDetails" ref="X4:AC276" tableType="queryTable" totalsRowShown="0" dataDxfId="206">
  <autoFilter ref="X4:AC276"/>
  <tableColumns count="6">
    <tableColumn id="1" uniqueName="1" name="iPasId" queryTableFieldId="1" dataDxfId="205"/>
    <tableColumn id="2" uniqueName="2" name="BOneCode" queryTableFieldId="2" dataDxfId="204"/>
    <tableColumn id="3" uniqueName="3" name="ExternalCode" queryTableFieldId="3" dataDxfId="203"/>
    <tableColumn id="4" uniqueName="4" name="BloombergCode" queryTableFieldId="4" dataDxfId="202"/>
    <tableColumn id="5" uniqueName="5" name="Description" queryTableFieldId="5" dataDxfId="201"/>
    <tableColumn id="6" uniqueName="6" name="Closed" queryTableFieldId="6" dataDxfId="20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6" name="trk.vComposite" displayName="trk.vComposite" ref="AE4:AN327" tableType="queryTable" totalsRowShown="0" dataDxfId="199">
  <autoFilter ref="AE4:AN327"/>
  <tableColumns count="10">
    <tableColumn id="1" uniqueName="1" name="Id" queryTableFieldId="1" dataDxfId="198"/>
    <tableColumn id="2" uniqueName="2" name="Code" queryTableFieldId="2" dataDxfId="197"/>
    <tableColumn id="3" uniqueName="3" name="Description" queryTableFieldId="3" dataDxfId="196"/>
    <tableColumn id="4" uniqueName="4" name="Inception Date" queryTableFieldId="4" dataDxfId="195"/>
    <tableColumn id="5" uniqueName="5" name="Ccy" queryTableFieldId="5" dataDxfId="194"/>
    <tableColumn id="6" uniqueName="6" name="Division" queryTableFieldId="6" dataDxfId="193"/>
    <tableColumn id="7" uniqueName="7" name="Investment Strategy" queryTableFieldId="7" dataDxfId="192"/>
    <tableColumn id="8" uniqueName="8" name="Region" queryTableFieldId="8" dataDxfId="191"/>
    <tableColumn id="9" uniqueName="9" name="Gips" queryTableFieldId="9" dataDxfId="190"/>
    <tableColumn id="10" uniqueName="10" name="Closed" queryTableFieldId="10" dataDxfId="18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trk.vCompositeFund" displayName="trk.vCompositeFund" ref="AP4:AR164" tableType="queryTable" totalsRowShown="0" dataDxfId="188">
  <autoFilter ref="AP4:AR164"/>
  <tableColumns count="3">
    <tableColumn id="1" uniqueName="1" name="Id" queryTableFieldId="1" dataDxfId="187"/>
    <tableColumn id="2" uniqueName="2" name="CompositeCode" queryTableFieldId="2" dataDxfId="186"/>
    <tableColumn id="3" uniqueName="3" name="FundCode" queryTableFieldId="3" dataDxfId="185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2" name="tblCoverpageHist" displayName="tblCoverpageHist" ref="B5:H18" totalsRowShown="0" headerRowDxfId="251" dataDxfId="250" tableBorderDxfId="249" headerRowCellStyle="Normal 2 3" dataCellStyle="Normal 2 3">
  <autoFilter ref="B5:H18"/>
  <tableColumns count="7">
    <tableColumn id="1" name="Date" dataDxfId="248" dataCellStyle="Normal 2 3"/>
    <tableColumn id="2" name="Total Fund" dataDxfId="247" dataCellStyle="Normal 2 3"/>
    <tableColumn id="3" name="Benchmark" dataDxfId="246" dataCellStyle="Normal 2 3">
      <calculatedColumnFormula>VLOOKUP(tblCoverpageHist[[#This Row],[Date]],tblBenchmarksForSelectedFund[#Data],2,FALSE)</calculatedColumnFormula>
    </tableColumn>
    <tableColumn id="4" name="Rel (arithm.)" dataDxfId="245" dataCellStyle="Normal 2 3">
      <calculatedColumnFormula>IF(OR(NOT(ISNUMBER(tblCoverpageHist[[#This Row],[Total Fund]])),NOT(ISNUMBER(tblCoverpageHist[[#This Row],[Benchmark]]))),"",tblCoverpageHist[[#This Row],[Total Fund]]-tblCoverpageHist[[#This Row],[Benchmark]])</calculatedColumnFormula>
    </tableColumn>
    <tableColumn id="5" name="Rel (geom.)" dataDxfId="244" dataCellStyle="Normal 2 3">
      <calculatedColumnFormula>IF(OR(NOT(ISNUMBER(tblCoverpageHist[[#This Row],[Total Fund]])),NOT(ISNUMBER(tblCoverpageHist[[#This Row],[Benchmark]]))),"",((((tblCoverpageHist[[#This Row],[Total Fund]]/100)+1)/((tblCoverpageHist[[#This Row],[Benchmark]]/100)+1))-1)*100)</calculatedColumnFormula>
    </tableColumn>
    <tableColumn id="6" name="Status" dataDxfId="243" dataCellStyle="Normal 2 3"/>
    <tableColumn id="7" name="Comment Section" dataDxfId="242" dataCellStyle="Normal 2 3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3" name="tblBenchmarksForSelectedFund" displayName="tblBenchmarksForSelectedFund" ref="B2:D3" insertRow="1" totalsRowShown="0">
  <autoFilter ref="B2:D3"/>
  <sortState ref="B3:C4">
    <sortCondition ref="B3:B4"/>
  </sortState>
  <tableColumns count="3">
    <tableColumn id="1" name="Date" dataDxfId="241"/>
    <tableColumn id="2" name="BMRtn"/>
    <tableColumn id="3" name="BMValue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4" name="tblReturnsForSelectedFund" displayName="tblReturnsForSelectedFund" ref="F2:O17" totalsRowShown="0">
  <autoFilter ref="F2:O17"/>
  <sortState ref="F3:O3">
    <sortCondition descending="1" ref="F2:F3"/>
  </sortState>
  <tableColumns count="10">
    <tableColumn id="1" name="Date" dataDxfId="240"/>
    <tableColumn id="2" name="Gross"/>
    <tableColumn id="4" name="Net"/>
    <tableColumn id="5" name="ExclSec"/>
    <tableColumn id="6" name="Cap"/>
    <tableColumn id="7" name="WHT"/>
    <tableColumn id="8" name="NAV"/>
    <tableColumn id="9" name="PNL"/>
    <tableColumn id="10" name="Comment"/>
    <tableColumn id="3" name="Status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5" name="tblSubFund1" displayName="tblSubFund1" ref="AH2:AQ15" totalsRowShown="0">
  <autoFilter ref="AH2:AQ15"/>
  <sortState ref="AH2:AO6">
    <sortCondition ref="AH3:AH7"/>
  </sortState>
  <tableColumns count="10">
    <tableColumn id="1" name="Date" dataDxfId="239"/>
    <tableColumn id="2" name="Gross"/>
    <tableColumn id="4" name="Net"/>
    <tableColumn id="5" name="ExclSec"/>
    <tableColumn id="6" name="Cap"/>
    <tableColumn id="7" name="WHT"/>
    <tableColumn id="8" name="NAV"/>
    <tableColumn id="9" name="PNL"/>
    <tableColumn id="10" name="Comment"/>
    <tableColumn id="3" name="Status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6" name="tblSubFund2" displayName="tblSubFund2" ref="BA2:BJ15" totalsRowShown="0">
  <autoFilter ref="BA2:BJ15"/>
  <sortState ref="BA2:BJ161">
    <sortCondition descending="1" ref="BA1:BA161"/>
  </sortState>
  <tableColumns count="10">
    <tableColumn id="1" name="Date" dataDxfId="238"/>
    <tableColumn id="2" name="Gross"/>
    <tableColumn id="4" name="Net"/>
    <tableColumn id="5" name="ExclSec"/>
    <tableColumn id="6" name="Cap"/>
    <tableColumn id="7" name="WHT"/>
    <tableColumn id="8" name="NAV"/>
    <tableColumn id="9" name="PNL"/>
    <tableColumn id="10" name="Comment"/>
    <tableColumn id="3" name="Status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7" name="tblSubFund3" displayName="tblSubFund3" ref="BT2:CC3" insertRow="1" totalsRowShown="0">
  <autoFilter ref="BT2:CC3"/>
  <sortState ref="BT2:CC14">
    <sortCondition descending="1" ref="BT1:BT14"/>
  </sortState>
  <tableColumns count="10">
    <tableColumn id="1" name="Date" dataDxfId="237"/>
    <tableColumn id="2" name="Gross"/>
    <tableColumn id="4" name="Net"/>
    <tableColumn id="5" name="ExclSec"/>
    <tableColumn id="6" name="Cap"/>
    <tableColumn id="7" name="WHT"/>
    <tableColumn id="8" name="NAV"/>
    <tableColumn id="9" name="PNL"/>
    <tableColumn id="10" name="Comment"/>
    <tableColumn id="3" name="Status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8" name="tblSubFund4" displayName="tblSubFund4" ref="CM2:CV3" insertRow="1" totalsRowShown="0">
  <autoFilter ref="CM2:CV3"/>
  <sortState ref="CM2:CV161">
    <sortCondition descending="1" ref="CM1:CM161"/>
  </sortState>
  <tableColumns count="10">
    <tableColumn id="1" name="Date" dataDxfId="236"/>
    <tableColumn id="2" name="Gross"/>
    <tableColumn id="4" name="Net"/>
    <tableColumn id="5" name="ExclSec"/>
    <tableColumn id="6" name="Cap"/>
    <tableColumn id="7" name="WHT"/>
    <tableColumn id="8" name="NAV"/>
    <tableColumn id="9" name="PNL"/>
    <tableColumn id="10" name="Comment"/>
    <tableColumn id="3" name="Status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9" name="tblSubFund5" displayName="tblSubFund5" ref="DF2:DO3" insertRow="1" totalsRowShown="0">
  <autoFilter ref="DF2:DO3"/>
  <sortState ref="DF2:DM6">
    <sortCondition ref="DF3:DF7"/>
  </sortState>
  <tableColumns count="10">
    <tableColumn id="1" name="Date" dataDxfId="235"/>
    <tableColumn id="2" name="Gross"/>
    <tableColumn id="4" name="Net"/>
    <tableColumn id="5" name="ExclSec"/>
    <tableColumn id="6" name="Cap"/>
    <tableColumn id="7" name="WHT"/>
    <tableColumn id="8" name="NAV"/>
    <tableColumn id="9" name="PNL"/>
    <tableColumn id="10" name="Comment"/>
    <tableColumn id="3" name="Status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30" name="tblSubFund6" displayName="tblSubFund6" ref="DY2:EH3" insertRow="1" totalsRowShown="0">
  <autoFilter ref="DY2:EH3"/>
  <sortState ref="DY2:EH161">
    <sortCondition descending="1" ref="DY1:DY161"/>
  </sortState>
  <tableColumns count="10">
    <tableColumn id="1" name="Date" dataDxfId="234"/>
    <tableColumn id="2" name="Gross"/>
    <tableColumn id="4" name="Net"/>
    <tableColumn id="5" name="ExclSec"/>
    <tableColumn id="6" name="Cap"/>
    <tableColumn id="7" name="WHT"/>
    <tableColumn id="8" name="NAV"/>
    <tableColumn id="9" name="PNL"/>
    <tableColumn id="10" name="Comment"/>
    <tableColumn id="3" name="Status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31" name="tblBenchmarkSub1" displayName="tblBenchmarkSub1" ref="AS2:AU3" insertRow="1" totalsRowShown="0">
  <autoFilter ref="AS2:AU3"/>
  <sortState ref="AS2:AT3">
    <sortCondition ref="AS3:AS4"/>
  </sortState>
  <tableColumns count="3">
    <tableColumn id="1" name="Date" dataDxfId="233"/>
    <tableColumn id="2" name="BMRtn"/>
    <tableColumn id="3" name="BMValu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2" name="tblBenchmarkSub2" displayName="tblBenchmarkSub2" ref="BL2:BN3" insertRow="1" totalsRowShown="0">
  <autoFilter ref="BL2:BN3"/>
  <sortState ref="BL2:BM3">
    <sortCondition ref="BL3:BL4"/>
  </sortState>
  <tableColumns count="3">
    <tableColumn id="1" name="Date" dataDxfId="232"/>
    <tableColumn id="2" name="BMRtn"/>
    <tableColumn id="3" name="BMValue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3" name="tblBenchmarkSub3" displayName="tblBenchmarkSub3" ref="CE2:CG3" insertRow="1" totalsRowShown="0">
  <autoFilter ref="CE2:CG3"/>
  <sortState ref="CE2:CF3">
    <sortCondition ref="CE3:CE4"/>
  </sortState>
  <tableColumns count="3">
    <tableColumn id="1" name="Date" dataDxfId="231"/>
    <tableColumn id="2" name="BMRtn"/>
    <tableColumn id="3" name="BMValue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34" name="tblBenchmarkSub4" displayName="tblBenchmarkSub4" ref="CX2:CZ3" insertRow="1" totalsRowShown="0">
  <autoFilter ref="CX2:CZ3"/>
  <sortState ref="CX2:CY3">
    <sortCondition ref="CX3:CX4"/>
  </sortState>
  <tableColumns count="3">
    <tableColumn id="1" name="Date" dataDxfId="230"/>
    <tableColumn id="2" name="BMRtn"/>
    <tableColumn id="3" name="BMValue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35" name="tblBenchmarkSub5" displayName="tblBenchmarkSub5" ref="DQ2:DS3" insertRow="1" totalsRowShown="0">
  <autoFilter ref="DQ2:DS3"/>
  <sortState ref="DQ2:DR3">
    <sortCondition ref="DQ3:DQ4"/>
  </sortState>
  <tableColumns count="3">
    <tableColumn id="1" name="Date" dataDxfId="229"/>
    <tableColumn id="2" name="BMRtn"/>
    <tableColumn id="3" name="BMValue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36" name="tblBenchmarkSub6" displayName="tblBenchmarkSub6" ref="EJ2:EL3" insertRow="1" totalsRowShown="0">
  <autoFilter ref="EJ2:EL3"/>
  <sortState ref="EJ2:EK3">
    <sortCondition ref="EJ3:EJ4"/>
  </sortState>
  <tableColumns count="3">
    <tableColumn id="1" name="Date" dataDxfId="228"/>
    <tableColumn id="2" name="BMRtn"/>
    <tableColumn id="3" name="BM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4.xml"/><Relationship Id="rId4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13" Type="http://schemas.openxmlformats.org/officeDocument/2006/relationships/table" Target="../tables/table33.xml"/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12" Type="http://schemas.openxmlformats.org/officeDocument/2006/relationships/table" Target="../tables/table32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26.xml"/><Relationship Id="rId11" Type="http://schemas.openxmlformats.org/officeDocument/2006/relationships/table" Target="../tables/table31.xml"/><Relationship Id="rId5" Type="http://schemas.openxmlformats.org/officeDocument/2006/relationships/table" Target="../tables/table25.xml"/><Relationship Id="rId15" Type="http://schemas.openxmlformats.org/officeDocument/2006/relationships/table" Target="../tables/table35.xml"/><Relationship Id="rId10" Type="http://schemas.openxmlformats.org/officeDocument/2006/relationships/table" Target="../tables/table30.xml"/><Relationship Id="rId4" Type="http://schemas.openxmlformats.org/officeDocument/2006/relationships/table" Target="../tables/table24.xml"/><Relationship Id="rId9" Type="http://schemas.openxmlformats.org/officeDocument/2006/relationships/table" Target="../tables/table29.xml"/><Relationship Id="rId14" Type="http://schemas.openxmlformats.org/officeDocument/2006/relationships/table" Target="../tables/table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me">
    <tabColor theme="4" tint="-0.249977111117893"/>
  </sheetPr>
  <dimension ref="B1:Y32"/>
  <sheetViews>
    <sheetView showGridLines="0" showRowColHeaders="0" zoomScaleNormal="100" workbookViewId="0">
      <selection activeCell="C11" sqref="C11"/>
    </sheetView>
  </sheetViews>
  <sheetFormatPr defaultRowHeight="15" outlineLevelCol="1"/>
  <cols>
    <col min="1" max="1" width="2.5703125" customWidth="1"/>
    <col min="2" max="2" width="15.5703125" customWidth="1"/>
    <col min="3" max="3" width="13" customWidth="1"/>
    <col min="4" max="4" width="10.7109375" bestFit="1" customWidth="1"/>
    <col min="5" max="5" width="14" customWidth="1"/>
    <col min="6" max="6" width="15.42578125" customWidth="1"/>
    <col min="7" max="7" width="11.5703125" customWidth="1"/>
    <col min="8" max="8" width="10.42578125" customWidth="1"/>
    <col min="9" max="9" width="11.85546875" customWidth="1"/>
    <col min="10" max="10" width="10.5703125" customWidth="1"/>
    <col min="11" max="11" width="12.42578125" customWidth="1"/>
    <col min="12" max="12" width="14.28515625" customWidth="1"/>
    <col min="13" max="13" width="11.140625" customWidth="1"/>
    <col min="14" max="14" width="15.140625" bestFit="1" customWidth="1"/>
    <col min="15" max="15" width="15.140625" customWidth="1"/>
    <col min="17" max="17" width="17.85546875" bestFit="1" customWidth="1"/>
    <col min="20" max="20" width="21.5703125" hidden="1" customWidth="1" outlineLevel="1"/>
    <col min="21" max="21" width="0" hidden="1" customWidth="1" outlineLevel="1"/>
    <col min="22" max="22" width="9.140625" collapsed="1"/>
  </cols>
  <sheetData>
    <row r="1" spans="2:25">
      <c r="X1" t="s">
        <v>62</v>
      </c>
      <c r="Y1">
        <v>5422</v>
      </c>
    </row>
    <row r="2" spans="2:25">
      <c r="B2" s="1" t="s">
        <v>11</v>
      </c>
      <c r="C2" s="3" t="s">
        <v>2587</v>
      </c>
      <c r="X2" t="s">
        <v>65</v>
      </c>
      <c r="Y2">
        <v>5423</v>
      </c>
    </row>
    <row r="3" spans="2:25">
      <c r="B3" s="1" t="s">
        <v>10</v>
      </c>
      <c r="C3" s="3">
        <v>2017</v>
      </c>
      <c r="T3" s="5" t="s">
        <v>33</v>
      </c>
      <c r="U3" s="6" t="s">
        <v>279</v>
      </c>
      <c r="X3" t="s">
        <v>68</v>
      </c>
      <c r="Y3">
        <v>5424</v>
      </c>
    </row>
    <row r="4" spans="2:25">
      <c r="B4" s="1" t="s">
        <v>1</v>
      </c>
      <c r="C4" s="4">
        <f>EOMONTH(DATE(C3,MONTH(C2&amp;"-1"+0),1),0)</f>
        <v>42916</v>
      </c>
      <c r="T4" s="5" t="s">
        <v>34</v>
      </c>
      <c r="U4" s="6" t="s">
        <v>35</v>
      </c>
      <c r="X4" t="s">
        <v>66</v>
      </c>
      <c r="Y4" t="s">
        <v>248</v>
      </c>
    </row>
    <row r="5" spans="2:25">
      <c r="B5" s="1"/>
      <c r="C5" s="1"/>
      <c r="T5" s="5" t="s">
        <v>36</v>
      </c>
      <c r="U5" s="6" t="s">
        <v>40</v>
      </c>
      <c r="X5" t="s">
        <v>73</v>
      </c>
    </row>
    <row r="6" spans="2:25">
      <c r="B6" s="1" t="s">
        <v>9</v>
      </c>
      <c r="C6" s="1" t="s">
        <v>0</v>
      </c>
      <c r="T6" s="5" t="s">
        <v>37</v>
      </c>
      <c r="U6" s="6" t="s">
        <v>38</v>
      </c>
      <c r="X6" t="s">
        <v>69</v>
      </c>
    </row>
    <row r="7" spans="2:25">
      <c r="B7" s="2">
        <v>1</v>
      </c>
      <c r="C7" s="4">
        <f>EOMONTH(RngEndDate,-B7)</f>
        <v>42886</v>
      </c>
      <c r="T7" s="5" t="s">
        <v>39</v>
      </c>
      <c r="U7" s="6" t="s">
        <v>249</v>
      </c>
      <c r="X7" t="s">
        <v>71</v>
      </c>
    </row>
    <row r="8" spans="2:25">
      <c r="T8" s="7" t="s">
        <v>41</v>
      </c>
      <c r="U8" s="6" t="s">
        <v>280</v>
      </c>
      <c r="X8" t="s">
        <v>70</v>
      </c>
    </row>
    <row r="9" spans="2:25">
      <c r="T9" s="5" t="s">
        <v>59</v>
      </c>
      <c r="U9" s="6" t="b">
        <v>0</v>
      </c>
      <c r="X9" t="s">
        <v>63</v>
      </c>
    </row>
    <row r="10" spans="2:25">
      <c r="X10" t="s">
        <v>67</v>
      </c>
    </row>
    <row r="11" spans="2:25">
      <c r="X11" t="s">
        <v>64</v>
      </c>
    </row>
    <row r="12" spans="2:25">
      <c r="X12" t="s">
        <v>61</v>
      </c>
    </row>
    <row r="13" spans="2:25">
      <c r="X13" t="s">
        <v>72</v>
      </c>
    </row>
    <row r="15" spans="2:25" ht="46.5" customHeight="1">
      <c r="B15" s="23" t="s">
        <v>112</v>
      </c>
      <c r="C15" s="23" t="s">
        <v>113</v>
      </c>
      <c r="D15" s="23" t="s">
        <v>114</v>
      </c>
      <c r="E15" s="23" t="s">
        <v>142</v>
      </c>
      <c r="F15" s="23" t="s">
        <v>116</v>
      </c>
      <c r="G15" s="39" t="s">
        <v>155</v>
      </c>
      <c r="H15" s="34" t="s">
        <v>156</v>
      </c>
      <c r="I15" s="34" t="s">
        <v>117</v>
      </c>
      <c r="J15" s="40" t="s">
        <v>115</v>
      </c>
      <c r="K15" s="109" t="s">
        <v>134</v>
      </c>
      <c r="L15" s="109" t="s">
        <v>137</v>
      </c>
      <c r="M15" s="109" t="s">
        <v>144</v>
      </c>
      <c r="N15" s="109" t="s">
        <v>118</v>
      </c>
      <c r="O15" s="109" t="s">
        <v>285</v>
      </c>
      <c r="Q15" s="144" t="s">
        <v>282</v>
      </c>
    </row>
    <row r="16" spans="2:25">
      <c r="B16" s="156" t="s">
        <v>62</v>
      </c>
      <c r="C16" s="21" t="str">
        <f>IFERROR(INDEX(trk.vFundCodeMap[Division],MATCH(tblHome[[#This Row],[BOne Fund Code]],trk.vFundCodeMap[BOneFundCode],0)),"Set up the fund in Tracking Tool")</f>
        <v>Active Bond</v>
      </c>
      <c r="D16" s="42" t="str">
        <f>IFERROR(INDEX(trk.vFundCodeMap[CCY],MATCH(tblHome[[#This Row],[BOne Fund Code]],trk.vFundCodeMap[BOneFundCode],0)),"Set up the fund in Tracking Tool")</f>
        <v>GBP</v>
      </c>
      <c r="E16" s="148" t="str">
        <f>INDEX(tblChecks[Previous Month Return in iPas],MATCH(tblHome[[#This Row],[BOne Fund Code]],tblHome[BOne Fund Code],0))</f>
        <v>Yes</v>
      </c>
      <c r="F16" s="148" t="str">
        <f>INDEX(tblChecks[All Previous Months Approved],MATCH(tblHome[[#This Row],[BOne Fund Code]],tblHome[BOne Fund Code],0))</f>
        <v>No</v>
      </c>
      <c r="G16" s="42">
        <f>IF(INDEX(tblBoneReturn[GROSS_TOTAL_RETURN],MATCH(tblHome[[#This Row],[BOne Fund Code]],tblBoneReturn[FUND_CODE],0))=0,"",INDEX(tblBoneReturn[GROSS_TOTAL_RETURN],MATCH(tblHome[[#This Row],[BOne Fund Code]],tblBoneReturn[FUND_CODE],0)))</f>
        <v>-1.9994185000000001E-2</v>
      </c>
      <c r="H16" s="42" t="str">
        <f>IF(INDEX(tblBoneReturn[BMK_TOTAL_RETURN],MATCH(tblHome[[#This Row],[BOne Fund Code]],tblBoneReturn[FUND_CODE],0))=0,"",INDEX(tblBoneReturn[BMK_TOTAL_RETURN],MATCH(tblHome[[#This Row],[BOne Fund Code]],tblBoneReturn[FUND_CODE],0)))</f>
        <v/>
      </c>
      <c r="I16" s="154">
        <f>SUMIFS(trk.vReturnFund[GrossReturn],trk.vReturnFund[BOneFundCode],tblHome[[#This Row],[BOne Fund Code]],trk.vReturnFund[EndDate],RngEndDate,trk.vReturnFund[StartDate], RngStartDate, trk.vReturnFund[Currency],tblHome[[#This Row],[Fund CCY]])</f>
        <v>-1.9994185000000001E-2</v>
      </c>
      <c r="J16" s="41">
        <f>SUMIFS(trk.vReturnBenchmark[GrossReturn],trk.vReturnBenchmark[BOneFundCode],tblHome[[#This Row],[BOne Fund Code]],trk.vReturnBenchmark[EndDate],RngEndDate,trk.vReturnBenchmark[ReturnFrequency],"Monthly",trk.vReturnBenchmark[ReturnSource],"B-One")</f>
        <v>0</v>
      </c>
      <c r="K16" s="41" t="str">
        <f>IF(INDEX(tblChecks[Difference - Gross Fund Bmk],MATCH(tblHome[[#This Row],[BOne Fund Code]],tblChecks[BOne Fund Code],0))=0,"",INDEX(tblChecks[Difference - Gross Fund Bmk],MATCH(tblHome[[#This Row],[BOne Fund Code]],tblChecks[BOne Fund Code],0)))</f>
        <v/>
      </c>
      <c r="L16" s="41">
        <f>IF(INDEX(tblChecks[Difference - Total Decomposed],MATCH(tblHome[[#This Row],[BOne Fund Code]],tblChecks[BOne Fund Code],0))=0,"",INDEX(tblChecks[Difference - Total Decomposed],MATCH(tblHome[[#This Row],[BOne Fund Code]],tblChecks[BOne Fund Code],0)))</f>
        <v>-1.9994185000000001E-2</v>
      </c>
      <c r="M16" s="25">
        <f>IF(INDEX(tblChecks[Proportion of  End NAV],MATCH(tblHome[[#This Row],[BOne Fund Code]],tblChecks[BOne Fund Code],0))=0,"",INDEX(tblChecks[Proportion of  End NAV],MATCH(tblHome[[#This Row],[BOne Fund Code]],tblChecks[BOne Fund Code],0)))</f>
        <v>1.440798114172191E-6</v>
      </c>
      <c r="N16" s="13">
        <f>IF(INDEX(tblChecks[NAV Movement],MATCH(tblHome[[#This Row],[BOne Fund Code]],tblChecks[BOne Fund Code],0))=0,"",INDEX(tblChecks[NAV Movement],MATCH(tblHome[[#This Row],[BOne Fund Code]],tblChecks[BOne Fund Code],0)))</f>
        <v>-1.9850162566026341E-4</v>
      </c>
      <c r="O16" s="14" t="str">
        <f>IF(INDEX(tblChecks[Diff],MATCH(tblHome[[#This Row],[BOne Fund Code]],tblChecks[BOne Fund Code],0))=0,"",INDEX(tblChecks[Diff],MATCH(tblHome[[#This Row],[BOne Fund Code]],tblChecks[BOne Fund Code],0)))</f>
        <v/>
      </c>
      <c r="Q16" s="9"/>
    </row>
    <row r="17" spans="2:15">
      <c r="B17" s="207" t="s">
        <v>65</v>
      </c>
      <c r="C17" s="201" t="str">
        <f>IFERROR(INDEX(trk.vFundCodeMap[Division],MATCH(tblHome[[#This Row],[BOne Fund Code]],trk.vFundCodeMap[BOneFundCode],0)),"Set up the fund in Tracking Tool")</f>
        <v>Active Bond</v>
      </c>
      <c r="D17" s="202" t="str">
        <f>IFERROR(INDEX(trk.vFundCodeMap[CCY],MATCH(tblHome[[#This Row],[BOne Fund Code]],trk.vFundCodeMap[BOneFundCode],0)),"Set up the fund in Tracking Tool")</f>
        <v>GBP</v>
      </c>
      <c r="E17" s="203" t="str">
        <f>INDEX(tblChecks[Previous Month Return in iPas],MATCH(tblHome[[#This Row],[BOne Fund Code]],tblHome[BOne Fund Code],0))</f>
        <v>Yes</v>
      </c>
      <c r="F17" s="203" t="str">
        <f>INDEX(tblChecks[All Previous Months Approved],MATCH(tblHome[[#This Row],[BOne Fund Code]],tblHome[BOne Fund Code],0))</f>
        <v>No</v>
      </c>
      <c r="G17" s="202">
        <f>IF(INDEX(tblBoneReturn[GROSS_TOTAL_RETURN],MATCH(tblHome[[#This Row],[BOne Fund Code]],tblBoneReturn[FUND_CODE],0))=0,"",INDEX(tblBoneReturn[GROSS_TOTAL_RETURN],MATCH(tblHome[[#This Row],[BOne Fund Code]],tblBoneReturn[FUND_CODE],0)))</f>
        <v>-2.0876104098999999</v>
      </c>
      <c r="H17" s="202" t="str">
        <f>IF(INDEX(tblBoneReturn[BMK_TOTAL_RETURN],MATCH(tblHome[[#This Row],[BOne Fund Code]],tblBoneReturn[FUND_CODE],0))=0,"",INDEX(tblBoneReturn[BMK_TOTAL_RETURN],MATCH(tblHome[[#This Row],[BOne Fund Code]],tblBoneReturn[FUND_CODE],0)))</f>
        <v/>
      </c>
      <c r="I17" s="204">
        <f>SUMIFS(trk.vReturnFund[GrossReturn],trk.vReturnFund[BOneFundCode],tblHome[[#This Row],[BOne Fund Code]],trk.vReturnFund[EndDate],RngEndDate,trk.vReturnFund[StartDate], RngStartDate, trk.vReturnFund[Currency],tblHome[[#This Row],[Fund CCY]])</f>
        <v>-2.0876104098999999</v>
      </c>
      <c r="J17" s="205">
        <f>SUMIFS(trk.vReturnBenchmark[GrossReturn],trk.vReturnBenchmark[BOneFundCode],tblHome[[#This Row],[BOne Fund Code]],trk.vReturnBenchmark[EndDate],RngEndDate,trk.vReturnBenchmark[ReturnFrequency],"Monthly",trk.vReturnBenchmark[ReturnSource],"B-One")</f>
        <v>0</v>
      </c>
      <c r="K17" s="205" t="str">
        <f>IF(INDEX(tblChecks[Difference - Gross Fund Bmk],MATCH(tblHome[[#This Row],[BOne Fund Code]],tblChecks[BOne Fund Code],0))=0,"",INDEX(tblChecks[Difference - Gross Fund Bmk],MATCH(tblHome[[#This Row],[BOne Fund Code]],tblChecks[BOne Fund Code],0)))</f>
        <v/>
      </c>
      <c r="L17" s="205">
        <f>IF(INDEX(tblChecks[Difference - Total Decomposed],MATCH(tblHome[[#This Row],[BOne Fund Code]],tblChecks[BOne Fund Code],0))=0,"",INDEX(tblChecks[Difference - Total Decomposed],MATCH(tblHome[[#This Row],[BOne Fund Code]],tblChecks[BOne Fund Code],0)))</f>
        <v>-2.0876104098999999</v>
      </c>
      <c r="M17" s="143">
        <f>IF(INDEX(tblChecks[Proportion of  End NAV],MATCH(tblHome[[#This Row],[BOne Fund Code]],tblChecks[BOne Fund Code],0))=0,"",INDEX(tblChecks[Proportion of  End NAV],MATCH(tblHome[[#This Row],[BOne Fund Code]],tblChecks[BOne Fund Code],0)))</f>
        <v>-6.0091546940092862E-6</v>
      </c>
      <c r="N17" s="205">
        <f>IF(INDEX(tblChecks[NAV Movement],MATCH(tblHome[[#This Row],[BOne Fund Code]],tblChecks[BOne Fund Code],0))=0,"",INDEX(tblChecks[NAV Movement],MATCH(tblHome[[#This Row],[BOne Fund Code]],tblChecks[BOne Fund Code],0)))</f>
        <v>-2.0881838947303111E-2</v>
      </c>
      <c r="O17" s="206" t="str">
        <f>IF(INDEX(tblChecks[Diff],MATCH(tblHome[[#This Row],[BOne Fund Code]],tblChecks[BOne Fund Code],0))=0,"",INDEX(tblChecks[Diff],MATCH(tblHome[[#This Row],[BOne Fund Code]],tblChecks[BOne Fund Code],0)))</f>
        <v/>
      </c>
    </row>
    <row r="18" spans="2:15">
      <c r="B18" s="207" t="s">
        <v>68</v>
      </c>
      <c r="C18" s="201" t="str">
        <f>IFERROR(INDEX(trk.vFundCodeMap[Division],MATCH(tblHome[[#This Row],[BOne Fund Code]],trk.vFundCodeMap[BOneFundCode],0)),"Set up the fund in Tracking Tool")</f>
        <v>Active Bond</v>
      </c>
      <c r="D18" s="202" t="str">
        <f>IFERROR(INDEX(trk.vFundCodeMap[CCY],MATCH(tblHome[[#This Row],[BOne Fund Code]],trk.vFundCodeMap[BOneFundCode],0)),"Set up the fund in Tracking Tool")</f>
        <v>GBP</v>
      </c>
      <c r="E18" s="203" t="str">
        <f>INDEX(tblChecks[Previous Month Return in iPas],MATCH(tblHome[[#This Row],[BOne Fund Code]],tblHome[BOne Fund Code],0))</f>
        <v>Yes</v>
      </c>
      <c r="F18" s="203" t="str">
        <f>INDEX(tblChecks[All Previous Months Approved],MATCH(tblHome[[#This Row],[BOne Fund Code]],tblHome[BOne Fund Code],0))</f>
        <v>No</v>
      </c>
      <c r="G18" s="202">
        <f>IF(INDEX(tblBoneReturn[GROSS_TOTAL_RETURN],MATCH(tblHome[[#This Row],[BOne Fund Code]],tblBoneReturn[FUND_CODE],0))=0,"",INDEX(tblBoneReturn[GROSS_TOTAL_RETURN],MATCH(tblHome[[#This Row],[BOne Fund Code]],tblBoneReturn[FUND_CODE],0)))</f>
        <v>-2.6683501419</v>
      </c>
      <c r="H18" s="202">
        <f>IF(INDEX(tblBoneReturn[BMK_TOTAL_RETURN],MATCH(tblHome[[#This Row],[BOne Fund Code]],tblBoneReturn[FUND_CODE],0))=0,"",INDEX(tblBoneReturn[BMK_TOTAL_RETURN],MATCH(tblHome[[#This Row],[BOne Fund Code]],tblBoneReturn[FUND_CODE],0)))</f>
        <v>9.7343768999999993E-3</v>
      </c>
      <c r="I18" s="204">
        <f>SUMIFS(trk.vReturnFund[GrossReturn],trk.vReturnFund[BOneFundCode],tblHome[[#This Row],[BOne Fund Code]],trk.vReturnFund[EndDate],RngEndDate,trk.vReturnFund[StartDate], RngStartDate, trk.vReturnFund[Currency],tblHome[[#This Row],[Fund CCY]])</f>
        <v>-2.6683501419</v>
      </c>
      <c r="J18" s="205">
        <f>SUMIFS(trk.vReturnBenchmark[GrossReturn],trk.vReturnBenchmark[BOneFundCode],tblHome[[#This Row],[BOne Fund Code]],trk.vReturnBenchmark[EndDate],RngEndDate,trk.vReturnBenchmark[ReturnFrequency],"Monthly",trk.vReturnBenchmark[ReturnSource],"B-One")</f>
        <v>9.7343768999999993E-3</v>
      </c>
      <c r="K18" s="205">
        <f>IF(INDEX(tblChecks[Difference - Gross Fund Bmk],MATCH(tblHome[[#This Row],[BOne Fund Code]],tblChecks[BOne Fund Code],0))=0,"",INDEX(tblChecks[Difference - Gross Fund Bmk],MATCH(tblHome[[#This Row],[BOne Fund Code]],tblChecks[BOne Fund Code],0)))</f>
        <v>-2.6780845188</v>
      </c>
      <c r="L18" s="205" t="str">
        <f>IF(INDEX(tblChecks[Difference - Total Decomposed],MATCH(tblHome[[#This Row],[BOne Fund Code]],tblChecks[BOne Fund Code],0))=0,"",INDEX(tblChecks[Difference - Total Decomposed],MATCH(tblHome[[#This Row],[BOne Fund Code]],tblChecks[BOne Fund Code],0)))</f>
        <v/>
      </c>
      <c r="M18" s="143">
        <f>IF(INDEX(tblChecks[Proportion of  End NAV],MATCH(tblHome[[#This Row],[BOne Fund Code]],tblChecks[BOne Fund Code],0))=0,"",INDEX(tblChecks[Proportion of  End NAV],MATCH(tblHome[[#This Row],[BOne Fund Code]],tblChecks[BOne Fund Code],0)))</f>
        <v>-4.3699680773478251E-2</v>
      </c>
      <c r="N18" s="205">
        <f>IF(INDEX(tblChecks[NAV Movement],MATCH(tblHome[[#This Row],[BOne Fund Code]],tblChecks[BOne Fund Code],0))=0,"",INDEX(tblChecks[NAV Movement],MATCH(tblHome[[#This Row],[BOne Fund Code]],tblChecks[BOne Fund Code],0)))</f>
        <v>-6.689606288808736E-2</v>
      </c>
      <c r="O18" s="206" t="str">
        <f>IF(INDEX(tblChecks[Diff],MATCH(tblHome[[#This Row],[BOne Fund Code]],tblChecks[BOne Fund Code],0))=0,"",INDEX(tblChecks[Diff],MATCH(tblHome[[#This Row],[BOne Fund Code]],tblChecks[BOne Fund Code],0)))</f>
        <v/>
      </c>
    </row>
    <row r="19" spans="2:15">
      <c r="B19" s="207" t="s">
        <v>66</v>
      </c>
      <c r="C19" s="201" t="str">
        <f>IFERROR(INDEX(trk.vFundCodeMap[Division],MATCH(tblHome[[#This Row],[BOne Fund Code]],trk.vFundCodeMap[BOneFundCode],0)),"Set up the fund in Tracking Tool")</f>
        <v>Active Bond</v>
      </c>
      <c r="D19" s="202" t="str">
        <f>IFERROR(INDEX(trk.vFundCodeMap[CCY],MATCH(tblHome[[#This Row],[BOne Fund Code]],trk.vFundCodeMap[BOneFundCode],0)),"Set up the fund in Tracking Tool")</f>
        <v>GBP</v>
      </c>
      <c r="E19" s="203" t="str">
        <f>INDEX(tblChecks[Previous Month Return in iPas],MATCH(tblHome[[#This Row],[BOne Fund Code]],tblHome[BOne Fund Code],0))</f>
        <v>Yes</v>
      </c>
      <c r="F19" s="203" t="str">
        <f>INDEX(tblChecks[All Previous Months Approved],MATCH(tblHome[[#This Row],[BOne Fund Code]],tblHome[BOne Fund Code],0))</f>
        <v>No</v>
      </c>
      <c r="G19" s="202">
        <f>IF(INDEX(tblBoneReturn[GROSS_TOTAL_RETURN],MATCH(tblHome[[#This Row],[BOne Fund Code]],tblBoneReturn[FUND_CODE],0))=0,"",INDEX(tblBoneReturn[GROSS_TOTAL_RETURN],MATCH(tblHome[[#This Row],[BOne Fund Code]],tblBoneReturn[FUND_CODE],0)))</f>
        <v>-2.0067145839</v>
      </c>
      <c r="H19" s="202" t="str">
        <f>IF(INDEX(tblBoneReturn[BMK_TOTAL_RETURN],MATCH(tblHome[[#This Row],[BOne Fund Code]],tblBoneReturn[FUND_CODE],0))=0,"",INDEX(tblBoneReturn[BMK_TOTAL_RETURN],MATCH(tblHome[[#This Row],[BOne Fund Code]],tblBoneReturn[FUND_CODE],0)))</f>
        <v/>
      </c>
      <c r="I19" s="204">
        <f>SUMIFS(trk.vReturnFund[GrossReturn],trk.vReturnFund[BOneFundCode],tblHome[[#This Row],[BOne Fund Code]],trk.vReturnFund[EndDate],RngEndDate,trk.vReturnFund[StartDate], RngStartDate, trk.vReturnFund[Currency],tblHome[[#This Row],[Fund CCY]])</f>
        <v>-2.0067145839</v>
      </c>
      <c r="J19" s="205">
        <f>SUMIFS(trk.vReturnBenchmark[GrossReturn],trk.vReturnBenchmark[BOneFundCode],tblHome[[#This Row],[BOne Fund Code]],trk.vReturnBenchmark[EndDate],RngEndDate,trk.vReturnBenchmark[ReturnFrequency],"Monthly",trk.vReturnBenchmark[ReturnSource],"B-One")</f>
        <v>0</v>
      </c>
      <c r="K19" s="205" t="str">
        <f>IF(INDEX(tblChecks[Difference - Gross Fund Bmk],MATCH(tblHome[[#This Row],[BOne Fund Code]],tblChecks[BOne Fund Code],0))=0,"",INDEX(tblChecks[Difference - Gross Fund Bmk],MATCH(tblHome[[#This Row],[BOne Fund Code]],tblChecks[BOne Fund Code],0)))</f>
        <v/>
      </c>
      <c r="L19" s="205" t="str">
        <f>IF(INDEX(tblChecks[Difference - Total Decomposed],MATCH(tblHome[[#This Row],[BOne Fund Code]],tblChecks[BOne Fund Code],0))=0,"",INDEX(tblChecks[Difference - Total Decomposed],MATCH(tblHome[[#This Row],[BOne Fund Code]],tblChecks[BOne Fund Code],0)))</f>
        <v/>
      </c>
      <c r="M19" s="143">
        <f>IF(INDEX(tblChecks[Proportion of  End NAV],MATCH(tblHome[[#This Row],[BOne Fund Code]],tblChecks[BOne Fund Code],0))=0,"",INDEX(tblChecks[Proportion of  End NAV],MATCH(tblHome[[#This Row],[BOne Fund Code]],tblChecks[BOne Fund Code],0)))</f>
        <v>-2.1407979158703641E-6</v>
      </c>
      <c r="N19" s="205">
        <f>IF(INDEX(tblChecks[NAV Movement],MATCH(tblHome[[#This Row],[BOne Fund Code]],tblChecks[BOne Fund Code],0))=0,"",INDEX(tblChecks[NAV Movement],MATCH(tblHome[[#This Row],[BOne Fund Code]],tblChecks[BOne Fund Code],0)))</f>
        <v>-2.0069198869311466E-2</v>
      </c>
      <c r="O19" s="206" t="str">
        <f>IF(INDEX(tblChecks[Diff],MATCH(tblHome[[#This Row],[BOne Fund Code]],tblChecks[BOne Fund Code],0))=0,"",INDEX(tblChecks[Diff],MATCH(tblHome[[#This Row],[BOne Fund Code]],tblChecks[BOne Fund Code],0)))</f>
        <v/>
      </c>
    </row>
    <row r="20" spans="2:15">
      <c r="B20" s="207" t="s">
        <v>73</v>
      </c>
      <c r="C20" s="201" t="str">
        <f>IFERROR(INDEX(trk.vFundCodeMap[Division],MATCH(tblHome[[#This Row],[BOne Fund Code]],trk.vFundCodeMap[BOneFundCode],0)),"Set up the fund in Tracking Tool")</f>
        <v>Active Bond</v>
      </c>
      <c r="D20" s="202" t="str">
        <f>IFERROR(INDEX(trk.vFundCodeMap[CCY],MATCH(tblHome[[#This Row],[BOne Fund Code]],trk.vFundCodeMap[BOneFundCode],0)),"Set up the fund in Tracking Tool")</f>
        <v>GBP</v>
      </c>
      <c r="E20" s="203" t="str">
        <f>INDEX(tblChecks[Previous Month Return in iPas],MATCH(tblHome[[#This Row],[BOne Fund Code]],tblHome[BOne Fund Code],0))</f>
        <v>Yes</v>
      </c>
      <c r="F20" s="203" t="str">
        <f>INDEX(tblChecks[All Previous Months Approved],MATCH(tblHome[[#This Row],[BOne Fund Code]],tblHome[BOne Fund Code],0))</f>
        <v>No</v>
      </c>
      <c r="G20" s="202">
        <f>IF(INDEX(tblBoneReturn[GROSS_TOTAL_RETURN],MATCH(tblHome[[#This Row],[BOne Fund Code]],tblBoneReturn[FUND_CODE],0))=0,"",INDEX(tblBoneReturn[GROSS_TOTAL_RETURN],MATCH(tblHome[[#This Row],[BOne Fund Code]],tblBoneReturn[FUND_CODE],0)))</f>
        <v>-1.7408887835</v>
      </c>
      <c r="H20" s="202" t="str">
        <f>IF(INDEX(tblBoneReturn[BMK_TOTAL_RETURN],MATCH(tblHome[[#This Row],[BOne Fund Code]],tblBoneReturn[FUND_CODE],0))=0,"",INDEX(tblBoneReturn[BMK_TOTAL_RETURN],MATCH(tblHome[[#This Row],[BOne Fund Code]],tblBoneReturn[FUND_CODE],0)))</f>
        <v/>
      </c>
      <c r="I20" s="204">
        <f>SUMIFS(trk.vReturnFund[GrossReturn],trk.vReturnFund[BOneFundCode],tblHome[[#This Row],[BOne Fund Code]],trk.vReturnFund[EndDate],RngEndDate,trk.vReturnFund[StartDate], RngStartDate, trk.vReturnFund[Currency],tblHome[[#This Row],[Fund CCY]])</f>
        <v>-1.7408887835</v>
      </c>
      <c r="J20" s="205">
        <f>SUMIFS(trk.vReturnBenchmark[GrossReturn],trk.vReturnBenchmark[BOneFundCode],tblHome[[#This Row],[BOne Fund Code]],trk.vReturnBenchmark[EndDate],RngEndDate,trk.vReturnBenchmark[ReturnFrequency],"Monthly",trk.vReturnBenchmark[ReturnSource],"B-One")</f>
        <v>0</v>
      </c>
      <c r="K20" s="205" t="str">
        <f>IF(INDEX(tblChecks[Difference - Gross Fund Bmk],MATCH(tblHome[[#This Row],[BOne Fund Code]],tblChecks[BOne Fund Code],0))=0,"",INDEX(tblChecks[Difference - Gross Fund Bmk],MATCH(tblHome[[#This Row],[BOne Fund Code]],tblChecks[BOne Fund Code],0)))</f>
        <v/>
      </c>
      <c r="L20" s="205" t="str">
        <f>IF(INDEX(tblChecks[Difference - Total Decomposed],MATCH(tblHome[[#This Row],[BOne Fund Code]],tblChecks[BOne Fund Code],0))=0,"",INDEX(tblChecks[Difference - Total Decomposed],MATCH(tblHome[[#This Row],[BOne Fund Code]],tblChecks[BOne Fund Code],0)))</f>
        <v/>
      </c>
      <c r="M20" s="143">
        <f>IF(INDEX(tblChecks[Proportion of  End NAV],MATCH(tblHome[[#This Row],[BOne Fund Code]],tblChecks[BOne Fund Code],0))=0,"",INDEX(tblChecks[Proportion of  End NAV],MATCH(tblHome[[#This Row],[BOne Fund Code]],tblChecks[BOne Fund Code],0)))</f>
        <v>-0.28715232484460268</v>
      </c>
      <c r="N20" s="205">
        <f>IF(INDEX(tblChecks[NAV Movement],MATCH(tblHome[[#This Row],[BOne Fund Code]],tblChecks[BOne Fund Code],0))=0,"",INDEX(tblChecks[NAV Movement],MATCH(tblHome[[#This Row],[BOne Fund Code]],tblChecks[BOne Fund Code],0)))</f>
        <v>-0.23526998910868502</v>
      </c>
      <c r="O20" s="206" t="str">
        <f>IF(INDEX(tblChecks[Diff],MATCH(tblHome[[#This Row],[BOne Fund Code]],tblChecks[BOne Fund Code],0))=0,"",INDEX(tblChecks[Diff],MATCH(tblHome[[#This Row],[BOne Fund Code]],tblChecks[BOne Fund Code],0)))</f>
        <v/>
      </c>
    </row>
    <row r="21" spans="2:15">
      <c r="B21" s="207" t="s">
        <v>69</v>
      </c>
      <c r="C21" s="201" t="str">
        <f>IFERROR(INDEX(trk.vFundCodeMap[Division],MATCH(tblHome[[#This Row],[BOne Fund Code]],trk.vFundCodeMap[BOneFundCode],0)),"Set up the fund in Tracking Tool")</f>
        <v>Active Bond</v>
      </c>
      <c r="D21" s="202" t="str">
        <f>IFERROR(INDEX(trk.vFundCodeMap[CCY],MATCH(tblHome[[#This Row],[BOne Fund Code]],trk.vFundCodeMap[BOneFundCode],0)),"Set up the fund in Tracking Tool")</f>
        <v>GBP</v>
      </c>
      <c r="E21" s="203" t="str">
        <f>INDEX(tblChecks[Previous Month Return in iPas],MATCH(tblHome[[#This Row],[BOne Fund Code]],tblHome[BOne Fund Code],0))</f>
        <v>Yes</v>
      </c>
      <c r="F21" s="203" t="str">
        <f>INDEX(tblChecks[All Previous Months Approved],MATCH(tblHome[[#This Row],[BOne Fund Code]],tblHome[BOne Fund Code],0))</f>
        <v>No</v>
      </c>
      <c r="G21" s="202">
        <f>IF(INDEX(tblBoneReturn[GROSS_TOTAL_RETURN],MATCH(tblHome[[#This Row],[BOne Fund Code]],tblBoneReturn[FUND_CODE],0))=0,"",INDEX(tblBoneReturn[GROSS_TOTAL_RETURN],MATCH(tblHome[[#This Row],[BOne Fund Code]],tblBoneReturn[FUND_CODE],0)))</f>
        <v>-2.7642838144000001</v>
      </c>
      <c r="H21" s="202" t="str">
        <f>IF(INDEX(tblBoneReturn[BMK_TOTAL_RETURN],MATCH(tblHome[[#This Row],[BOne Fund Code]],tblBoneReturn[FUND_CODE],0))=0,"",INDEX(tblBoneReturn[BMK_TOTAL_RETURN],MATCH(tblHome[[#This Row],[BOne Fund Code]],tblBoneReturn[FUND_CODE],0)))</f>
        <v/>
      </c>
      <c r="I21" s="204">
        <f>SUMIFS(trk.vReturnFund[GrossReturn],trk.vReturnFund[BOneFundCode],tblHome[[#This Row],[BOne Fund Code]],trk.vReturnFund[EndDate],RngEndDate,trk.vReturnFund[StartDate], RngStartDate, trk.vReturnFund[Currency],tblHome[[#This Row],[Fund CCY]])</f>
        <v>-2.7642838144000001</v>
      </c>
      <c r="J21" s="205">
        <f>SUMIFS(trk.vReturnBenchmark[GrossReturn],trk.vReturnBenchmark[BOneFundCode],tblHome[[#This Row],[BOne Fund Code]],trk.vReturnBenchmark[EndDate],RngEndDate,trk.vReturnBenchmark[ReturnFrequency],"Monthly",trk.vReturnBenchmark[ReturnSource],"B-One")</f>
        <v>0</v>
      </c>
      <c r="K21" s="205" t="str">
        <f>IF(INDEX(tblChecks[Difference - Gross Fund Bmk],MATCH(tblHome[[#This Row],[BOne Fund Code]],tblChecks[BOne Fund Code],0))=0,"",INDEX(tblChecks[Difference - Gross Fund Bmk],MATCH(tblHome[[#This Row],[BOne Fund Code]],tblChecks[BOne Fund Code],0)))</f>
        <v/>
      </c>
      <c r="L21" s="205">
        <f>IF(INDEX(tblChecks[Difference - Total Decomposed],MATCH(tblHome[[#This Row],[BOne Fund Code]],tblChecks[BOne Fund Code],0))=0,"",INDEX(tblChecks[Difference - Total Decomposed],MATCH(tblHome[[#This Row],[BOne Fund Code]],tblChecks[BOne Fund Code],0)))</f>
        <v>-2.7642838144000001</v>
      </c>
      <c r="M21" s="143">
        <f>IF(INDEX(tblChecks[Proportion of  End NAV],MATCH(tblHome[[#This Row],[BOne Fund Code]],tblChecks[BOne Fund Code],0))=0,"",INDEX(tblChecks[Proportion of  End NAV],MATCH(tblHome[[#This Row],[BOne Fund Code]],tblChecks[BOne Fund Code],0)))</f>
        <v>4.0089572229535977E-2</v>
      </c>
      <c r="N21" s="205">
        <f>IF(INDEX(tblChecks[NAV Movement],MATCH(tblHome[[#This Row],[BOne Fund Code]],tblChecks[BOne Fund Code],0))=0,"",INDEX(tblChecks[NAV Movement],MATCH(tblHome[[#This Row],[BOne Fund Code]],tblChecks[BOne Fund Code],0)))</f>
        <v>1.2927694468918505E-2</v>
      </c>
      <c r="O21" s="206" t="str">
        <f>IF(INDEX(tblChecks[Diff],MATCH(tblHome[[#This Row],[BOne Fund Code]],tblChecks[BOne Fund Code],0))=0,"",INDEX(tblChecks[Diff],MATCH(tblHome[[#This Row],[BOne Fund Code]],tblChecks[BOne Fund Code],0)))</f>
        <v/>
      </c>
    </row>
    <row r="22" spans="2:15">
      <c r="B22" s="207" t="s">
        <v>71</v>
      </c>
      <c r="C22" s="201" t="str">
        <f>IFERROR(INDEX(trk.vFundCodeMap[Division],MATCH(tblHome[[#This Row],[BOne Fund Code]],trk.vFundCodeMap[BOneFundCode],0)),"Set up the fund in Tracking Tool")</f>
        <v>Active Bond</v>
      </c>
      <c r="D22" s="202" t="str">
        <f>IFERROR(INDEX(trk.vFundCodeMap[CCY],MATCH(tblHome[[#This Row],[BOne Fund Code]],trk.vFundCodeMap[BOneFundCode],0)),"Set up the fund in Tracking Tool")</f>
        <v>GBP</v>
      </c>
      <c r="E22" s="203" t="str">
        <f>INDEX(tblChecks[Previous Month Return in iPas],MATCH(tblHome[[#This Row],[BOne Fund Code]],tblHome[BOne Fund Code],0))</f>
        <v>Yes</v>
      </c>
      <c r="F22" s="203" t="str">
        <f>INDEX(tblChecks[All Previous Months Approved],MATCH(tblHome[[#This Row],[BOne Fund Code]],tblHome[BOne Fund Code],0))</f>
        <v>No</v>
      </c>
      <c r="G22" s="202">
        <f>IF(INDEX(tblBoneReturn[GROSS_TOTAL_RETURN],MATCH(tblHome[[#This Row],[BOne Fund Code]],tblBoneReturn[FUND_CODE],0))=0,"",INDEX(tblBoneReturn[GROSS_TOTAL_RETURN],MATCH(tblHome[[#This Row],[BOne Fund Code]],tblBoneReturn[FUND_CODE],0)))</f>
        <v>-1.7048241985000001</v>
      </c>
      <c r="H22" s="202" t="str">
        <f>IF(INDEX(tblBoneReturn[BMK_TOTAL_RETURN],MATCH(tblHome[[#This Row],[BOne Fund Code]],tblBoneReturn[FUND_CODE],0))=0,"",INDEX(tblBoneReturn[BMK_TOTAL_RETURN],MATCH(tblHome[[#This Row],[BOne Fund Code]],tblBoneReturn[FUND_CODE],0)))</f>
        <v/>
      </c>
      <c r="I22" s="204">
        <f>SUMIFS(trk.vReturnFund[GrossReturn],trk.vReturnFund[BOneFundCode],tblHome[[#This Row],[BOne Fund Code]],trk.vReturnFund[EndDate],RngEndDate,trk.vReturnFund[StartDate], RngStartDate, trk.vReturnFund[Currency],tblHome[[#This Row],[Fund CCY]])</f>
        <v>-1.7048241985000001</v>
      </c>
      <c r="J22" s="205">
        <f>SUMIFS(trk.vReturnBenchmark[GrossReturn],trk.vReturnBenchmark[BOneFundCode],tblHome[[#This Row],[BOne Fund Code]],trk.vReturnBenchmark[EndDate],RngEndDate,trk.vReturnBenchmark[ReturnFrequency],"Monthly",trk.vReturnBenchmark[ReturnSource],"B-One")</f>
        <v>0</v>
      </c>
      <c r="K22" s="205" t="str">
        <f>IF(INDEX(tblChecks[Difference - Gross Fund Bmk],MATCH(tblHome[[#This Row],[BOne Fund Code]],tblChecks[BOne Fund Code],0))=0,"",INDEX(tblChecks[Difference - Gross Fund Bmk],MATCH(tblHome[[#This Row],[BOne Fund Code]],tblChecks[BOne Fund Code],0)))</f>
        <v/>
      </c>
      <c r="L22" s="205">
        <f>IF(INDEX(tblChecks[Difference - Total Decomposed],MATCH(tblHome[[#This Row],[BOne Fund Code]],tblChecks[BOne Fund Code],0))=0,"",INDEX(tblChecks[Difference - Total Decomposed],MATCH(tblHome[[#This Row],[BOne Fund Code]],tblChecks[BOne Fund Code],0)))</f>
        <v>-1.7048241985000001</v>
      </c>
      <c r="M22" s="143">
        <f>IF(INDEX(tblChecks[Proportion of  End NAV],MATCH(tblHome[[#This Row],[BOne Fund Code]],tblChecks[BOne Fund Code],0))=0,"",INDEX(tblChecks[Proportion of  End NAV],MATCH(tblHome[[#This Row],[BOne Fund Code]],tblChecks[BOne Fund Code],0)))</f>
        <v>-1.5658863967309644E-2</v>
      </c>
      <c r="N22" s="205">
        <f>IF(INDEX(tblChecks[NAV Movement],MATCH(tblHome[[#This Row],[BOne Fund Code]],tblChecks[BOne Fund Code],0))=0,"",INDEX(tblChecks[NAV Movement],MATCH(tblHome[[#This Row],[BOne Fund Code]],tblChecks[BOne Fund Code],0)))</f>
        <v>-3.1948400476757954E-2</v>
      </c>
      <c r="O22" s="206" t="str">
        <f>IF(INDEX(tblChecks[Diff],MATCH(tblHome[[#This Row],[BOne Fund Code]],tblChecks[BOne Fund Code],0))=0,"",INDEX(tblChecks[Diff],MATCH(tblHome[[#This Row],[BOne Fund Code]],tblChecks[BOne Fund Code],0)))</f>
        <v/>
      </c>
    </row>
    <row r="23" spans="2:15">
      <c r="B23" s="207" t="s">
        <v>70</v>
      </c>
      <c r="C23" s="201" t="str">
        <f>IFERROR(INDEX(trk.vFundCodeMap[Division],MATCH(tblHome[[#This Row],[BOne Fund Code]],trk.vFundCodeMap[BOneFundCode],0)),"Set up the fund in Tracking Tool")</f>
        <v>Other</v>
      </c>
      <c r="D23" s="202" t="str">
        <f>IFERROR(INDEX(trk.vFundCodeMap[CCY],MATCH(tblHome[[#This Row],[BOne Fund Code]],trk.vFundCodeMap[BOneFundCode],0)),"Set up the fund in Tracking Tool")</f>
        <v>GBP</v>
      </c>
      <c r="E23" s="203" t="str">
        <f>INDEX(tblChecks[Previous Month Return in iPas],MATCH(tblHome[[#This Row],[BOne Fund Code]],tblHome[BOne Fund Code],0))</f>
        <v>Yes</v>
      </c>
      <c r="F23" s="203" t="str">
        <f>INDEX(tblChecks[All Previous Months Approved],MATCH(tblHome[[#This Row],[BOne Fund Code]],tblHome[BOne Fund Code],0))</f>
        <v>No</v>
      </c>
      <c r="G23" s="202">
        <f>IF(INDEX(tblBoneReturn[GROSS_TOTAL_RETURN],MATCH(tblHome[[#This Row],[BOne Fund Code]],tblBoneReturn[FUND_CODE],0))=0,"",INDEX(tblBoneReturn[GROSS_TOTAL_RETURN],MATCH(tblHome[[#This Row],[BOne Fund Code]],tblBoneReturn[FUND_CODE],0)))</f>
        <v>-0.13644279370000001</v>
      </c>
      <c r="H23" s="202" t="str">
        <f>IF(INDEX(tblBoneReturn[BMK_TOTAL_RETURN],MATCH(tblHome[[#This Row],[BOne Fund Code]],tblBoneReturn[FUND_CODE],0))=0,"",INDEX(tblBoneReturn[BMK_TOTAL_RETURN],MATCH(tblHome[[#This Row],[BOne Fund Code]],tblBoneReturn[FUND_CODE],0)))</f>
        <v/>
      </c>
      <c r="I23" s="204">
        <f>SUMIFS(trk.vReturnFund[GrossReturn],trk.vReturnFund[BOneFundCode],tblHome[[#This Row],[BOne Fund Code]],trk.vReturnFund[EndDate],RngEndDate,trk.vReturnFund[StartDate], RngStartDate, trk.vReturnFund[Currency],tblHome[[#This Row],[Fund CCY]])</f>
        <v>-0.13644279370000001</v>
      </c>
      <c r="J23" s="205">
        <f>SUMIFS(trk.vReturnBenchmark[GrossReturn],trk.vReturnBenchmark[BOneFundCode],tblHome[[#This Row],[BOne Fund Code]],trk.vReturnBenchmark[EndDate],RngEndDate,trk.vReturnBenchmark[ReturnFrequency],"Monthly",trk.vReturnBenchmark[ReturnSource],"B-One")</f>
        <v>0</v>
      </c>
      <c r="K23" s="205" t="str">
        <f>IF(INDEX(tblChecks[Difference - Gross Fund Bmk],MATCH(tblHome[[#This Row],[BOne Fund Code]],tblChecks[BOne Fund Code],0))=0,"",INDEX(tblChecks[Difference - Gross Fund Bmk],MATCH(tblHome[[#This Row],[BOne Fund Code]],tblChecks[BOne Fund Code],0)))</f>
        <v/>
      </c>
      <c r="L23" s="205" t="str">
        <f>IF(INDEX(tblChecks[Difference - Total Decomposed],MATCH(tblHome[[#This Row],[BOne Fund Code]],tblChecks[BOne Fund Code],0))=0,"",INDEX(tblChecks[Difference - Total Decomposed],MATCH(tblHome[[#This Row],[BOne Fund Code]],tblChecks[BOne Fund Code],0)))</f>
        <v/>
      </c>
      <c r="M23" s="143" t="str">
        <f>IF(INDEX(tblChecks[Proportion of  End NAV],MATCH(tblHome[[#This Row],[BOne Fund Code]],tblChecks[BOne Fund Code],0))=0,"",INDEX(tblChecks[Proportion of  End NAV],MATCH(tblHome[[#This Row],[BOne Fund Code]],tblChecks[BOne Fund Code],0)))</f>
        <v/>
      </c>
      <c r="N23" s="205">
        <f>IF(INDEX(tblChecks[NAV Movement],MATCH(tblHome[[#This Row],[BOne Fund Code]],tblChecks[BOne Fund Code],0))=0,"",INDEX(tblChecks[NAV Movement],MATCH(tblHome[[#This Row],[BOne Fund Code]],tblChecks[BOne Fund Code],0)))</f>
        <v>-1.3644279365155887E-3</v>
      </c>
      <c r="O23" s="206" t="str">
        <f>IF(INDEX(tblChecks[Diff],MATCH(tblHome[[#This Row],[BOne Fund Code]],tblChecks[BOne Fund Code],0))=0,"",INDEX(tblChecks[Diff],MATCH(tblHome[[#This Row],[BOne Fund Code]],tblChecks[BOne Fund Code],0)))</f>
        <v/>
      </c>
    </row>
    <row r="24" spans="2:15">
      <c r="B24" s="207" t="s">
        <v>63</v>
      </c>
      <c r="C24" s="201" t="str">
        <f>IFERROR(INDEX(trk.vFundCodeMap[Division],MATCH(tblHome[[#This Row],[BOne Fund Code]],trk.vFundCodeMap[BOneFundCode],0)),"Set up the fund in Tracking Tool")</f>
        <v>Control FOG</v>
      </c>
      <c r="D24" s="202" t="str">
        <f>IFERROR(INDEX(trk.vFundCodeMap[CCY],MATCH(tblHome[[#This Row],[BOne Fund Code]],trk.vFundCodeMap[BOneFundCode],0)),"Set up the fund in Tracking Tool")</f>
        <v>GBP</v>
      </c>
      <c r="E24" s="203" t="str">
        <f>INDEX(tblChecks[Previous Month Return in iPas],MATCH(tblHome[[#This Row],[BOne Fund Code]],tblHome[BOne Fund Code],0))</f>
        <v>Yes</v>
      </c>
      <c r="F24" s="203" t="str">
        <f>INDEX(tblChecks[All Previous Months Approved],MATCH(tblHome[[#This Row],[BOne Fund Code]],tblHome[BOne Fund Code],0))</f>
        <v>No</v>
      </c>
      <c r="G24" s="202">
        <f>IF(INDEX(tblBoneReturn[GROSS_TOTAL_RETURN],MATCH(tblHome[[#This Row],[BOne Fund Code]],tblBoneReturn[FUND_CODE],0))=0,"",INDEX(tblBoneReturn[GROSS_TOTAL_RETURN],MATCH(tblHome[[#This Row],[BOne Fund Code]],tblBoneReturn[FUND_CODE],0)))</f>
        <v>0.3459192526</v>
      </c>
      <c r="H24" s="202" t="str">
        <f>IF(INDEX(tblBoneReturn[BMK_TOTAL_RETURN],MATCH(tblHome[[#This Row],[BOne Fund Code]],tblBoneReturn[FUND_CODE],0))=0,"",INDEX(tblBoneReturn[BMK_TOTAL_RETURN],MATCH(tblHome[[#This Row],[BOne Fund Code]],tblBoneReturn[FUND_CODE],0)))</f>
        <v/>
      </c>
      <c r="I24" s="204">
        <f>SUMIFS(trk.vReturnFund[GrossReturn],trk.vReturnFund[BOneFundCode],tblHome[[#This Row],[BOne Fund Code]],trk.vReturnFund[EndDate],RngEndDate,trk.vReturnFund[StartDate], RngStartDate, trk.vReturnFund[Currency],tblHome[[#This Row],[Fund CCY]])</f>
        <v>0.3459192526</v>
      </c>
      <c r="J24" s="205">
        <f>SUMIFS(trk.vReturnBenchmark[GrossReturn],trk.vReturnBenchmark[BOneFundCode],tblHome[[#This Row],[BOne Fund Code]],trk.vReturnBenchmark[EndDate],RngEndDate,trk.vReturnBenchmark[ReturnFrequency],"Monthly",trk.vReturnBenchmark[ReturnSource],"B-One")</f>
        <v>0</v>
      </c>
      <c r="K24" s="205" t="str">
        <f>IF(INDEX(tblChecks[Difference - Gross Fund Bmk],MATCH(tblHome[[#This Row],[BOne Fund Code]],tblChecks[BOne Fund Code],0))=0,"",INDEX(tblChecks[Difference - Gross Fund Bmk],MATCH(tblHome[[#This Row],[BOne Fund Code]],tblChecks[BOne Fund Code],0)))</f>
        <v/>
      </c>
      <c r="L24" s="205" t="str">
        <f>IF(INDEX(tblChecks[Difference - Total Decomposed],MATCH(tblHome[[#This Row],[BOne Fund Code]],tblChecks[BOne Fund Code],0))=0,"",INDEX(tblChecks[Difference - Total Decomposed],MATCH(tblHome[[#This Row],[BOne Fund Code]],tblChecks[BOne Fund Code],0)))</f>
        <v/>
      </c>
      <c r="M24" s="143" t="str">
        <f>IF(INDEX(tblChecks[Proportion of  End NAV],MATCH(tblHome[[#This Row],[BOne Fund Code]],tblChecks[BOne Fund Code],0))=0,"",INDEX(tblChecks[Proportion of  End NAV],MATCH(tblHome[[#This Row],[BOne Fund Code]],tblChecks[BOne Fund Code],0)))</f>
        <v/>
      </c>
      <c r="N24" s="205">
        <f>IF(INDEX(tblChecks[NAV Movement],MATCH(tblHome[[#This Row],[BOne Fund Code]],tblChecks[BOne Fund Code],0))=0,"",INDEX(tblChecks[NAV Movement],MATCH(tblHome[[#This Row],[BOne Fund Code]],tblChecks[BOne Fund Code],0)))</f>
        <v>3.4591925255356148E-3</v>
      </c>
      <c r="O24" s="206" t="str">
        <f>IF(INDEX(tblChecks[Diff],MATCH(tblHome[[#This Row],[BOne Fund Code]],tblChecks[BOne Fund Code],0))=0,"",INDEX(tblChecks[Diff],MATCH(tblHome[[#This Row],[BOne Fund Code]],tblChecks[BOne Fund Code],0)))</f>
        <v/>
      </c>
    </row>
    <row r="25" spans="2:15">
      <c r="B25" s="207" t="s">
        <v>67</v>
      </c>
      <c r="C25" s="201" t="str">
        <f>IFERROR(INDEX(trk.vFundCodeMap[Division],MATCH(tblHome[[#This Row],[BOne Fund Code]],trk.vFundCodeMap[BOneFundCode],0)),"Set up the fund in Tracking Tool")</f>
        <v>Other</v>
      </c>
      <c r="D25" s="202" t="str">
        <f>IFERROR(INDEX(trk.vFundCodeMap[CCY],MATCH(tblHome[[#This Row],[BOne Fund Code]],trk.vFundCodeMap[BOneFundCode],0)),"Set up the fund in Tracking Tool")</f>
        <v>GBP</v>
      </c>
      <c r="E25" s="203" t="str">
        <f>INDEX(tblChecks[Previous Month Return in iPas],MATCH(tblHome[[#This Row],[BOne Fund Code]],tblHome[BOne Fund Code],0))</f>
        <v>Yes</v>
      </c>
      <c r="F25" s="203" t="str">
        <f>INDEX(tblChecks[All Previous Months Approved],MATCH(tblHome[[#This Row],[BOne Fund Code]],tblHome[BOne Fund Code],0))</f>
        <v>No</v>
      </c>
      <c r="G25" s="202">
        <f>IF(INDEX(tblBoneReturn[GROSS_TOTAL_RETURN],MATCH(tblHome[[#This Row],[BOne Fund Code]],tblBoneReturn[FUND_CODE],0))=0,"",INDEX(tblBoneReturn[GROSS_TOTAL_RETURN],MATCH(tblHome[[#This Row],[BOne Fund Code]],tblBoneReturn[FUND_CODE],0)))</f>
        <v>-4.7368267728999998</v>
      </c>
      <c r="H25" s="202" t="str">
        <f>IF(INDEX(tblBoneReturn[BMK_TOTAL_RETURN],MATCH(tblHome[[#This Row],[BOne Fund Code]],tblBoneReturn[FUND_CODE],0))=0,"",INDEX(tblBoneReturn[BMK_TOTAL_RETURN],MATCH(tblHome[[#This Row],[BOne Fund Code]],tblBoneReturn[FUND_CODE],0)))</f>
        <v/>
      </c>
      <c r="I25" s="204">
        <f>SUMIFS(trk.vReturnFund[GrossReturn],trk.vReturnFund[BOneFundCode],tblHome[[#This Row],[BOne Fund Code]],trk.vReturnFund[EndDate],RngEndDate,trk.vReturnFund[StartDate], RngStartDate, trk.vReturnFund[Currency],tblHome[[#This Row],[Fund CCY]])</f>
        <v>-4.7368267728999998</v>
      </c>
      <c r="J25" s="205">
        <f>SUMIFS(trk.vReturnBenchmark[GrossReturn],trk.vReturnBenchmark[BOneFundCode],tblHome[[#This Row],[BOne Fund Code]],trk.vReturnBenchmark[EndDate],RngEndDate,trk.vReturnBenchmark[ReturnFrequency],"Monthly",trk.vReturnBenchmark[ReturnSource],"B-One")</f>
        <v>0</v>
      </c>
      <c r="K25" s="205" t="str">
        <f>IF(INDEX(tblChecks[Difference - Gross Fund Bmk],MATCH(tblHome[[#This Row],[BOne Fund Code]],tblChecks[BOne Fund Code],0))=0,"",INDEX(tblChecks[Difference - Gross Fund Bmk],MATCH(tblHome[[#This Row],[BOne Fund Code]],tblChecks[BOne Fund Code],0)))</f>
        <v/>
      </c>
      <c r="L25" s="205" t="str">
        <f>IF(INDEX(tblChecks[Difference - Total Decomposed],MATCH(tblHome[[#This Row],[BOne Fund Code]],tblChecks[BOne Fund Code],0))=0,"",INDEX(tblChecks[Difference - Total Decomposed],MATCH(tblHome[[#This Row],[BOne Fund Code]],tblChecks[BOne Fund Code],0)))</f>
        <v/>
      </c>
      <c r="M25" s="143" t="str">
        <f>IF(INDEX(tblChecks[Proportion of  End NAV],MATCH(tblHome[[#This Row],[BOne Fund Code]],tblChecks[BOne Fund Code],0))=0,"",INDEX(tblChecks[Proportion of  End NAV],MATCH(tblHome[[#This Row],[BOne Fund Code]],tblChecks[BOne Fund Code],0)))</f>
        <v/>
      </c>
      <c r="N25" s="205">
        <f>IF(INDEX(tblChecks[NAV Movement],MATCH(tblHome[[#This Row],[BOne Fund Code]],tblChecks[BOne Fund Code],0))=0,"",INDEX(tblChecks[NAV Movement],MATCH(tblHome[[#This Row],[BOne Fund Code]],tblChecks[BOne Fund Code],0)))</f>
        <v>-4.7368267728587488E-2</v>
      </c>
      <c r="O25" s="206" t="str">
        <f>IF(INDEX(tblChecks[Diff],MATCH(tblHome[[#This Row],[BOne Fund Code]],tblChecks[BOne Fund Code],0))=0,"",INDEX(tblChecks[Diff],MATCH(tblHome[[#This Row],[BOne Fund Code]],tblChecks[BOne Fund Code],0)))</f>
        <v/>
      </c>
    </row>
    <row r="26" spans="2:15">
      <c r="B26" s="207" t="s">
        <v>64</v>
      </c>
      <c r="C26" s="201" t="str">
        <f>IFERROR(INDEX(trk.vFundCodeMap[Division],MATCH(tblHome[[#This Row],[BOne Fund Code]],trk.vFundCodeMap[BOneFundCode],0)),"Set up the fund in Tracking Tool")</f>
        <v>Active Bond</v>
      </c>
      <c r="D26" s="202" t="str">
        <f>IFERROR(INDEX(trk.vFundCodeMap[CCY],MATCH(tblHome[[#This Row],[BOne Fund Code]],trk.vFundCodeMap[BOneFundCode],0)),"Set up the fund in Tracking Tool")</f>
        <v>GBP</v>
      </c>
      <c r="E26" s="203" t="str">
        <f>INDEX(tblChecks[Previous Month Return in iPas],MATCH(tblHome[[#This Row],[BOne Fund Code]],tblHome[BOne Fund Code],0))</f>
        <v>Yes</v>
      </c>
      <c r="F26" s="203" t="str">
        <f>INDEX(tblChecks[All Previous Months Approved],MATCH(tblHome[[#This Row],[BOne Fund Code]],tblHome[BOne Fund Code],0))</f>
        <v>No</v>
      </c>
      <c r="G26" s="202">
        <f>IF(INDEX(tblBoneReturn[GROSS_TOTAL_RETURN],MATCH(tblHome[[#This Row],[BOne Fund Code]],tblBoneReturn[FUND_CODE],0))=0,"",INDEX(tblBoneReturn[GROSS_TOTAL_RETURN],MATCH(tblHome[[#This Row],[BOne Fund Code]],tblBoneReturn[FUND_CODE],0)))</f>
        <v>-6.6871699300000004E-2</v>
      </c>
      <c r="H26" s="202" t="str">
        <f>IF(INDEX(tblBoneReturn[BMK_TOTAL_RETURN],MATCH(tblHome[[#This Row],[BOne Fund Code]],tblBoneReturn[FUND_CODE],0))=0,"",INDEX(tblBoneReturn[BMK_TOTAL_RETURN],MATCH(tblHome[[#This Row],[BOne Fund Code]],tblBoneReturn[FUND_CODE],0)))</f>
        <v/>
      </c>
      <c r="I26" s="204">
        <f>SUMIFS(trk.vReturnFund[GrossReturn],trk.vReturnFund[BOneFundCode],tblHome[[#This Row],[BOne Fund Code]],trk.vReturnFund[EndDate],RngEndDate,trk.vReturnFund[StartDate], RngStartDate, trk.vReturnFund[Currency],tblHome[[#This Row],[Fund CCY]])</f>
        <v>-6.6871699300000004E-2</v>
      </c>
      <c r="J26" s="205">
        <f>SUMIFS(trk.vReturnBenchmark[GrossReturn],trk.vReturnBenchmark[BOneFundCode],tblHome[[#This Row],[BOne Fund Code]],trk.vReturnBenchmark[EndDate],RngEndDate,trk.vReturnBenchmark[ReturnFrequency],"Monthly",trk.vReturnBenchmark[ReturnSource],"B-One")</f>
        <v>0</v>
      </c>
      <c r="K26" s="205" t="str">
        <f>IF(INDEX(tblChecks[Difference - Gross Fund Bmk],MATCH(tblHome[[#This Row],[BOne Fund Code]],tblChecks[BOne Fund Code],0))=0,"",INDEX(tblChecks[Difference - Gross Fund Bmk],MATCH(tblHome[[#This Row],[BOne Fund Code]],tblChecks[BOne Fund Code],0)))</f>
        <v/>
      </c>
      <c r="L26" s="205" t="str">
        <f>IF(INDEX(tblChecks[Difference - Total Decomposed],MATCH(tblHome[[#This Row],[BOne Fund Code]],tblChecks[BOne Fund Code],0))=0,"",INDEX(tblChecks[Difference - Total Decomposed],MATCH(tblHome[[#This Row],[BOne Fund Code]],tblChecks[BOne Fund Code],0)))</f>
        <v/>
      </c>
      <c r="M26" s="143">
        <f>IF(INDEX(tblChecks[Proportion of  End NAV],MATCH(tblHome[[#This Row],[BOne Fund Code]],tblChecks[BOne Fund Code],0))=0,"",INDEX(tblChecks[Proportion of  End NAV],MATCH(tblHome[[#This Row],[BOne Fund Code]],tblChecks[BOne Fund Code],0)))</f>
        <v>-3.5784692303359594E-2</v>
      </c>
      <c r="N26" s="205">
        <f>IF(INDEX(tblChecks[NAV Movement],MATCH(tblHome[[#This Row],[BOne Fund Code]],tblChecks[BOne Fund Code],0))=0,"",INDEX(tblChecks[NAV Movement],MATCH(tblHome[[#This Row],[BOne Fund Code]],tblChecks[BOne Fund Code],0)))</f>
        <v>-3.516109407415402E-2</v>
      </c>
      <c r="O26" s="206" t="str">
        <f>IF(INDEX(tblChecks[Diff],MATCH(tblHome[[#This Row],[BOne Fund Code]],tblChecks[BOne Fund Code],0))=0,"",INDEX(tblChecks[Diff],MATCH(tblHome[[#This Row],[BOne Fund Code]],tblChecks[BOne Fund Code],0)))</f>
        <v/>
      </c>
    </row>
    <row r="27" spans="2:15">
      <c r="B27" s="207" t="s">
        <v>61</v>
      </c>
      <c r="C27" s="201" t="str">
        <f>IFERROR(INDEX(trk.vFundCodeMap[Division],MATCH(tblHome[[#This Row],[BOne Fund Code]],trk.vFundCodeMap[BOneFundCode],0)),"Set up the fund in Tracking Tool")</f>
        <v>Structured Solutions</v>
      </c>
      <c r="D27" s="202" t="str">
        <f>IFERROR(INDEX(trk.vFundCodeMap[CCY],MATCH(tblHome[[#This Row],[BOne Fund Code]],trk.vFundCodeMap[BOneFundCode],0)),"Set up the fund in Tracking Tool")</f>
        <v>GBP</v>
      </c>
      <c r="E27" s="203" t="str">
        <f>INDEX(tblChecks[Previous Month Return in iPas],MATCH(tblHome[[#This Row],[BOne Fund Code]],tblHome[BOne Fund Code],0))</f>
        <v>Yes</v>
      </c>
      <c r="F27" s="203" t="str">
        <f>INDEX(tblChecks[All Previous Months Approved],MATCH(tblHome[[#This Row],[BOne Fund Code]],tblHome[BOne Fund Code],0))</f>
        <v>No</v>
      </c>
      <c r="G27" s="202">
        <f>IF(INDEX(tblBoneReturn[GROSS_TOTAL_RETURN],MATCH(tblHome[[#This Row],[BOne Fund Code]],tblBoneReturn[FUND_CODE],0))=0,"",INDEX(tblBoneReturn[GROSS_TOTAL_RETURN],MATCH(tblHome[[#This Row],[BOne Fund Code]],tblBoneReturn[FUND_CODE],0)))</f>
        <v>9.3900284828</v>
      </c>
      <c r="H27" s="202" t="str">
        <f>IF(INDEX(tblBoneReturn[BMK_TOTAL_RETURN],MATCH(tblHome[[#This Row],[BOne Fund Code]],tblBoneReturn[FUND_CODE],0))=0,"",INDEX(tblBoneReturn[BMK_TOTAL_RETURN],MATCH(tblHome[[#This Row],[BOne Fund Code]],tblBoneReturn[FUND_CODE],0)))</f>
        <v/>
      </c>
      <c r="I27" s="204">
        <f>SUMIFS(trk.vReturnFund[GrossReturn],trk.vReturnFund[BOneFundCode],tblHome[[#This Row],[BOne Fund Code]],trk.vReturnFund[EndDate],RngEndDate,trk.vReturnFund[StartDate], RngStartDate, trk.vReturnFund[Currency],tblHome[[#This Row],[Fund CCY]])</f>
        <v>9.3900284828</v>
      </c>
      <c r="J27" s="205">
        <f>SUMIFS(trk.vReturnBenchmark[GrossReturn],trk.vReturnBenchmark[BOneFundCode],tblHome[[#This Row],[BOne Fund Code]],trk.vReturnBenchmark[EndDate],RngEndDate,trk.vReturnBenchmark[ReturnFrequency],"Monthly",trk.vReturnBenchmark[ReturnSource],"B-One")</f>
        <v>0</v>
      </c>
      <c r="K27" s="205" t="str">
        <f>IF(INDEX(tblChecks[Difference - Gross Fund Bmk],MATCH(tblHome[[#This Row],[BOne Fund Code]],tblChecks[BOne Fund Code],0))=0,"",INDEX(tblChecks[Difference - Gross Fund Bmk],MATCH(tblHome[[#This Row],[BOne Fund Code]],tblChecks[BOne Fund Code],0)))</f>
        <v/>
      </c>
      <c r="L27" s="205">
        <f>IF(INDEX(tblChecks[Difference - Total Decomposed],MATCH(tblHome[[#This Row],[BOne Fund Code]],tblChecks[BOne Fund Code],0))=0,"",INDEX(tblChecks[Difference - Total Decomposed],MATCH(tblHome[[#This Row],[BOne Fund Code]],tblChecks[BOne Fund Code],0)))</f>
        <v>-105.5268895974</v>
      </c>
      <c r="M27" s="143">
        <f>IF(INDEX(tblChecks[Proportion of  End NAV],MATCH(tblHome[[#This Row],[BOne Fund Code]],tblChecks[BOne Fund Code],0))=0,"",INDEX(tblChecks[Proportion of  End NAV],MATCH(tblHome[[#This Row],[BOne Fund Code]],tblChecks[BOne Fund Code],0)))</f>
        <v>0.40959732489038014</v>
      </c>
      <c r="N27" s="205">
        <f>IF(INDEX(tblChecks[NAV Movement],MATCH(tblHome[[#This Row],[BOne Fund Code]],tblChecks[BOne Fund Code],0))=0,"",INDEX(tblChecks[NAV Movement],MATCH(tblHome[[#This Row],[BOne Fund Code]],tblChecks[BOne Fund Code],0)))</f>
        <v>0.86315029461187298</v>
      </c>
      <c r="O27" s="206" t="str">
        <f>IF(INDEX(tblChecks[Diff],MATCH(tblHome[[#This Row],[BOne Fund Code]],tblChecks[BOne Fund Code],0))=0,"",INDEX(tblChecks[Diff],MATCH(tblHome[[#This Row],[BOne Fund Code]],tblChecks[BOne Fund Code],0)))</f>
        <v/>
      </c>
    </row>
    <row r="28" spans="2:15">
      <c r="B28" s="207" t="s">
        <v>72</v>
      </c>
      <c r="C28" s="201" t="str">
        <f>IFERROR(INDEX(trk.vFundCodeMap[Division],MATCH(tblHome[[#This Row],[BOne Fund Code]],trk.vFundCodeMap[BOneFundCode],0)),"Set up the fund in Tracking Tool")</f>
        <v>Active Bond</v>
      </c>
      <c r="D28" s="202" t="str">
        <f>IFERROR(INDEX(trk.vFundCodeMap[CCY],MATCH(tblHome[[#This Row],[BOne Fund Code]],trk.vFundCodeMap[BOneFundCode],0)),"Set up the fund in Tracking Tool")</f>
        <v>GBP</v>
      </c>
      <c r="E28" s="203" t="str">
        <f>INDEX(tblChecks[Previous Month Return in iPas],MATCH(tblHome[[#This Row],[BOne Fund Code]],tblHome[BOne Fund Code],0))</f>
        <v>Yes</v>
      </c>
      <c r="F28" s="203" t="str">
        <f>INDEX(tblChecks[All Previous Months Approved],MATCH(tblHome[[#This Row],[BOne Fund Code]],tblHome[BOne Fund Code],0))</f>
        <v>No</v>
      </c>
      <c r="G28" s="202">
        <f>IF(INDEX(tblBoneReturn[GROSS_TOTAL_RETURN],MATCH(tblHome[[#This Row],[BOne Fund Code]],tblBoneReturn[FUND_CODE],0))=0,"",INDEX(tblBoneReturn[GROSS_TOTAL_RETURN],MATCH(tblHome[[#This Row],[BOne Fund Code]],tblBoneReturn[FUND_CODE],0)))</f>
        <v>-0.28666471199999999</v>
      </c>
      <c r="H28" s="202" t="str">
        <f>IF(INDEX(tblBoneReturn[BMK_TOTAL_RETURN],MATCH(tblHome[[#This Row],[BOne Fund Code]],tblBoneReturn[FUND_CODE],0))=0,"",INDEX(tblBoneReturn[BMK_TOTAL_RETURN],MATCH(tblHome[[#This Row],[BOne Fund Code]],tblBoneReturn[FUND_CODE],0)))</f>
        <v/>
      </c>
      <c r="I28" s="204">
        <f>SUMIFS(trk.vReturnFund[GrossReturn],trk.vReturnFund[BOneFundCode],tblHome[[#This Row],[BOne Fund Code]],trk.vReturnFund[EndDate],RngEndDate,trk.vReturnFund[StartDate], RngStartDate, trk.vReturnFund[Currency],tblHome[[#This Row],[Fund CCY]])</f>
        <v>-0.28666471199999999</v>
      </c>
      <c r="J28" s="205">
        <f>SUMIFS(trk.vReturnBenchmark[GrossReturn],trk.vReturnBenchmark[BOneFundCode],tblHome[[#This Row],[BOne Fund Code]],trk.vReturnBenchmark[EndDate],RngEndDate,trk.vReturnBenchmark[ReturnFrequency],"Monthly",trk.vReturnBenchmark[ReturnSource],"B-One")</f>
        <v>0</v>
      </c>
      <c r="K28" s="205" t="str">
        <f>IF(INDEX(tblChecks[Difference - Gross Fund Bmk],MATCH(tblHome[[#This Row],[BOne Fund Code]],tblChecks[BOne Fund Code],0))=0,"",INDEX(tblChecks[Difference - Gross Fund Bmk],MATCH(tblHome[[#This Row],[BOne Fund Code]],tblChecks[BOne Fund Code],0)))</f>
        <v/>
      </c>
      <c r="L28" s="205" t="str">
        <f>IF(INDEX(tblChecks[Difference - Total Decomposed],MATCH(tblHome[[#This Row],[BOne Fund Code]],tblChecks[BOne Fund Code],0))=0,"",INDEX(tblChecks[Difference - Total Decomposed],MATCH(tblHome[[#This Row],[BOne Fund Code]],tblChecks[BOne Fund Code],0)))</f>
        <v/>
      </c>
      <c r="M28" s="143">
        <f>IF(INDEX(tblChecks[Proportion of  End NAV],MATCH(tblHome[[#This Row],[BOne Fund Code]],tblChecks[BOne Fund Code],0))=0,"",INDEX(tblChecks[Proportion of  End NAV],MATCH(tblHome[[#This Row],[BOne Fund Code]],tblChecks[BOne Fund Code],0)))</f>
        <v>-2.0353656364968609E-2</v>
      </c>
      <c r="N28" s="205">
        <f>IF(INDEX(tblChecks[NAV Movement],MATCH(tblHome[[#This Row],[BOne Fund Code]],tblChecks[BOne Fund Code],0))=0,"",INDEX(tblChecks[NAV Movement],MATCH(tblHome[[#This Row],[BOne Fund Code]],tblChecks[BOne Fund Code],0)))</f>
        <v>-1.2010332112503352E-2</v>
      </c>
      <c r="O28" s="206" t="str">
        <f>IF(INDEX(tblChecks[Diff],MATCH(tblHome[[#This Row],[BOne Fund Code]],tblChecks[BOne Fund Code],0))=0,"",INDEX(tblChecks[Diff],MATCH(tblHome[[#This Row],[BOne Fund Code]],tblChecks[BOne Fund Code],0)))</f>
        <v/>
      </c>
    </row>
    <row r="29" spans="2:15">
      <c r="B29" s="207" t="s">
        <v>1083</v>
      </c>
      <c r="C29" s="201" t="str">
        <f>IFERROR(INDEX(trk.vFundCodeMap[Division],MATCH(tblHome[[#This Row],[BOne Fund Code]],trk.vFundCodeMap[BOneFundCode],0)),"Set up the fund in Tracking Tool")</f>
        <v>Active Bond</v>
      </c>
      <c r="D29" s="202" t="str">
        <f>IFERROR(INDEX(trk.vFundCodeMap[CCY],MATCH(tblHome[[#This Row],[BOne Fund Code]],trk.vFundCodeMap[BOneFundCode],0)),"Set up the fund in Tracking Tool")</f>
        <v>USD</v>
      </c>
      <c r="E29" s="203" t="str">
        <f>INDEX(tblChecks[Previous Month Return in iPas],MATCH(tblHome[[#This Row],[BOne Fund Code]],tblHome[BOne Fund Code],0))</f>
        <v>Yes</v>
      </c>
      <c r="F29" s="203" t="str">
        <f>INDEX(tblChecks[All Previous Months Approved],MATCH(tblHome[[#This Row],[BOne Fund Code]],tblHome[BOne Fund Code],0))</f>
        <v>No</v>
      </c>
      <c r="G29" s="202">
        <f>IF(INDEX(tblBoneReturn[GROSS_TOTAL_RETURN],MATCH(tblHome[[#This Row],[BOne Fund Code]],tblBoneReturn[FUND_CODE],0))=0,"",INDEX(tblBoneReturn[GROSS_TOTAL_RETURN],MATCH(tblHome[[#This Row],[BOne Fund Code]],tblBoneReturn[FUND_CODE],0)))</f>
        <v>-0.4039754995</v>
      </c>
      <c r="H29" s="202">
        <f>IF(INDEX(tblBoneReturn[BMK_TOTAL_RETURN],MATCH(tblHome[[#This Row],[BOne Fund Code]],tblBoneReturn[FUND_CODE],0))=0,"",INDEX(tblBoneReturn[BMK_TOTAL_RETURN],MATCH(tblHome[[#This Row],[BOne Fund Code]],tblBoneReturn[FUND_CODE],0)))</f>
        <v>6.9311485199999995E-2</v>
      </c>
      <c r="I29" s="204">
        <f>SUMIFS(trk.vReturnFund[GrossReturn],trk.vReturnFund[BOneFundCode],tblHome[[#This Row],[BOne Fund Code]],trk.vReturnFund[EndDate],RngEndDate,trk.vReturnFund[StartDate], RngStartDate, trk.vReturnFund[Currency],tblHome[[#This Row],[Fund CCY]])</f>
        <v>-0.4039754995</v>
      </c>
      <c r="J29" s="205">
        <f>SUMIFS(trk.vReturnBenchmark[GrossReturn],trk.vReturnBenchmark[BOneFundCode],tblHome[[#This Row],[BOne Fund Code]],trk.vReturnBenchmark[EndDate],RngEndDate,trk.vReturnBenchmark[ReturnFrequency],"Monthly",trk.vReturnBenchmark[ReturnSource],"B-One")</f>
        <v>6.9311485199999995E-2</v>
      </c>
      <c r="K29" s="205">
        <f>IF(INDEX(tblChecks[Difference - Gross Fund Bmk],MATCH(tblHome[[#This Row],[BOne Fund Code]],tblChecks[BOne Fund Code],0))=0,"",INDEX(tblChecks[Difference - Gross Fund Bmk],MATCH(tblHome[[#This Row],[BOne Fund Code]],tblChecks[BOne Fund Code],0)))</f>
        <v>-0.47328698469999997</v>
      </c>
      <c r="L29" s="205">
        <f>IF(INDEX(tblChecks[Difference - Total Decomposed],MATCH(tblHome[[#This Row],[BOne Fund Code]],tblChecks[BOne Fund Code],0))=0,"",INDEX(tblChecks[Difference - Total Decomposed],MATCH(tblHome[[#This Row],[BOne Fund Code]],tblChecks[BOne Fund Code],0)))</f>
        <v>-0.4039754995</v>
      </c>
      <c r="M29" s="143">
        <f>IF(INDEX(tblChecks[Proportion of  End NAV],MATCH(tblHome[[#This Row],[BOne Fund Code]],tblChecks[BOne Fund Code],0))=0,"",INDEX(tblChecks[Proportion of  End NAV],MATCH(tblHome[[#This Row],[BOne Fund Code]],tblChecks[BOne Fund Code],0)))</f>
        <v>3.1779336436578445E-2</v>
      </c>
      <c r="N29" s="205">
        <f>IF(INDEX(tblChecks[NAV Movement],MATCH(tblHome[[#This Row],[BOne Fund Code]],tblChecks[BOne Fund Code],0))=0,"",INDEX(tblChecks[NAV Movement],MATCH(tblHome[[#This Row],[BOne Fund Code]],tblChecks[BOne Fund Code],0)))</f>
        <v>3.0059680955193624E-2</v>
      </c>
      <c r="O29" s="206" t="str">
        <f>IF(INDEX(tblChecks[Diff],MATCH(tblHome[[#This Row],[BOne Fund Code]],tblChecks[BOne Fund Code],0))=0,"",INDEX(tblChecks[Diff],MATCH(tblHome[[#This Row],[BOne Fund Code]],tblChecks[BOne Fund Code],0)))</f>
        <v/>
      </c>
    </row>
    <row r="30" spans="2:15">
      <c r="B30" s="207" t="s">
        <v>1085</v>
      </c>
      <c r="C30" s="201" t="str">
        <f>IFERROR(INDEX(trk.vFundCodeMap[Division],MATCH(tblHome[[#This Row],[BOne Fund Code]],trk.vFundCodeMap[BOneFundCode],0)),"Set up the fund in Tracking Tool")</f>
        <v>Active Bond</v>
      </c>
      <c r="D30" s="202" t="str">
        <f>IFERROR(INDEX(trk.vFundCodeMap[CCY],MATCH(tblHome[[#This Row],[BOne Fund Code]],trk.vFundCodeMap[BOneFundCode],0)),"Set up the fund in Tracking Tool")</f>
        <v>USD</v>
      </c>
      <c r="E30" s="203" t="str">
        <f>INDEX(tblChecks[Previous Month Return in iPas],MATCH(tblHome[[#This Row],[BOne Fund Code]],tblHome[BOne Fund Code],0))</f>
        <v>Yes</v>
      </c>
      <c r="F30" s="203" t="str">
        <f>INDEX(tblChecks[All Previous Months Approved],MATCH(tblHome[[#This Row],[BOne Fund Code]],tblHome[BOne Fund Code],0))</f>
        <v>No</v>
      </c>
      <c r="G30" s="202">
        <f>IF(INDEX(tblBoneReturn[GROSS_TOTAL_RETURN],MATCH(tblHome[[#This Row],[BOne Fund Code]],tblBoneReturn[FUND_CODE],0))=0,"",INDEX(tblBoneReturn[GROSS_TOTAL_RETURN],MATCH(tblHome[[#This Row],[BOne Fund Code]],tblBoneReturn[FUND_CODE],0)))</f>
        <v>-0.1679099053</v>
      </c>
      <c r="H30" s="202">
        <f>IF(INDEX(tblBoneReturn[BMK_TOTAL_RETURN],MATCH(tblHome[[#This Row],[BOne Fund Code]],tblBoneReturn[FUND_CODE],0))=0,"",INDEX(tblBoneReturn[BMK_TOTAL_RETURN],MATCH(tblHome[[#This Row],[BOne Fund Code]],tblBoneReturn[FUND_CODE],0)))</f>
        <v>-0.22365243979999999</v>
      </c>
      <c r="I30" s="204">
        <f>SUMIFS(trk.vReturnFund[GrossReturn],trk.vReturnFund[BOneFundCode],tblHome[[#This Row],[BOne Fund Code]],trk.vReturnFund[EndDate],RngEndDate,trk.vReturnFund[StartDate], RngStartDate, trk.vReturnFund[Currency],tblHome[[#This Row],[Fund CCY]])</f>
        <v>-0.1679099053</v>
      </c>
      <c r="J30" s="205">
        <f>SUMIFS(trk.vReturnBenchmark[GrossReturn],trk.vReturnBenchmark[BOneFundCode],tblHome[[#This Row],[BOne Fund Code]],trk.vReturnBenchmark[EndDate],RngEndDate,trk.vReturnBenchmark[ReturnFrequency],"Monthly",trk.vReturnBenchmark[ReturnSource],"B-One")</f>
        <v>-0.22365243979999999</v>
      </c>
      <c r="K30" s="205">
        <f>IF(INDEX(tblChecks[Difference - Gross Fund Bmk],MATCH(tblHome[[#This Row],[BOne Fund Code]],tblChecks[BOne Fund Code],0))=0,"",INDEX(tblChecks[Difference - Gross Fund Bmk],MATCH(tblHome[[#This Row],[BOne Fund Code]],tblChecks[BOne Fund Code],0)))</f>
        <v>5.5742534499999996E-2</v>
      </c>
      <c r="L30" s="205">
        <f>IF(INDEX(tblChecks[Difference - Total Decomposed],MATCH(tblHome[[#This Row],[BOne Fund Code]],tblChecks[BOne Fund Code],0))=0,"",INDEX(tblChecks[Difference - Total Decomposed],MATCH(tblHome[[#This Row],[BOne Fund Code]],tblChecks[BOne Fund Code],0)))</f>
        <v>-0.1679099053</v>
      </c>
      <c r="M30" s="143">
        <f>IF(INDEX(tblChecks[Proportion of  End NAV],MATCH(tblHome[[#This Row],[BOne Fund Code]],tblChecks[BOne Fund Code],0))=0,"",INDEX(tblChecks[Proportion of  End NAV],MATCH(tblHome[[#This Row],[BOne Fund Code]],tblChecks[BOne Fund Code],0)))</f>
        <v>3.0085864430936925E-2</v>
      </c>
      <c r="N30" s="205">
        <f>IF(INDEX(tblChecks[NAV Movement],MATCH(tblHome[[#This Row],[BOne Fund Code]],tblChecks[BOne Fund Code],0))=0,"",INDEX(tblChecks[NAV Movement],MATCH(tblHome[[#This Row],[BOne Fund Code]],tblChecks[BOne Fund Code],0)))</f>
        <v>2.9328075827367295E-2</v>
      </c>
      <c r="O30" s="206" t="str">
        <f>IF(INDEX(tblChecks[Diff],MATCH(tblHome[[#This Row],[BOne Fund Code]],tblChecks[BOne Fund Code],0))=0,"",INDEX(tblChecks[Diff],MATCH(tblHome[[#This Row],[BOne Fund Code]],tblChecks[BOne Fund Code],0)))</f>
        <v/>
      </c>
    </row>
    <row r="31" spans="2:15">
      <c r="B31" s="207" t="s">
        <v>1086</v>
      </c>
      <c r="C31" s="201" t="str">
        <f>IFERROR(INDEX(trk.vFundCodeMap[Division],MATCH(tblHome[[#This Row],[BOne Fund Code]],trk.vFundCodeMap[BOneFundCode],0)),"Set up the fund in Tracking Tool")</f>
        <v>Active Bond</v>
      </c>
      <c r="D31" s="202" t="str">
        <f>IFERROR(INDEX(trk.vFundCodeMap[CCY],MATCH(tblHome[[#This Row],[BOne Fund Code]],trk.vFundCodeMap[BOneFundCode],0)),"Set up the fund in Tracking Tool")</f>
        <v>USD</v>
      </c>
      <c r="E31" s="203" t="str">
        <f>INDEX(tblChecks[Previous Month Return in iPas],MATCH(tblHome[[#This Row],[BOne Fund Code]],tblHome[BOne Fund Code],0))</f>
        <v>Yes</v>
      </c>
      <c r="F31" s="203" t="str">
        <f>INDEX(tblChecks[All Previous Months Approved],MATCH(tblHome[[#This Row],[BOne Fund Code]],tblHome[BOne Fund Code],0))</f>
        <v>No</v>
      </c>
      <c r="G31" s="202">
        <f>IF(INDEX(tblBoneReturn[GROSS_TOTAL_RETURN],MATCH(tblHome[[#This Row],[BOne Fund Code]],tblBoneReturn[FUND_CODE],0))=0,"",INDEX(tblBoneReturn[GROSS_TOTAL_RETURN],MATCH(tblHome[[#This Row],[BOne Fund Code]],tblBoneReturn[FUND_CODE],0)))</f>
        <v>0.21366107910000001</v>
      </c>
      <c r="H31" s="202">
        <f>IF(INDEX(tblBoneReturn[BMK_TOTAL_RETURN],MATCH(tblHome[[#This Row],[BOne Fund Code]],tblBoneReturn[FUND_CODE],0))=0,"",INDEX(tblBoneReturn[BMK_TOTAL_RETURN],MATCH(tblHome[[#This Row],[BOne Fund Code]],tblBoneReturn[FUND_CODE],0)))</f>
        <v>4.9253710999999999E-2</v>
      </c>
      <c r="I31" s="204">
        <f>SUMIFS(trk.vReturnFund[GrossReturn],trk.vReturnFund[BOneFundCode],tblHome[[#This Row],[BOne Fund Code]],trk.vReturnFund[EndDate],RngEndDate,trk.vReturnFund[StartDate], RngStartDate, trk.vReturnFund[Currency],tblHome[[#This Row],[Fund CCY]])</f>
        <v>0.21366107910000001</v>
      </c>
      <c r="J31" s="205">
        <f>SUMIFS(trk.vReturnBenchmark[GrossReturn],trk.vReturnBenchmark[BOneFundCode],tblHome[[#This Row],[BOne Fund Code]],trk.vReturnBenchmark[EndDate],RngEndDate,trk.vReturnBenchmark[ReturnFrequency],"Monthly",trk.vReturnBenchmark[ReturnSource],"B-One")</f>
        <v>4.9253710999999999E-2</v>
      </c>
      <c r="K31" s="205">
        <f>IF(INDEX(tblChecks[Difference - Gross Fund Bmk],MATCH(tblHome[[#This Row],[BOne Fund Code]],tblChecks[BOne Fund Code],0))=0,"",INDEX(tblChecks[Difference - Gross Fund Bmk],MATCH(tblHome[[#This Row],[BOne Fund Code]],tblChecks[BOne Fund Code],0)))</f>
        <v>0.16440736810000001</v>
      </c>
      <c r="L31" s="205">
        <f>IF(INDEX(tblChecks[Difference - Total Decomposed],MATCH(tblHome[[#This Row],[BOne Fund Code]],tblChecks[BOne Fund Code],0))=0,"",INDEX(tblChecks[Difference - Total Decomposed],MATCH(tblHome[[#This Row],[BOne Fund Code]],tblChecks[BOne Fund Code],0)))</f>
        <v>0.21366107910000001</v>
      </c>
      <c r="M31" s="143">
        <f>IF(INDEX(tblChecks[Proportion of  End NAV],MATCH(tblHome[[#This Row],[BOne Fund Code]],tblChecks[BOne Fund Code],0))=0,"",INDEX(tblChecks[Proportion of  End NAV],MATCH(tblHome[[#This Row],[BOne Fund Code]],tblChecks[BOne Fund Code],0)))</f>
        <v>-3.4525699903989794E-3</v>
      </c>
      <c r="N31" s="205">
        <f>IF(INDEX(tblChecks[NAV Movement],MATCH(tblHome[[#This Row],[BOne Fund Code]],tblChecks[BOne Fund Code],0))=0,"",INDEX(tblChecks[NAV Movement],MATCH(tblHome[[#This Row],[BOne Fund Code]],tblChecks[BOne Fund Code],0)))</f>
        <v>-1.314796807598384E-3</v>
      </c>
      <c r="O31" s="206" t="str">
        <f>IF(INDEX(tblChecks[Diff],MATCH(tblHome[[#This Row],[BOne Fund Code]],tblChecks[BOne Fund Code],0))=0,"",INDEX(tblChecks[Diff],MATCH(tblHome[[#This Row],[BOne Fund Code]],tblChecks[BOne Fund Code],0)))</f>
        <v/>
      </c>
    </row>
    <row r="32" spans="2:15">
      <c r="B32" s="207" t="s">
        <v>248</v>
      </c>
      <c r="C32" s="201" t="str">
        <f>IFERROR(INDEX(trk.vFundCodeMap[Division],MATCH(tblHome[[#This Row],[BOne Fund Code]],trk.vFundCodeMap[BOneFundCode],0)),"Set up the fund in Tracking Tool")</f>
        <v>Property</v>
      </c>
      <c r="D32" s="202" t="str">
        <f>IFERROR(INDEX(trk.vFundCodeMap[CCY],MATCH(tblHome[[#This Row],[BOne Fund Code]],trk.vFundCodeMap[BOneFundCode],0)),"Set up the fund in Tracking Tool")</f>
        <v>GBP</v>
      </c>
      <c r="E32" s="203" t="str">
        <f>INDEX(tblChecks[Previous Month Return in iPas],MATCH(tblHome[[#This Row],[BOne Fund Code]],tblHome[BOne Fund Code],0))</f>
        <v>No</v>
      </c>
      <c r="F32" s="203" t="str">
        <f>INDEX(tblChecks[All Previous Months Approved],MATCH(tblHome[[#This Row],[BOne Fund Code]],tblHome[BOne Fund Code],0))</f>
        <v>No</v>
      </c>
      <c r="G32" s="202">
        <f>IF(INDEX(tblBoneReturn[GROSS_TOTAL_RETURN],MATCH(tblHome[[#This Row],[BOne Fund Code]],tblBoneReturn[FUND_CODE],0))=0,"",INDEX(tblBoneReturn[GROSS_TOTAL_RETURN],MATCH(tblHome[[#This Row],[BOne Fund Code]],tblBoneReturn[FUND_CODE],0)))</f>
        <v>-8.9806140100000001E-2</v>
      </c>
      <c r="H32" s="202">
        <f>IF(INDEX(tblBoneReturn[BMK_TOTAL_RETURN],MATCH(tblHome[[#This Row],[BOne Fund Code]],tblBoneReturn[FUND_CODE],0))=0,"",INDEX(tblBoneReturn[BMK_TOTAL_RETURN],MATCH(tblHome[[#This Row],[BOne Fund Code]],tblBoneReturn[FUND_CODE],0)))</f>
        <v>6.9311485199999995E-2</v>
      </c>
      <c r="I32" s="204">
        <f>SUMIFS(trk.vReturnFund[GrossReturn],trk.vReturnFund[BOneFundCode],tblHome[[#This Row],[BOne Fund Code]],trk.vReturnFund[EndDate],RngEndDate,trk.vReturnFund[StartDate], RngStartDate, trk.vReturnFund[Currency],tblHome[[#This Row],[Fund CCY]])</f>
        <v>0</v>
      </c>
      <c r="J32" s="205">
        <f>SUMIFS(trk.vReturnBenchmark[GrossReturn],trk.vReturnBenchmark[BOneFundCode],tblHome[[#This Row],[BOne Fund Code]],trk.vReturnBenchmark[EndDate],RngEndDate,trk.vReturnBenchmark[ReturnFrequency],"Monthly",trk.vReturnBenchmark[ReturnSource],"B-One")</f>
        <v>6.9311485199999995E-2</v>
      </c>
      <c r="K32" s="205">
        <f>IF(INDEX(tblChecks[Difference - Gross Fund Bmk],MATCH(tblHome[[#This Row],[BOne Fund Code]],tblChecks[BOne Fund Code],0))=0,"",INDEX(tblChecks[Difference - Gross Fund Bmk],MATCH(tblHome[[#This Row],[BOne Fund Code]],tblChecks[BOne Fund Code],0)))</f>
        <v>-6.9311485199999995E-2</v>
      </c>
      <c r="L32" s="205" t="str">
        <f>IF(INDEX(tblChecks[Difference - Total Decomposed],MATCH(tblHome[[#This Row],[BOne Fund Code]],tblChecks[BOne Fund Code],0))=0,"",INDEX(tblChecks[Difference - Total Decomposed],MATCH(tblHome[[#This Row],[BOne Fund Code]],tblChecks[BOne Fund Code],0)))</f>
        <v/>
      </c>
      <c r="M32" s="143" t="str">
        <f>IF(INDEX(tblChecks[Proportion of  End NAV],MATCH(tblHome[[#This Row],[BOne Fund Code]],tblChecks[BOne Fund Code],0))=0,"",INDEX(tblChecks[Proportion of  End NAV],MATCH(tblHome[[#This Row],[BOne Fund Code]],tblChecks[BOne Fund Code],0)))</f>
        <v>Set up the fund and its tolerances in Tracking Tool</v>
      </c>
      <c r="N32" s="205" t="str">
        <f>IF(INDEX(tblChecks[NAV Movement],MATCH(tblHome[[#This Row],[BOne Fund Code]],tblChecks[BOne Fund Code],0))=0,"",INDEX(tblChecks[NAV Movement],MATCH(tblHome[[#This Row],[BOne Fund Code]],tblChecks[BOne Fund Code],0)))</f>
        <v>Set up the fund and its tolerances in Tracking Tool</v>
      </c>
      <c r="O32" s="206" t="str">
        <f>IF(INDEX(tblChecks[Diff],MATCH(tblHome[[#This Row],[BOne Fund Code]],tblChecks[BOne Fund Code],0))=0,"",INDEX(tblChecks[Diff],MATCH(tblHome[[#This Row],[BOne Fund Code]],tblChecks[BOne Fund Code],0)))</f>
        <v/>
      </c>
    </row>
  </sheetData>
  <conditionalFormatting sqref="G16:O32">
    <cfRule type="cellIs" dxfId="44" priority="1" operator="equal">
      <formula>0</formula>
    </cfRule>
  </conditionalFormatting>
  <dataValidations count="4">
    <dataValidation type="list" allowBlank="1" showInputMessage="1" showErrorMessage="1" sqref="U9">
      <formula1>"TRUE, FALSE"</formula1>
    </dataValidation>
    <dataValidation type="list" allowBlank="1" showInputMessage="1" showErrorMessage="1" sqref="C3">
      <formula1>"2017,2016,2015,2014,2013"</formula1>
    </dataValidation>
    <dataValidation type="list" allowBlank="1" showInputMessage="1" showErrorMessage="1" errorTitle="One fund only" error="Please request just one months for the time being." sqref="B7">
      <formula1>"1"</formula1>
    </dataValidation>
    <dataValidation type="list" allowBlank="1" showInputMessage="1" showErrorMessage="1" sqref="C2">
      <formula1>"Jan,Feb,Mar,Apr,May,Jun,Jul,Aug,Sep,Oct,Nov,Dec"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OneReturn">
    <tabColor theme="5" tint="0.59999389629810485"/>
  </sheetPr>
  <dimension ref="A2:AD20"/>
  <sheetViews>
    <sheetView showGridLines="0" showRowColHeaders="0" workbookViewId="0"/>
  </sheetViews>
  <sheetFormatPr defaultColWidth="0" defaultRowHeight="15" outlineLevelCol="1"/>
  <cols>
    <col min="1" max="1" width="9.140625" customWidth="1"/>
    <col min="2" max="2" width="14.7109375" customWidth="1"/>
    <col min="3" max="3" width="15.140625" bestFit="1" customWidth="1"/>
    <col min="4" max="4" width="6.140625" customWidth="1"/>
    <col min="5" max="5" width="28.5703125" customWidth="1"/>
    <col min="6" max="6" width="14.28515625" bestFit="1" customWidth="1"/>
    <col min="7" max="7" width="12.5703125" bestFit="1" customWidth="1"/>
    <col min="8" max="8" width="23.5703125" customWidth="1"/>
    <col min="9" max="10" width="27" customWidth="1"/>
    <col min="11" max="11" width="21.7109375" customWidth="1"/>
    <col min="12" max="12" width="21.28515625" bestFit="1" customWidth="1"/>
    <col min="13" max="13" width="33.140625" bestFit="1" customWidth="1"/>
    <col min="14" max="14" width="15.7109375" bestFit="1" customWidth="1"/>
    <col min="15" max="15" width="21.7109375" bestFit="1" customWidth="1"/>
    <col min="16" max="16" width="25.140625" bestFit="1" customWidth="1"/>
    <col min="17" max="17" width="23.28515625" bestFit="1" customWidth="1"/>
    <col min="18" max="19" width="15.85546875" bestFit="1" customWidth="1"/>
    <col min="20" max="20" width="13.7109375" customWidth="1"/>
    <col min="21" max="21" width="17.140625" bestFit="1" customWidth="1"/>
    <col min="22" max="22" width="18" bestFit="1" customWidth="1"/>
    <col min="23" max="23" width="26.7109375" bestFit="1" customWidth="1"/>
    <col min="24" max="24" width="25" bestFit="1" customWidth="1"/>
    <col min="25" max="25" width="14.85546875" hidden="1" customWidth="1" outlineLevel="1"/>
    <col min="26" max="26" width="9.140625" customWidth="1" collapsed="1"/>
    <col min="27" max="30" width="9.140625" customWidth="1"/>
    <col min="31" max="16384" width="9.140625" hidden="1"/>
  </cols>
  <sheetData>
    <row r="2" spans="2:25">
      <c r="B2" s="157" t="s">
        <v>79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7"/>
      <c r="X2" s="17"/>
    </row>
    <row r="3" spans="2:25">
      <c r="B3" t="s">
        <v>80</v>
      </c>
      <c r="C3" t="s">
        <v>99</v>
      </c>
      <c r="D3" t="s">
        <v>13</v>
      </c>
      <c r="E3" t="s">
        <v>18</v>
      </c>
      <c r="F3" t="s">
        <v>3</v>
      </c>
      <c r="G3" t="s">
        <v>2</v>
      </c>
      <c r="H3" t="s">
        <v>4</v>
      </c>
      <c r="I3" t="s">
        <v>14</v>
      </c>
      <c r="J3" t="s">
        <v>12</v>
      </c>
      <c r="K3" t="s">
        <v>6</v>
      </c>
      <c r="L3" t="s">
        <v>15</v>
      </c>
      <c r="M3" t="s">
        <v>7</v>
      </c>
      <c r="N3" t="s">
        <v>17</v>
      </c>
      <c r="O3" t="s">
        <v>5</v>
      </c>
      <c r="P3" t="s">
        <v>101</v>
      </c>
      <c r="Q3" t="s">
        <v>102</v>
      </c>
      <c r="R3" t="s">
        <v>103</v>
      </c>
      <c r="S3" t="s">
        <v>104</v>
      </c>
      <c r="T3" t="s">
        <v>8</v>
      </c>
      <c r="U3" t="s">
        <v>16</v>
      </c>
      <c r="V3" t="s">
        <v>100</v>
      </c>
      <c r="W3" t="s">
        <v>105</v>
      </c>
      <c r="X3" t="s">
        <v>106</v>
      </c>
      <c r="Y3" t="s">
        <v>86</v>
      </c>
    </row>
    <row r="4" spans="2:25">
      <c r="B4" s="19" t="s">
        <v>65</v>
      </c>
      <c r="C4" s="19"/>
      <c r="D4" s="9" t="s">
        <v>410</v>
      </c>
      <c r="E4" s="16" t="s">
        <v>2561</v>
      </c>
      <c r="F4" s="16">
        <v>42886</v>
      </c>
      <c r="G4" s="20">
        <v>42916</v>
      </c>
      <c r="H4" s="21">
        <v>-2.0876104098999999</v>
      </c>
      <c r="I4" s="21"/>
      <c r="J4" s="21"/>
      <c r="K4" s="21"/>
      <c r="L4" s="21"/>
      <c r="M4" s="21"/>
      <c r="N4" s="21">
        <v>0</v>
      </c>
      <c r="O4" s="21">
        <v>-2.0876104098999999</v>
      </c>
      <c r="P4" s="21">
        <v>277.09412533400001</v>
      </c>
      <c r="Q4" s="21">
        <v>271.30947952830002</v>
      </c>
      <c r="R4" s="22">
        <v>460141179.33999997</v>
      </c>
      <c r="S4" s="14">
        <v>450532585.33999997</v>
      </c>
      <c r="T4" s="14"/>
      <c r="U4" s="14"/>
      <c r="V4" s="14">
        <v>-2707.32</v>
      </c>
      <c r="W4" s="13"/>
      <c r="X4" s="13"/>
      <c r="Y4" s="9"/>
    </row>
    <row r="5" spans="2:25">
      <c r="B5" s="208" t="s">
        <v>71</v>
      </c>
      <c r="C5" s="208" t="s">
        <v>71</v>
      </c>
      <c r="D5" s="200" t="s">
        <v>410</v>
      </c>
      <c r="E5" s="200" t="s">
        <v>2562</v>
      </c>
      <c r="F5" s="209">
        <v>42886</v>
      </c>
      <c r="G5" s="209">
        <v>42916</v>
      </c>
      <c r="H5" s="205">
        <v>-1.7048241985000001</v>
      </c>
      <c r="I5" s="205"/>
      <c r="J5" s="205"/>
      <c r="K5" s="205"/>
      <c r="L5" s="205"/>
      <c r="M5" s="205"/>
      <c r="N5" s="205">
        <v>0</v>
      </c>
      <c r="O5" s="205">
        <v>-1.7048241985000001</v>
      </c>
      <c r="P5" s="205">
        <v>203.6006734803</v>
      </c>
      <c r="Q5" s="205">
        <v>200.12963993049999</v>
      </c>
      <c r="R5" s="206">
        <v>989705431.20000005</v>
      </c>
      <c r="S5" s="206">
        <v>958085925.73000002</v>
      </c>
      <c r="T5" s="206"/>
      <c r="U5" s="206"/>
      <c r="V5" s="206">
        <v>-15002537.18</v>
      </c>
      <c r="W5" s="205"/>
      <c r="X5" s="205"/>
      <c r="Y5" s="200"/>
    </row>
    <row r="6" spans="2:25">
      <c r="B6" s="208" t="s">
        <v>62</v>
      </c>
      <c r="C6" s="208" t="s">
        <v>62</v>
      </c>
      <c r="D6" s="200" t="s">
        <v>410</v>
      </c>
      <c r="E6" s="200" t="s">
        <v>2563</v>
      </c>
      <c r="F6" s="209">
        <v>42886</v>
      </c>
      <c r="G6" s="209">
        <v>42916</v>
      </c>
      <c r="H6" s="205">
        <v>-1.9994185000000001E-2</v>
      </c>
      <c r="I6" s="205"/>
      <c r="J6" s="205"/>
      <c r="K6" s="205"/>
      <c r="L6" s="205"/>
      <c r="M6" s="205"/>
      <c r="N6" s="205">
        <v>0</v>
      </c>
      <c r="O6" s="205">
        <v>-1.9994185000000001E-2</v>
      </c>
      <c r="P6" s="205">
        <v>132.8467384768</v>
      </c>
      <c r="Q6" s="205">
        <v>132.82017685420001</v>
      </c>
      <c r="R6" s="206">
        <v>31794248.43</v>
      </c>
      <c r="S6" s="206">
        <v>31787937.219999999</v>
      </c>
      <c r="T6" s="206"/>
      <c r="U6" s="206"/>
      <c r="V6" s="206">
        <v>45.8</v>
      </c>
      <c r="W6" s="205"/>
      <c r="X6" s="205"/>
      <c r="Y6" s="200"/>
    </row>
    <row r="7" spans="2:25">
      <c r="B7" s="208" t="s">
        <v>63</v>
      </c>
      <c r="C7" s="208" t="s">
        <v>63</v>
      </c>
      <c r="D7" s="200" t="s">
        <v>410</v>
      </c>
      <c r="E7" s="200" t="s">
        <v>2564</v>
      </c>
      <c r="F7" s="209">
        <v>42886</v>
      </c>
      <c r="G7" s="209">
        <v>42916</v>
      </c>
      <c r="H7" s="205">
        <v>0.3459192526</v>
      </c>
      <c r="I7" s="205">
        <v>0.3459192526</v>
      </c>
      <c r="J7" s="205">
        <v>0</v>
      </c>
      <c r="K7" s="205"/>
      <c r="L7" s="205"/>
      <c r="M7" s="205"/>
      <c r="N7" s="205">
        <v>0</v>
      </c>
      <c r="O7" s="205">
        <v>0.3459192526</v>
      </c>
      <c r="P7" s="205">
        <v>198.19091570910001</v>
      </c>
      <c r="Q7" s="205">
        <v>198.8764962434</v>
      </c>
      <c r="R7" s="206">
        <v>52487434.18</v>
      </c>
      <c r="S7" s="206">
        <v>52668998.32</v>
      </c>
      <c r="T7" s="206">
        <v>181564.14</v>
      </c>
      <c r="U7" s="206">
        <v>-19187.79</v>
      </c>
      <c r="V7" s="206">
        <v>0</v>
      </c>
      <c r="W7" s="205"/>
      <c r="X7" s="205"/>
      <c r="Y7" s="200"/>
    </row>
    <row r="8" spans="2:25">
      <c r="B8" s="208" t="s">
        <v>66</v>
      </c>
      <c r="C8" s="208" t="s">
        <v>66</v>
      </c>
      <c r="D8" s="200" t="s">
        <v>410</v>
      </c>
      <c r="E8" s="200" t="s">
        <v>2565</v>
      </c>
      <c r="F8" s="209">
        <v>42886</v>
      </c>
      <c r="G8" s="209">
        <v>42916</v>
      </c>
      <c r="H8" s="205">
        <v>-2.0067145839</v>
      </c>
      <c r="I8" s="205">
        <v>-2.0067145839</v>
      </c>
      <c r="J8" s="205">
        <v>0</v>
      </c>
      <c r="K8" s="205"/>
      <c r="L8" s="205"/>
      <c r="M8" s="205"/>
      <c r="N8" s="205">
        <v>0</v>
      </c>
      <c r="O8" s="205">
        <v>-2.0067145839</v>
      </c>
      <c r="P8" s="205">
        <v>178.60121605419999</v>
      </c>
      <c r="Q8" s="205">
        <v>175.01719940460001</v>
      </c>
      <c r="R8" s="206">
        <v>396652009.97000003</v>
      </c>
      <c r="S8" s="206">
        <v>388691521.89999998</v>
      </c>
      <c r="T8" s="206">
        <v>-7959655.96</v>
      </c>
      <c r="U8" s="206">
        <v>10.37</v>
      </c>
      <c r="V8" s="206">
        <v>-832.11</v>
      </c>
      <c r="W8" s="205"/>
      <c r="X8" s="205"/>
      <c r="Y8" s="200"/>
    </row>
    <row r="9" spans="2:25">
      <c r="B9" s="208" t="s">
        <v>68</v>
      </c>
      <c r="C9" s="208" t="s">
        <v>68</v>
      </c>
      <c r="D9" s="200" t="s">
        <v>410</v>
      </c>
      <c r="E9" s="200" t="s">
        <v>2566</v>
      </c>
      <c r="F9" s="209">
        <v>42886</v>
      </c>
      <c r="G9" s="209">
        <v>42916</v>
      </c>
      <c r="H9" s="205">
        <v>-2.6683501419</v>
      </c>
      <c r="I9" s="205">
        <v>-2.6683501419</v>
      </c>
      <c r="J9" s="205">
        <v>0</v>
      </c>
      <c r="K9" s="205">
        <v>9.7343768999999993E-3</v>
      </c>
      <c r="L9" s="205"/>
      <c r="M9" s="205"/>
      <c r="N9" s="205">
        <v>0</v>
      </c>
      <c r="O9" s="205">
        <v>-2.6683501419</v>
      </c>
      <c r="P9" s="205">
        <v>203.24033268299999</v>
      </c>
      <c r="Q9" s="205">
        <v>197.8171689774</v>
      </c>
      <c r="R9" s="206">
        <v>220730813.93000001</v>
      </c>
      <c r="S9" s="206">
        <v>205964791.52000001</v>
      </c>
      <c r="T9" s="206">
        <v>-5765426.7699999996</v>
      </c>
      <c r="U9" s="206">
        <v>141.65999999920001</v>
      </c>
      <c r="V9" s="206">
        <v>-9000595.6400000006</v>
      </c>
      <c r="W9" s="205">
        <v>1014.6663268918001</v>
      </c>
      <c r="X9" s="205">
        <v>1014.7650983358</v>
      </c>
      <c r="Y9" s="200"/>
    </row>
    <row r="10" spans="2:25">
      <c r="B10" s="208" t="s">
        <v>61</v>
      </c>
      <c r="C10" s="208"/>
      <c r="D10" s="200" t="s">
        <v>410</v>
      </c>
      <c r="E10" s="200" t="s">
        <v>2567</v>
      </c>
      <c r="F10" s="209">
        <v>42886</v>
      </c>
      <c r="G10" s="209">
        <v>42916</v>
      </c>
      <c r="H10" s="205">
        <v>9.3900284828</v>
      </c>
      <c r="I10" s="205">
        <v>114.91691808020001</v>
      </c>
      <c r="J10" s="205">
        <v>-105.5268895974</v>
      </c>
      <c r="K10" s="205"/>
      <c r="L10" s="205"/>
      <c r="M10" s="205"/>
      <c r="N10" s="205">
        <v>0</v>
      </c>
      <c r="O10" s="205">
        <v>9.3900284828</v>
      </c>
      <c r="P10" s="205">
        <v>4.2937801994000004</v>
      </c>
      <c r="Q10" s="205">
        <v>4.6969673830999996</v>
      </c>
      <c r="R10" s="206">
        <v>13103731.9</v>
      </c>
      <c r="S10" s="206">
        <v>24414221.949999999</v>
      </c>
      <c r="T10" s="206">
        <v>11516328.25</v>
      </c>
      <c r="U10" s="206">
        <v>-23580.400000000001</v>
      </c>
      <c r="V10" s="206">
        <v>10000000</v>
      </c>
      <c r="W10" s="205"/>
      <c r="X10" s="205"/>
      <c r="Y10" s="200"/>
    </row>
    <row r="11" spans="2:25">
      <c r="B11" s="208" t="s">
        <v>72</v>
      </c>
      <c r="C11" s="208" t="s">
        <v>72</v>
      </c>
      <c r="D11" s="200" t="s">
        <v>410</v>
      </c>
      <c r="E11" s="200" t="s">
        <v>2568</v>
      </c>
      <c r="F11" s="209">
        <v>42886</v>
      </c>
      <c r="G11" s="209">
        <v>42916</v>
      </c>
      <c r="H11" s="205">
        <v>-0.28666471199999999</v>
      </c>
      <c r="I11" s="205">
        <v>-0.28666471199999999</v>
      </c>
      <c r="J11" s="205">
        <v>0</v>
      </c>
      <c r="K11" s="205"/>
      <c r="L11" s="205"/>
      <c r="M11" s="205"/>
      <c r="N11" s="205">
        <v>0</v>
      </c>
      <c r="O11" s="205">
        <v>-0.28666471199999999</v>
      </c>
      <c r="P11" s="205">
        <v>106.5475466131</v>
      </c>
      <c r="Q11" s="205">
        <v>106.2421123954</v>
      </c>
      <c r="R11" s="206">
        <v>273589456.07999998</v>
      </c>
      <c r="S11" s="206">
        <v>270303555.85000002</v>
      </c>
      <c r="T11" s="206">
        <v>-784234.54</v>
      </c>
      <c r="U11" s="206">
        <v>1024087.98</v>
      </c>
      <c r="V11" s="206">
        <v>-5501665.6900000004</v>
      </c>
      <c r="W11" s="205"/>
      <c r="X11" s="205"/>
      <c r="Y11" s="200"/>
    </row>
    <row r="12" spans="2:25">
      <c r="B12" s="208" t="s">
        <v>69</v>
      </c>
      <c r="C12" s="208" t="s">
        <v>69</v>
      </c>
      <c r="D12" s="200" t="s">
        <v>410</v>
      </c>
      <c r="E12" s="200" t="s">
        <v>2569</v>
      </c>
      <c r="F12" s="209">
        <v>42886</v>
      </c>
      <c r="G12" s="209">
        <v>42916</v>
      </c>
      <c r="H12" s="205">
        <v>-2.7642838144000001</v>
      </c>
      <c r="I12" s="205"/>
      <c r="J12" s="205"/>
      <c r="K12" s="205"/>
      <c r="L12" s="205"/>
      <c r="M12" s="205"/>
      <c r="N12" s="205">
        <v>0</v>
      </c>
      <c r="O12" s="205">
        <v>-2.7642838144000001</v>
      </c>
      <c r="P12" s="205">
        <v>138.08324942159999</v>
      </c>
      <c r="Q12" s="205">
        <v>134.26623650740001</v>
      </c>
      <c r="R12" s="206">
        <v>98496610.75</v>
      </c>
      <c r="S12" s="206">
        <v>99769944.840000004</v>
      </c>
      <c r="T12" s="206"/>
      <c r="U12" s="206"/>
      <c r="V12" s="206">
        <v>3999734.41</v>
      </c>
      <c r="W12" s="205"/>
      <c r="X12" s="205"/>
      <c r="Y12" s="200"/>
    </row>
    <row r="13" spans="2:25">
      <c r="B13" s="208" t="s">
        <v>67</v>
      </c>
      <c r="C13" s="208" t="s">
        <v>2570</v>
      </c>
      <c r="D13" s="200" t="s">
        <v>410</v>
      </c>
      <c r="E13" s="200" t="s">
        <v>2571</v>
      </c>
      <c r="F13" s="209">
        <v>42886</v>
      </c>
      <c r="G13" s="209">
        <v>42916</v>
      </c>
      <c r="H13" s="205">
        <v>-4.7368267728999998</v>
      </c>
      <c r="I13" s="205">
        <v>-4.7368267728999998</v>
      </c>
      <c r="J13" s="205">
        <v>0</v>
      </c>
      <c r="K13" s="205"/>
      <c r="L13" s="205"/>
      <c r="M13" s="205"/>
      <c r="N13" s="205">
        <v>0</v>
      </c>
      <c r="O13" s="205">
        <v>-4.7368267728999998</v>
      </c>
      <c r="P13" s="205">
        <v>121.8880588984</v>
      </c>
      <c r="Q13" s="205">
        <v>116.1144326916</v>
      </c>
      <c r="R13" s="206">
        <v>14190104.52</v>
      </c>
      <c r="S13" s="206">
        <v>13517943.85</v>
      </c>
      <c r="T13" s="206">
        <v>-672160.67</v>
      </c>
      <c r="U13" s="206">
        <v>218.15</v>
      </c>
      <c r="V13" s="206">
        <v>0</v>
      </c>
      <c r="W13" s="205"/>
      <c r="X13" s="205"/>
      <c r="Y13" s="200"/>
    </row>
    <row r="14" spans="2:25">
      <c r="B14" s="208" t="s">
        <v>64</v>
      </c>
      <c r="C14" s="208" t="s">
        <v>64</v>
      </c>
      <c r="D14" s="200" t="s">
        <v>410</v>
      </c>
      <c r="E14" s="200" t="s">
        <v>2572</v>
      </c>
      <c r="F14" s="209">
        <v>42886</v>
      </c>
      <c r="G14" s="209">
        <v>42916</v>
      </c>
      <c r="H14" s="205">
        <v>-6.6871699300000004E-2</v>
      </c>
      <c r="I14" s="205">
        <v>-6.6871699300000004E-2</v>
      </c>
      <c r="J14" s="205">
        <v>0</v>
      </c>
      <c r="K14" s="205"/>
      <c r="L14" s="205"/>
      <c r="M14" s="205"/>
      <c r="N14" s="205">
        <v>0</v>
      </c>
      <c r="O14" s="205">
        <v>-6.6871699300000004E-2</v>
      </c>
      <c r="P14" s="205">
        <v>-15.155781745200001</v>
      </c>
      <c r="Q14" s="205">
        <v>-15.145646816399999</v>
      </c>
      <c r="R14" s="206">
        <v>27417.52</v>
      </c>
      <c r="S14" s="206">
        <v>26453.49</v>
      </c>
      <c r="T14" s="206">
        <v>-17.399999999999999</v>
      </c>
      <c r="U14" s="206">
        <v>9.4499999999999993</v>
      </c>
      <c r="V14" s="206">
        <v>-946.63</v>
      </c>
      <c r="W14" s="205"/>
      <c r="X14" s="205"/>
      <c r="Y14" s="200"/>
    </row>
    <row r="15" spans="2:25">
      <c r="B15" s="208" t="s">
        <v>1083</v>
      </c>
      <c r="C15" s="208" t="s">
        <v>1083</v>
      </c>
      <c r="D15" s="200" t="s">
        <v>626</v>
      </c>
      <c r="E15" s="200" t="s">
        <v>2573</v>
      </c>
      <c r="F15" s="209">
        <v>42886</v>
      </c>
      <c r="G15" s="209">
        <v>42916</v>
      </c>
      <c r="H15" s="205">
        <v>-0.4039754995</v>
      </c>
      <c r="I15" s="205"/>
      <c r="J15" s="205"/>
      <c r="K15" s="205">
        <v>6.9311485199999995E-2</v>
      </c>
      <c r="L15" s="205"/>
      <c r="M15" s="205"/>
      <c r="N15" s="205">
        <v>0</v>
      </c>
      <c r="O15" s="205">
        <v>-0.4039754995</v>
      </c>
      <c r="P15" s="205">
        <v>126.7560574771</v>
      </c>
      <c r="Q15" s="205">
        <v>126.24399406080001</v>
      </c>
      <c r="R15" s="206">
        <v>243317576.81999999</v>
      </c>
      <c r="S15" s="206">
        <v>250631625.55000001</v>
      </c>
      <c r="T15" s="206"/>
      <c r="U15" s="206"/>
      <c r="V15" s="206">
        <v>7964906.75</v>
      </c>
      <c r="W15" s="205">
        <v>1200.2611404376</v>
      </c>
      <c r="X15" s="205">
        <v>1201.0930592602001</v>
      </c>
      <c r="Y15" s="200"/>
    </row>
    <row r="16" spans="2:25">
      <c r="B16" s="208" t="s">
        <v>1085</v>
      </c>
      <c r="C16" s="208" t="s">
        <v>1085</v>
      </c>
      <c r="D16" s="200" t="s">
        <v>626</v>
      </c>
      <c r="E16" s="200" t="s">
        <v>2574</v>
      </c>
      <c r="F16" s="209">
        <v>42886</v>
      </c>
      <c r="G16" s="209">
        <v>42916</v>
      </c>
      <c r="H16" s="205">
        <v>-0.1679099053</v>
      </c>
      <c r="I16" s="205"/>
      <c r="J16" s="205"/>
      <c r="K16" s="205">
        <v>-0.22365243979999999</v>
      </c>
      <c r="L16" s="205"/>
      <c r="M16" s="205"/>
      <c r="N16" s="205">
        <v>0</v>
      </c>
      <c r="O16" s="205">
        <v>-0.1679099053</v>
      </c>
      <c r="P16" s="205">
        <v>4322.5229830074004</v>
      </c>
      <c r="Q16" s="205">
        <v>4315.2650387592003</v>
      </c>
      <c r="R16" s="206">
        <v>139174912.59999999</v>
      </c>
      <c r="S16" s="206">
        <v>143256644.99000001</v>
      </c>
      <c r="T16" s="206"/>
      <c r="U16" s="206"/>
      <c r="V16" s="206">
        <v>4310000</v>
      </c>
      <c r="W16" s="205">
        <v>1219.9088372962999</v>
      </c>
      <c r="X16" s="205">
        <v>1217.1804814187999</v>
      </c>
      <c r="Y16" s="200"/>
    </row>
    <row r="17" spans="2:25">
      <c r="B17" s="208" t="s">
        <v>1086</v>
      </c>
      <c r="C17" s="208" t="s">
        <v>1086</v>
      </c>
      <c r="D17" s="200" t="s">
        <v>626</v>
      </c>
      <c r="E17" s="200" t="s">
        <v>2575</v>
      </c>
      <c r="F17" s="209">
        <v>42886</v>
      </c>
      <c r="G17" s="209">
        <v>42916</v>
      </c>
      <c r="H17" s="205">
        <v>0.21366107910000001</v>
      </c>
      <c r="I17" s="205"/>
      <c r="J17" s="205"/>
      <c r="K17" s="205">
        <v>4.9253710999999999E-2</v>
      </c>
      <c r="L17" s="205"/>
      <c r="M17" s="205"/>
      <c r="N17" s="205">
        <v>0</v>
      </c>
      <c r="O17" s="205">
        <v>0.21366107910000001</v>
      </c>
      <c r="P17" s="205">
        <v>116.1485706725</v>
      </c>
      <c r="Q17" s="205">
        <v>116.396734962</v>
      </c>
      <c r="R17" s="206">
        <v>290020631.17000002</v>
      </c>
      <c r="S17" s="206">
        <v>289639312.97000003</v>
      </c>
      <c r="T17" s="206"/>
      <c r="U17" s="206"/>
      <c r="V17" s="206">
        <v>-1000000</v>
      </c>
      <c r="W17" s="205">
        <v>1126.4943902888001</v>
      </c>
      <c r="X17" s="205">
        <v>1127.0492305805999</v>
      </c>
      <c r="Y17" s="200"/>
    </row>
    <row r="18" spans="2:25">
      <c r="B18" s="208" t="s">
        <v>248</v>
      </c>
      <c r="C18" s="208" t="s">
        <v>248</v>
      </c>
      <c r="D18" s="200" t="s">
        <v>626</v>
      </c>
      <c r="E18" s="200" t="s">
        <v>248</v>
      </c>
      <c r="F18" s="209">
        <v>42886</v>
      </c>
      <c r="G18" s="209">
        <v>42916</v>
      </c>
      <c r="H18" s="205">
        <v>-8.9806140100000001E-2</v>
      </c>
      <c r="I18" s="205"/>
      <c r="J18" s="205"/>
      <c r="K18" s="205">
        <v>6.9311485199999995E-2</v>
      </c>
      <c r="L18" s="205"/>
      <c r="M18" s="205"/>
      <c r="N18" s="205">
        <v>0</v>
      </c>
      <c r="O18" s="205">
        <v>-8.9806140100000001E-2</v>
      </c>
      <c r="P18" s="205">
        <v>120.9060094235</v>
      </c>
      <c r="Q18" s="205">
        <v>120.7974284033</v>
      </c>
      <c r="R18" s="206">
        <v>672513120.59000003</v>
      </c>
      <c r="S18" s="206">
        <v>683527583.50999999</v>
      </c>
      <c r="T18" s="206"/>
      <c r="U18" s="206"/>
      <c r="V18" s="206">
        <v>11274906.75</v>
      </c>
      <c r="W18" s="205">
        <v>1200.2611404376</v>
      </c>
      <c r="X18" s="205">
        <v>1201.0930592602001</v>
      </c>
      <c r="Y18" s="200"/>
    </row>
    <row r="19" spans="2:25">
      <c r="B19" s="208" t="s">
        <v>73</v>
      </c>
      <c r="C19" s="208" t="s">
        <v>73</v>
      </c>
      <c r="D19" s="200" t="s">
        <v>410</v>
      </c>
      <c r="E19" s="200" t="s">
        <v>2576</v>
      </c>
      <c r="F19" s="209">
        <v>42886</v>
      </c>
      <c r="G19" s="209">
        <v>42916</v>
      </c>
      <c r="H19" s="205">
        <v>-1.7408887835</v>
      </c>
      <c r="I19" s="205">
        <v>-1.7408887835</v>
      </c>
      <c r="J19" s="205">
        <v>0</v>
      </c>
      <c r="K19" s="205"/>
      <c r="L19" s="205"/>
      <c r="M19" s="205"/>
      <c r="N19" s="205">
        <v>0</v>
      </c>
      <c r="O19" s="205">
        <v>-1.7408887835</v>
      </c>
      <c r="P19" s="205">
        <v>110.5132714886</v>
      </c>
      <c r="Q19" s="205">
        <v>108.58935834099999</v>
      </c>
      <c r="R19" s="206">
        <v>27323587.739999998</v>
      </c>
      <c r="S19" s="206">
        <v>20895167.550000001</v>
      </c>
      <c r="T19" s="206">
        <v>-428324.25</v>
      </c>
      <c r="U19" s="206">
        <v>0.51</v>
      </c>
      <c r="V19" s="206">
        <v>-6000095.9400000004</v>
      </c>
      <c r="W19" s="205"/>
      <c r="X19" s="205"/>
      <c r="Y19" s="200"/>
    </row>
    <row r="20" spans="2:25">
      <c r="B20" s="208" t="s">
        <v>70</v>
      </c>
      <c r="C20" s="208" t="s">
        <v>70</v>
      </c>
      <c r="D20" s="200" t="s">
        <v>410</v>
      </c>
      <c r="E20" s="200" t="s">
        <v>2577</v>
      </c>
      <c r="F20" s="209">
        <v>42886</v>
      </c>
      <c r="G20" s="209">
        <v>42916</v>
      </c>
      <c r="H20" s="205">
        <v>-0.13644279370000001</v>
      </c>
      <c r="I20" s="205">
        <v>-0.13644279370000001</v>
      </c>
      <c r="J20" s="205">
        <v>0</v>
      </c>
      <c r="K20" s="205"/>
      <c r="L20" s="205"/>
      <c r="M20" s="205"/>
      <c r="N20" s="205">
        <v>0</v>
      </c>
      <c r="O20" s="205">
        <v>-0.13644279370000001</v>
      </c>
      <c r="P20" s="205">
        <v>119.02036363960001</v>
      </c>
      <c r="Q20" s="205">
        <v>118.85796893040001</v>
      </c>
      <c r="R20" s="206">
        <v>127883705.2</v>
      </c>
      <c r="S20" s="206">
        <v>127709217.09999999</v>
      </c>
      <c r="T20" s="206">
        <v>-174488.1</v>
      </c>
      <c r="U20" s="206">
        <v>1241215.7344560199</v>
      </c>
      <c r="V20" s="206">
        <v>0</v>
      </c>
      <c r="W20" s="205"/>
      <c r="X20" s="205"/>
      <c r="Y20" s="200"/>
    </row>
  </sheetData>
  <mergeCells count="1">
    <mergeCell ref="B2:V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hecks">
    <tabColor theme="5" tint="-0.249977111117893"/>
  </sheetPr>
  <dimension ref="A2:AG20"/>
  <sheetViews>
    <sheetView showGridLines="0" showRowColHeaders="0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/>
    </sheetView>
  </sheetViews>
  <sheetFormatPr defaultColWidth="0" defaultRowHeight="15"/>
  <cols>
    <col min="1" max="1" width="9.140625" customWidth="1"/>
    <col min="2" max="2" width="23.42578125" customWidth="1"/>
    <col min="3" max="3" width="14.28515625" bestFit="1" customWidth="1"/>
    <col min="4" max="4" width="13.42578125" bestFit="1" customWidth="1"/>
    <col min="5" max="5" width="18.85546875" customWidth="1"/>
    <col min="6" max="6" width="10" bestFit="1" customWidth="1"/>
    <col min="7" max="8" width="16" customWidth="1"/>
    <col min="9" max="9" width="12" customWidth="1"/>
    <col min="10" max="10" width="13.28515625" customWidth="1"/>
    <col min="11" max="11" width="12" bestFit="1" customWidth="1"/>
    <col min="12" max="13" width="13.5703125" customWidth="1"/>
    <col min="14" max="14" width="14.85546875" bestFit="1" customWidth="1"/>
    <col min="15" max="15" width="14.140625" customWidth="1"/>
    <col min="16" max="16" width="15.42578125" customWidth="1"/>
    <col min="17" max="17" width="15.5703125" customWidth="1"/>
    <col min="18" max="19" width="16.7109375" customWidth="1"/>
    <col min="20" max="20" width="13.140625" customWidth="1"/>
    <col min="21" max="21" width="16.28515625" customWidth="1"/>
    <col min="22" max="22" width="17.140625" customWidth="1"/>
    <col min="23" max="23" width="13" bestFit="1" customWidth="1"/>
    <col min="24" max="24" width="11.28515625" customWidth="1"/>
    <col min="25" max="25" width="15.5703125" customWidth="1"/>
    <col min="26" max="26" width="14.85546875" customWidth="1"/>
    <col min="27" max="27" width="16" bestFit="1" customWidth="1"/>
    <col min="28" max="33" width="9.140625" customWidth="1"/>
    <col min="34" max="16384" width="9.140625" hidden="1"/>
  </cols>
  <sheetData>
    <row r="2" spans="1:28">
      <c r="B2" s="158" t="s">
        <v>286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</row>
    <row r="3" spans="1:28" ht="45">
      <c r="B3" s="26" t="s">
        <v>112</v>
      </c>
      <c r="C3" s="27" t="s">
        <v>129</v>
      </c>
      <c r="D3" s="27" t="s">
        <v>130</v>
      </c>
      <c r="E3" s="27" t="s">
        <v>128</v>
      </c>
      <c r="F3" s="27" t="s">
        <v>114</v>
      </c>
      <c r="G3" s="36" t="s">
        <v>142</v>
      </c>
      <c r="H3" s="35" t="s">
        <v>119</v>
      </c>
      <c r="I3" s="31" t="s">
        <v>120</v>
      </c>
      <c r="J3" s="30" t="s">
        <v>121</v>
      </c>
      <c r="K3" s="30" t="s">
        <v>135</v>
      </c>
      <c r="L3" s="32" t="s">
        <v>134</v>
      </c>
      <c r="M3" s="26" t="s">
        <v>143</v>
      </c>
      <c r="N3" s="27" t="s">
        <v>122</v>
      </c>
      <c r="O3" s="27" t="s">
        <v>136</v>
      </c>
      <c r="P3" s="28" t="s">
        <v>137</v>
      </c>
      <c r="Q3" s="36" t="s">
        <v>138</v>
      </c>
      <c r="R3" s="34" t="s">
        <v>140</v>
      </c>
      <c r="S3" s="38" t="s">
        <v>145</v>
      </c>
      <c r="T3" s="35" t="s">
        <v>139</v>
      </c>
      <c r="U3" s="31" t="s">
        <v>123</v>
      </c>
      <c r="V3" s="30" t="s">
        <v>124</v>
      </c>
      <c r="W3" s="30" t="s">
        <v>141</v>
      </c>
      <c r="X3" s="32" t="s">
        <v>125</v>
      </c>
      <c r="Y3" s="27" t="s">
        <v>281</v>
      </c>
      <c r="Z3" s="27" t="s">
        <v>283</v>
      </c>
      <c r="AA3" s="27" t="s">
        <v>284</v>
      </c>
      <c r="AB3" s="125"/>
    </row>
    <row r="4" spans="1:28">
      <c r="A4" s="143"/>
      <c r="B4" s="29" t="s">
        <v>62</v>
      </c>
      <c r="C4" s="16">
        <v>42886</v>
      </c>
      <c r="D4" s="16">
        <v>42916</v>
      </c>
      <c r="E4" s="149" t="str">
        <f>IFERROR(INDEX(trk.vFundCodeMap[Division],MATCH(tblChecks[[#This Row],[BOne Fund Code]],trk.vFundCodeMap[BOneFundCode],0)),"Set up the fund and its tolerances in Tracking Tool")</f>
        <v>Active Bond</v>
      </c>
      <c r="F4" s="149" t="str">
        <f>IFERROR(INDEX(trk.vFundCodeMap[CCY],MATCH(tblChecks[[#This Row],[BOne Fund Code]],trk.vFundCodeMap[BOneFundCode],0)),"Set up the fund and its tolerances in Tracking Tool")</f>
        <v>GBP</v>
      </c>
      <c r="G4" s="149" t="str">
        <f>IF(SUMIFS(trk.vReturnFund[GrossReturn],trk.vReturnFund[BOneFundCode],tblChecks[[#This Row],[BOne Fund Code]],trk.vReturnFund[StartDate],EOMONTH(tblChecks[[#This Row],[Start Date]],-1),trk.vReturnFund[EndDate],EOMONTH(tblChecks[[#This Row],[End Date]],-1),trk.vReturnFund[Currency],tblChecks[[#This Row],[Fund CCY]],trk.vReturnFund[ReturnType], "Total Return",trk.vReturnFund[ReturnSource],"B-One")&lt;&gt;0,"Yes","No")</f>
        <v>Yes</v>
      </c>
      <c r="H4" s="149" t="str">
        <f>checkAllPreviousMonthApproved(tblChecks[[#This Row],[BOne Fund Code]])</f>
        <v>No</v>
      </c>
      <c r="I4" s="13">
        <f>SUMIFS(tblBoneReturn[GROSS_TOTAL_RETURN],tblBoneReturn[FUND_CODE],tblChecks[[#This Row],[BOne Fund Code]],tblBoneReturn[END_DATE],tblChecks[[#This Row],[End Date]],tblBoneReturn[FUND_CURRENCY],tblChecks[[#This Row],[Fund CCY]])</f>
        <v>-1.9994185000000001E-2</v>
      </c>
      <c r="J4" s="13">
        <f>SUMIFS(tblBoneReturn[BMK_TOTAL_RETURN],tblBoneReturn[FUND_CODE],tblChecks[[#This Row],[BOne Fund Code]],tblBoneReturn[END_DATE],tblChecks[[#This Row],[End Date]])</f>
        <v>0</v>
      </c>
      <c r="K4" s="13" t="str">
        <f>IFERROR(INDEX(trk.tblReturnTolerance[ToleranceFundBench],MATCH(tblChecks[[#This Row],[BOne Fund Code]],trk.tblReturnTolerance[BOneFundCode],0)),"Set up the fund and its tolerances in Tracking Tool")</f>
        <v>Set up the fund and its tolerances in Tracking Tool</v>
      </c>
      <c r="L4" s="13">
        <f>IF(tblChecks[[#This Row],[Benchmark Return]]=0,0,tblChecks[[#This Row],[Gross Fund Return]]-tblChecks[[#This Row],[Benchmark Return]])</f>
        <v>0</v>
      </c>
      <c r="M4" s="13">
        <f>SUMIFS(tblBoneReturn[GROSS_TOTAL_RETURN],tblBoneReturn[FUND_CODE],tblChecks[[#This Row],[BOne Fund Code]],tblBoneReturn[END_DATE],tblChecks[[#This Row],[End Date]],tblBoneReturn[FUND_CURRENCY],tblChecks[[#This Row],[Fund CCY]])</f>
        <v>-1.9994185000000001E-2</v>
      </c>
      <c r="N4" s="13">
        <f>SUMIFS(tblBoneReturn[DECOMPOSED],tblBoneReturn[FUND_CODE],tblChecks[[#This Row],[BOne Fund Code]],tblBoneReturn[END_DATE],tblChecks[[#This Row],[End Date]],tblBoneReturn[FUND_CURRENCY],tblChecks[[#This Row],[Fund CCY]])</f>
        <v>0</v>
      </c>
      <c r="O4" s="147" t="str">
        <f>IFERROR(INDEX(trk.tblReturnTolerance[ToleranceGrossDecomposed],MATCH(tblChecks[[#This Row],[BOne Fund Code]],trk.tblReturnTolerance[BOneFundCode],0)),"Set up the fund and its tolerances in Tracking Tool")</f>
        <v>Set up the fund and its tolerances in Tracking Tool</v>
      </c>
      <c r="P4" s="151">
        <f>tblChecks[[#This Row],[Gross Return]]-tblChecks[[#This Row],[Decomposed]]</f>
        <v>-1.9994185000000001E-2</v>
      </c>
      <c r="Q4" s="14">
        <f>SUMIFS(tblBoneReturn[NET_CASHFLOW],tblBoneReturn[FUND_CODE],tblChecks[[#This Row],[BOne Fund Code]],tblBoneReturn[START_DATE],tblChecks[[#This Row],[Start Date]],tblBoneReturn[END_DATE],tblChecks[[#This Row],[End Date]],tblBoneReturn[FUND_CURRENCY],tblChecks[[#This Row],[Fund CCY]])</f>
        <v>45.8</v>
      </c>
      <c r="R4" s="14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31787937.219999999</v>
      </c>
      <c r="S4" s="25" t="str">
        <f>IFERROR(INDEX(trk.tblReturnTolerance[ToleranceCashflow],MATCH(tblChecks[[#This Row],[BOne Fund Code]],trk.tblReturnTolerance[BOneFundCode],0)),"Set up the fund and its tolerances in Tracking Tool")</f>
        <v>Set up the fund and its tolerances in Tracking Tool</v>
      </c>
      <c r="T4" s="25">
        <f>IFERROR(tblChecks[[#This Row],[BOne Cashflows (Net)]]/tblChecks[[#This Row],[BOne End NAV]],"Set up the fund and its tolerances in Tracking Tool")</f>
        <v>1.440798114172191E-6</v>
      </c>
      <c r="U4" s="14">
        <f>SUMIFS(tblBoneReturn[START_NAV],tblBoneReturn[FUND_CODE],tblChecks[[#This Row],[BOne Fund Code]],tblBoneReturn[START_DATE],tblChecks[[#This Row],[Start Date]],tblBoneReturn[END_DATE],tblChecks[[#This Row],[End Date]],tblBoneReturn[FUND_CURRENCY],tblChecks[[#This Row],[Fund CCY]])</f>
        <v>31794248.43</v>
      </c>
      <c r="V4" s="14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31787937.219999999</v>
      </c>
      <c r="W4" s="25" t="str">
        <f>IFERROR(INDEX(trk.tblReturnTolerance[ToleranceNavChange],MATCH(tblChecks[[#This Row],[BOne Fund Code]],trk.tblReturnTolerance[BOneFundCode],0)),"Set up the fund and its tolerances in Tracking Tool")</f>
        <v>Set up the fund and its tolerances in Tracking Tool</v>
      </c>
      <c r="X4" s="33">
        <f>IFERROR(tblChecks[[#This Row],[End NAV]]/tblChecks[[#This Row],[Start NAV]]-1,"Set up the fund and its tolerances in Tracking Tool")</f>
        <v>-1.9850162566026341E-4</v>
      </c>
      <c r="Y4" s="145">
        <f>SUMIFS(tblBoneReturn[START_NAV],tblBoneReturn[FUND_CODE],tblChecks[[#This Row],[BOne Fund Code]],tblBoneReturn[FUND_CURRENCY],tblChecks[[#This Row],[Fund CCY]],tblBoneReturn[START_DATE],tblChecks[[#This Row],[Start Date]])</f>
        <v>31794248.43</v>
      </c>
      <c r="Z4" s="145">
        <f>SUMIFS(trk.vReturnFund[EndNav],trk.vReturnFund[BOneFundCode],tblChecks[[#This Row],[BOne Fund Code]],trk.vReturnFund[EndDate],tblChecks[[#This Row],[Start Date]],trk.vReturnFund[Currency],tblChecks[[#This Row],[Fund CCY]],trk.vReturnFund[ReturnFrequency],"Monthly",trk.vReturnFund[ReturnType], "Total Return")</f>
        <v>31794248.43</v>
      </c>
      <c r="AA4" s="146">
        <f>tblChecks[[#This Row],[BOne Starting NAV]]-tblChecks[[#This Row],[iPas previous month ending NAV]]</f>
        <v>0</v>
      </c>
    </row>
    <row r="5" spans="1:28">
      <c r="A5" s="143"/>
      <c r="B5" s="29" t="s">
        <v>65</v>
      </c>
      <c r="C5" s="209">
        <v>42886</v>
      </c>
      <c r="D5" s="209">
        <v>42916</v>
      </c>
      <c r="E5" s="203" t="str">
        <f>IFERROR(INDEX(trk.vFundCodeMap[Division],MATCH(tblChecks[[#This Row],[BOne Fund Code]],trk.vFundCodeMap[BOneFundCode],0)),"Set up the fund and its tolerances in Tracking Tool")</f>
        <v>Active Bond</v>
      </c>
      <c r="F5" s="203" t="str">
        <f>IFERROR(INDEX(trk.vFundCodeMap[CCY],MATCH(tblChecks[[#This Row],[BOne Fund Code]],trk.vFundCodeMap[BOneFundCode],0)),"Set up the fund and its tolerances in Tracking Tool")</f>
        <v>GBP</v>
      </c>
      <c r="G5" s="203" t="str">
        <f>IF(SUMIFS(trk.vReturnFund[GrossReturn],trk.vReturnFund[BOneFundCode],tblChecks[[#This Row],[BOne Fund Code]],trk.vReturnFund[StartDate],EOMONTH(tblChecks[[#This Row],[Start Date]],-1),trk.vReturnFund[EndDate],EOMONTH(tblChecks[[#This Row],[End Date]],-1),trk.vReturnFund[Currency],tblChecks[[#This Row],[Fund CCY]],trk.vReturnFund[ReturnType], "Total Return",trk.vReturnFund[ReturnSource],"B-One")&lt;&gt;0,"Yes","No")</f>
        <v>Yes</v>
      </c>
      <c r="H5" s="203" t="str">
        <f>checkAllPreviousMonthApproved(tblChecks[[#This Row],[BOne Fund Code]])</f>
        <v>No</v>
      </c>
      <c r="I5" s="205">
        <f>SUMIFS(tblBoneReturn[GROSS_TOTAL_RETURN],tblBoneReturn[FUND_CODE],tblChecks[[#This Row],[BOne Fund Code]],tblBoneReturn[END_DATE],tblChecks[[#This Row],[End Date]],tblBoneReturn[FUND_CURRENCY],tblChecks[[#This Row],[Fund CCY]])</f>
        <v>-2.0876104098999999</v>
      </c>
      <c r="J5" s="205">
        <f>SUMIFS(tblBoneReturn[BMK_TOTAL_RETURN],tblBoneReturn[FUND_CODE],tblChecks[[#This Row],[BOne Fund Code]],tblBoneReturn[END_DATE],tblChecks[[#This Row],[End Date]])</f>
        <v>0</v>
      </c>
      <c r="K5" s="205" t="str">
        <f>IFERROR(INDEX(trk.tblReturnTolerance[ToleranceFundBench],MATCH(tblChecks[[#This Row],[BOne Fund Code]],trk.tblReturnTolerance[BOneFundCode],0)),"Set up the fund and its tolerances in Tracking Tool")</f>
        <v>Set up the fund and its tolerances in Tracking Tool</v>
      </c>
      <c r="L5" s="205">
        <f>IF(tblChecks[[#This Row],[Benchmark Return]]=0,0,tblChecks[[#This Row],[Gross Fund Return]]-tblChecks[[#This Row],[Benchmark Return]])</f>
        <v>0</v>
      </c>
      <c r="M5" s="205">
        <f>SUMIFS(tblBoneReturn[GROSS_TOTAL_RETURN],tblBoneReturn[FUND_CODE],tblChecks[[#This Row],[BOne Fund Code]],tblBoneReturn[END_DATE],tblChecks[[#This Row],[End Date]],tblBoneReturn[FUND_CURRENCY],tblChecks[[#This Row],[Fund CCY]])</f>
        <v>-2.0876104098999999</v>
      </c>
      <c r="N5" s="205">
        <f>SUMIFS(tblBoneReturn[DECOMPOSED],tblBoneReturn[FUND_CODE],tblChecks[[#This Row],[BOne Fund Code]],tblBoneReturn[END_DATE],tblChecks[[#This Row],[End Date]],tblBoneReturn[FUND_CURRENCY],tblChecks[[#This Row],[Fund CCY]])</f>
        <v>0</v>
      </c>
      <c r="O5" s="205" t="str">
        <f>IFERROR(INDEX(trk.tblReturnTolerance[ToleranceGrossDecomposed],MATCH(tblChecks[[#This Row],[BOne Fund Code]],trk.tblReturnTolerance[BOneFundCode],0)),"Set up the fund and its tolerances in Tracking Tool")</f>
        <v>Set up the fund and its tolerances in Tracking Tool</v>
      </c>
      <c r="P5" s="210">
        <f>tblChecks[[#This Row],[Gross Return]]-tblChecks[[#This Row],[Decomposed]]</f>
        <v>-2.0876104098999999</v>
      </c>
      <c r="Q5" s="206">
        <f>SUMIFS(tblBoneReturn[NET_CASHFLOW],tblBoneReturn[FUND_CODE],tblChecks[[#This Row],[BOne Fund Code]],tblBoneReturn[START_DATE],tblChecks[[#This Row],[Start Date]],tblBoneReturn[END_DATE],tblChecks[[#This Row],[End Date]],tblBoneReturn[FUND_CURRENCY],tblChecks[[#This Row],[Fund CCY]])</f>
        <v>-2707.32</v>
      </c>
      <c r="R5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450532585.33999997</v>
      </c>
      <c r="S5" s="211" t="str">
        <f>IFERROR(INDEX(trk.tblReturnTolerance[ToleranceCashflow],MATCH(tblChecks[[#This Row],[BOne Fund Code]],trk.tblReturnTolerance[BOneFundCode],0)),"Set up the fund and its tolerances in Tracking Tool")</f>
        <v>Set up the fund and its tolerances in Tracking Tool</v>
      </c>
      <c r="T5" s="143">
        <f>IFERROR(tblChecks[[#This Row],[BOne Cashflows (Net)]]/tblChecks[[#This Row],[BOne End NAV]],"Set up the fund and its tolerances in Tracking Tool")</f>
        <v>-6.0091546940092862E-6</v>
      </c>
      <c r="U5" s="206">
        <f>SUMIFS(tblBoneReturn[START_NAV],tblBoneReturn[FUND_CODE],tblChecks[[#This Row],[BOne Fund Code]],tblBoneReturn[START_DATE],tblChecks[[#This Row],[Start Date]],tblBoneReturn[END_DATE],tblChecks[[#This Row],[End Date]],tblBoneReturn[FUND_CURRENCY],tblChecks[[#This Row],[Fund CCY]])</f>
        <v>460141179.33999997</v>
      </c>
      <c r="V5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450532585.33999997</v>
      </c>
      <c r="W5" s="211" t="str">
        <f>IFERROR(INDEX(trk.tblReturnTolerance[ToleranceNavChange],MATCH(tblChecks[[#This Row],[BOne Fund Code]],trk.tblReturnTolerance[BOneFundCode],0)),"Set up the fund and its tolerances in Tracking Tool")</f>
        <v>Set up the fund and its tolerances in Tracking Tool</v>
      </c>
      <c r="X5" s="211">
        <f>IFERROR(tblChecks[[#This Row],[End NAV]]/tblChecks[[#This Row],[Start NAV]]-1,"Set up the fund and its tolerances in Tracking Tool")</f>
        <v>-2.0881838947303111E-2</v>
      </c>
      <c r="Y5" s="206">
        <f>SUMIFS(tblBoneReturn[START_NAV],tblBoneReturn[FUND_CODE],tblChecks[[#This Row],[BOne Fund Code]],tblBoneReturn[FUND_CURRENCY],tblChecks[[#This Row],[Fund CCY]],tblBoneReturn[START_DATE],tblChecks[[#This Row],[Start Date]])</f>
        <v>460141179.33999997</v>
      </c>
      <c r="Z5" s="206">
        <f>SUMIFS(trk.vReturnFund[EndNav],trk.vReturnFund[BOneFundCode],tblChecks[[#This Row],[BOne Fund Code]],trk.vReturnFund[EndDate],tblChecks[[#This Row],[Start Date]],trk.vReturnFund[Currency],tblChecks[[#This Row],[Fund CCY]],trk.vReturnFund[ReturnFrequency],"Monthly",trk.vReturnFund[ReturnType], "Total Return")</f>
        <v>460141179.33999997</v>
      </c>
      <c r="AA5" s="212">
        <f>tblChecks[[#This Row],[BOne Starting NAV]]-tblChecks[[#This Row],[iPas previous month ending NAV]]</f>
        <v>0</v>
      </c>
    </row>
    <row r="6" spans="1:28">
      <c r="A6" s="143"/>
      <c r="B6" s="29" t="s">
        <v>68</v>
      </c>
      <c r="C6" s="209">
        <v>42886</v>
      </c>
      <c r="D6" s="209">
        <v>42916</v>
      </c>
      <c r="E6" s="203" t="str">
        <f>IFERROR(INDEX(trk.vFundCodeMap[Division],MATCH(tblChecks[[#This Row],[BOne Fund Code]],trk.vFundCodeMap[BOneFundCode],0)),"Set up the fund and its tolerances in Tracking Tool")</f>
        <v>Active Bond</v>
      </c>
      <c r="F6" s="203" t="str">
        <f>IFERROR(INDEX(trk.vFundCodeMap[CCY],MATCH(tblChecks[[#This Row],[BOne Fund Code]],trk.vFundCodeMap[BOneFundCode],0)),"Set up the fund and its tolerances in Tracking Tool")</f>
        <v>GBP</v>
      </c>
      <c r="G6" s="203" t="str">
        <f>IF(SUMIFS(trk.vReturnFund[GrossReturn],trk.vReturnFund[BOneFundCode],tblChecks[[#This Row],[BOne Fund Code]],trk.vReturnFund[StartDate],EOMONTH(tblChecks[[#This Row],[Start Date]],-1),trk.vReturnFund[EndDate],EOMONTH(tblChecks[[#This Row],[End Date]],-1),trk.vReturnFund[Currency],tblChecks[[#This Row],[Fund CCY]],trk.vReturnFund[ReturnType], "Total Return",trk.vReturnFund[ReturnSource],"B-One")&lt;&gt;0,"Yes","No")</f>
        <v>Yes</v>
      </c>
      <c r="H6" s="203" t="str">
        <f>checkAllPreviousMonthApproved(tblChecks[[#This Row],[BOne Fund Code]])</f>
        <v>No</v>
      </c>
      <c r="I6" s="205">
        <f>SUMIFS(tblBoneReturn[GROSS_TOTAL_RETURN],tblBoneReturn[FUND_CODE],tblChecks[[#This Row],[BOne Fund Code]],tblBoneReturn[END_DATE],tblChecks[[#This Row],[End Date]],tblBoneReturn[FUND_CURRENCY],tblChecks[[#This Row],[Fund CCY]])</f>
        <v>-2.6683501419</v>
      </c>
      <c r="J6" s="205">
        <f>SUMIFS(tblBoneReturn[BMK_TOTAL_RETURN],tblBoneReturn[FUND_CODE],tblChecks[[#This Row],[BOne Fund Code]],tblBoneReturn[END_DATE],tblChecks[[#This Row],[End Date]])</f>
        <v>9.7343768999999993E-3</v>
      </c>
      <c r="K6" s="205" t="str">
        <f>IFERROR(INDEX(trk.tblReturnTolerance[ToleranceFundBench],MATCH(tblChecks[[#This Row],[BOne Fund Code]],trk.tblReturnTolerance[BOneFundCode],0)),"Set up the fund and its tolerances in Tracking Tool")</f>
        <v>Set up the fund and its tolerances in Tracking Tool</v>
      </c>
      <c r="L6" s="205">
        <f>IF(tblChecks[[#This Row],[Benchmark Return]]=0,0,tblChecks[[#This Row],[Gross Fund Return]]-tblChecks[[#This Row],[Benchmark Return]])</f>
        <v>-2.6780845188</v>
      </c>
      <c r="M6" s="205">
        <f>SUMIFS(tblBoneReturn[GROSS_TOTAL_RETURN],tblBoneReturn[FUND_CODE],tblChecks[[#This Row],[BOne Fund Code]],tblBoneReturn[END_DATE],tblChecks[[#This Row],[End Date]],tblBoneReturn[FUND_CURRENCY],tblChecks[[#This Row],[Fund CCY]])</f>
        <v>-2.6683501419</v>
      </c>
      <c r="N6" s="205">
        <f>SUMIFS(tblBoneReturn[DECOMPOSED],tblBoneReturn[FUND_CODE],tblChecks[[#This Row],[BOne Fund Code]],tblBoneReturn[END_DATE],tblChecks[[#This Row],[End Date]],tblBoneReturn[FUND_CURRENCY],tblChecks[[#This Row],[Fund CCY]])</f>
        <v>-2.6683501419</v>
      </c>
      <c r="O6" s="205" t="str">
        <f>IFERROR(INDEX(trk.tblReturnTolerance[ToleranceGrossDecomposed],MATCH(tblChecks[[#This Row],[BOne Fund Code]],trk.tblReturnTolerance[BOneFundCode],0)),"Set up the fund and its tolerances in Tracking Tool")</f>
        <v>Set up the fund and its tolerances in Tracking Tool</v>
      </c>
      <c r="P6" s="210">
        <f>tblChecks[[#This Row],[Gross Return]]-tblChecks[[#This Row],[Decomposed]]</f>
        <v>0</v>
      </c>
      <c r="Q6" s="206">
        <f>SUMIFS(tblBoneReturn[NET_CASHFLOW],tblBoneReturn[FUND_CODE],tblChecks[[#This Row],[BOne Fund Code]],tblBoneReturn[START_DATE],tblChecks[[#This Row],[Start Date]],tblBoneReturn[END_DATE],tblChecks[[#This Row],[End Date]],tblBoneReturn[FUND_CURRENCY],tblChecks[[#This Row],[Fund CCY]])</f>
        <v>-9000595.6400000006</v>
      </c>
      <c r="R6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205964791.52000001</v>
      </c>
      <c r="S6" s="211" t="str">
        <f>IFERROR(INDEX(trk.tblReturnTolerance[ToleranceCashflow],MATCH(tblChecks[[#This Row],[BOne Fund Code]],trk.tblReturnTolerance[BOneFundCode],0)),"Set up the fund and its tolerances in Tracking Tool")</f>
        <v>Set up the fund and its tolerances in Tracking Tool</v>
      </c>
      <c r="T6" s="143">
        <f>IFERROR(tblChecks[[#This Row],[BOne Cashflows (Net)]]/tblChecks[[#This Row],[BOne End NAV]],"Set up the fund and its tolerances in Tracking Tool")</f>
        <v>-4.3699680773478251E-2</v>
      </c>
      <c r="U6" s="206">
        <f>SUMIFS(tblBoneReturn[START_NAV],tblBoneReturn[FUND_CODE],tblChecks[[#This Row],[BOne Fund Code]],tblBoneReturn[START_DATE],tblChecks[[#This Row],[Start Date]],tblBoneReturn[END_DATE],tblChecks[[#This Row],[End Date]],tblBoneReturn[FUND_CURRENCY],tblChecks[[#This Row],[Fund CCY]])</f>
        <v>220730813.93000001</v>
      </c>
      <c r="V6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205964791.52000001</v>
      </c>
      <c r="W6" s="211" t="str">
        <f>IFERROR(INDEX(trk.tblReturnTolerance[ToleranceNavChange],MATCH(tblChecks[[#This Row],[BOne Fund Code]],trk.tblReturnTolerance[BOneFundCode],0)),"Set up the fund and its tolerances in Tracking Tool")</f>
        <v>Set up the fund and its tolerances in Tracking Tool</v>
      </c>
      <c r="X6" s="211">
        <f>IFERROR(tblChecks[[#This Row],[End NAV]]/tblChecks[[#This Row],[Start NAV]]-1,"Set up the fund and its tolerances in Tracking Tool")</f>
        <v>-6.689606288808736E-2</v>
      </c>
      <c r="Y6" s="206">
        <f>SUMIFS(tblBoneReturn[START_NAV],tblBoneReturn[FUND_CODE],tblChecks[[#This Row],[BOne Fund Code]],tblBoneReturn[FUND_CURRENCY],tblChecks[[#This Row],[Fund CCY]],tblBoneReturn[START_DATE],tblChecks[[#This Row],[Start Date]])</f>
        <v>220730813.93000001</v>
      </c>
      <c r="Z6" s="206">
        <f>SUMIFS(trk.vReturnFund[EndNav],trk.vReturnFund[BOneFundCode],tblChecks[[#This Row],[BOne Fund Code]],trk.vReturnFund[EndDate],tblChecks[[#This Row],[Start Date]],trk.vReturnFund[Currency],tblChecks[[#This Row],[Fund CCY]],trk.vReturnFund[ReturnFrequency],"Monthly",trk.vReturnFund[ReturnType], "Total Return")</f>
        <v>220730813.93000001</v>
      </c>
      <c r="AA6" s="212">
        <f>tblChecks[[#This Row],[BOne Starting NAV]]-tblChecks[[#This Row],[iPas previous month ending NAV]]</f>
        <v>0</v>
      </c>
    </row>
    <row r="7" spans="1:28">
      <c r="B7" s="29" t="s">
        <v>66</v>
      </c>
      <c r="C7" s="209">
        <v>42886</v>
      </c>
      <c r="D7" s="209">
        <v>42916</v>
      </c>
      <c r="E7" s="203" t="str">
        <f>IFERROR(INDEX(trk.vFundCodeMap[Division],MATCH(tblChecks[[#This Row],[BOne Fund Code]],trk.vFundCodeMap[BOneFundCode],0)),"Set up the fund and its tolerances in Tracking Tool")</f>
        <v>Active Bond</v>
      </c>
      <c r="F7" s="203" t="str">
        <f>IFERROR(INDEX(trk.vFundCodeMap[CCY],MATCH(tblChecks[[#This Row],[BOne Fund Code]],trk.vFundCodeMap[BOneFundCode],0)),"Set up the fund and its tolerances in Tracking Tool")</f>
        <v>GBP</v>
      </c>
      <c r="G7" s="203" t="str">
        <f>IF(SUMIFS(trk.vReturnFund[GrossReturn],trk.vReturnFund[BOneFundCode],tblChecks[[#This Row],[BOne Fund Code]],trk.vReturnFund[StartDate],EOMONTH(tblChecks[[#This Row],[Start Date]],-1),trk.vReturnFund[EndDate],EOMONTH(tblChecks[[#This Row],[End Date]],-1),trk.vReturnFund[Currency],tblChecks[[#This Row],[Fund CCY]],trk.vReturnFund[ReturnType], "Total Return",trk.vReturnFund[ReturnSource],"B-One")&lt;&gt;0,"Yes","No")</f>
        <v>Yes</v>
      </c>
      <c r="H7" s="203" t="str">
        <f>checkAllPreviousMonthApproved(tblChecks[[#This Row],[BOne Fund Code]])</f>
        <v>No</v>
      </c>
      <c r="I7" s="205">
        <f>SUMIFS(tblBoneReturn[GROSS_TOTAL_RETURN],tblBoneReturn[FUND_CODE],tblChecks[[#This Row],[BOne Fund Code]],tblBoneReturn[END_DATE],tblChecks[[#This Row],[End Date]],tblBoneReturn[FUND_CURRENCY],tblChecks[[#This Row],[Fund CCY]])</f>
        <v>-2.0067145839</v>
      </c>
      <c r="J7" s="205">
        <f>SUMIFS(tblBoneReturn[BMK_TOTAL_RETURN],tblBoneReturn[FUND_CODE],tblChecks[[#This Row],[BOne Fund Code]],tblBoneReturn[END_DATE],tblChecks[[#This Row],[End Date]])</f>
        <v>0</v>
      </c>
      <c r="K7" s="205" t="str">
        <f>IFERROR(INDEX(trk.tblReturnTolerance[ToleranceFundBench],MATCH(tblChecks[[#This Row],[BOne Fund Code]],trk.tblReturnTolerance[BOneFundCode],0)),"Set up the fund and its tolerances in Tracking Tool")</f>
        <v>Set up the fund and its tolerances in Tracking Tool</v>
      </c>
      <c r="L7" s="205">
        <f>IF(tblChecks[[#This Row],[Benchmark Return]]=0,0,tblChecks[[#This Row],[Gross Fund Return]]-tblChecks[[#This Row],[Benchmark Return]])</f>
        <v>0</v>
      </c>
      <c r="M7" s="205">
        <f>SUMIFS(tblBoneReturn[GROSS_TOTAL_RETURN],tblBoneReturn[FUND_CODE],tblChecks[[#This Row],[BOne Fund Code]],tblBoneReturn[END_DATE],tblChecks[[#This Row],[End Date]],tblBoneReturn[FUND_CURRENCY],tblChecks[[#This Row],[Fund CCY]])</f>
        <v>-2.0067145839</v>
      </c>
      <c r="N7" s="205">
        <f>SUMIFS(tblBoneReturn[DECOMPOSED],tblBoneReturn[FUND_CODE],tblChecks[[#This Row],[BOne Fund Code]],tblBoneReturn[END_DATE],tblChecks[[#This Row],[End Date]],tblBoneReturn[FUND_CURRENCY],tblChecks[[#This Row],[Fund CCY]])</f>
        <v>-2.0067145839</v>
      </c>
      <c r="O7" s="205" t="str">
        <f>IFERROR(INDEX(trk.tblReturnTolerance[ToleranceGrossDecomposed],MATCH(tblChecks[[#This Row],[BOne Fund Code]],trk.tblReturnTolerance[BOneFundCode],0)),"Set up the fund and its tolerances in Tracking Tool")</f>
        <v>Set up the fund and its tolerances in Tracking Tool</v>
      </c>
      <c r="P7" s="210">
        <f>tblChecks[[#This Row],[Gross Return]]-tblChecks[[#This Row],[Decomposed]]</f>
        <v>0</v>
      </c>
      <c r="Q7" s="206">
        <f>SUMIFS(tblBoneReturn[NET_CASHFLOW],tblBoneReturn[FUND_CODE],tblChecks[[#This Row],[BOne Fund Code]],tblBoneReturn[START_DATE],tblChecks[[#This Row],[Start Date]],tblBoneReturn[END_DATE],tblChecks[[#This Row],[End Date]],tblBoneReturn[FUND_CURRENCY],tblChecks[[#This Row],[Fund CCY]])</f>
        <v>-832.11</v>
      </c>
      <c r="R7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388691521.89999998</v>
      </c>
      <c r="S7" s="211" t="str">
        <f>IFERROR(INDEX(trk.tblReturnTolerance[ToleranceCashflow],MATCH(tblChecks[[#This Row],[BOne Fund Code]],trk.tblReturnTolerance[BOneFundCode],0)),"Set up the fund and its tolerances in Tracking Tool")</f>
        <v>Set up the fund and its tolerances in Tracking Tool</v>
      </c>
      <c r="T7" s="143">
        <f>IFERROR(tblChecks[[#This Row],[BOne Cashflows (Net)]]/tblChecks[[#This Row],[BOne End NAV]],"Set up the fund and its tolerances in Tracking Tool")</f>
        <v>-2.1407979158703641E-6</v>
      </c>
      <c r="U7" s="206">
        <f>SUMIFS(tblBoneReturn[START_NAV],tblBoneReturn[FUND_CODE],tblChecks[[#This Row],[BOne Fund Code]],tblBoneReturn[START_DATE],tblChecks[[#This Row],[Start Date]],tblBoneReturn[END_DATE],tblChecks[[#This Row],[End Date]],tblBoneReturn[FUND_CURRENCY],tblChecks[[#This Row],[Fund CCY]])</f>
        <v>396652009.97000003</v>
      </c>
      <c r="V7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388691521.89999998</v>
      </c>
      <c r="W7" s="211" t="str">
        <f>IFERROR(INDEX(trk.tblReturnTolerance[ToleranceNavChange],MATCH(tblChecks[[#This Row],[BOne Fund Code]],trk.tblReturnTolerance[BOneFundCode],0)),"Set up the fund and its tolerances in Tracking Tool")</f>
        <v>Set up the fund and its tolerances in Tracking Tool</v>
      </c>
      <c r="X7" s="211">
        <f>IFERROR(tblChecks[[#This Row],[End NAV]]/tblChecks[[#This Row],[Start NAV]]-1,"Set up the fund and its tolerances in Tracking Tool")</f>
        <v>-2.0069198869311466E-2</v>
      </c>
      <c r="Y7" s="206">
        <f>SUMIFS(tblBoneReturn[START_NAV],tblBoneReturn[FUND_CODE],tblChecks[[#This Row],[BOne Fund Code]],tblBoneReturn[FUND_CURRENCY],tblChecks[[#This Row],[Fund CCY]],tblBoneReturn[START_DATE],tblChecks[[#This Row],[Start Date]])</f>
        <v>396652009.97000003</v>
      </c>
      <c r="Z7" s="206">
        <f>SUMIFS(trk.vReturnFund[EndNav],trk.vReturnFund[BOneFundCode],tblChecks[[#This Row],[BOne Fund Code]],trk.vReturnFund[EndDate],tblChecks[[#This Row],[Start Date]],trk.vReturnFund[Currency],tblChecks[[#This Row],[Fund CCY]],trk.vReturnFund[ReturnFrequency],"Monthly",trk.vReturnFund[ReturnType], "Total Return")</f>
        <v>396652009.97000003</v>
      </c>
      <c r="AA7" s="212">
        <f>tblChecks[[#This Row],[BOne Starting NAV]]-tblChecks[[#This Row],[iPas previous month ending NAV]]</f>
        <v>0</v>
      </c>
    </row>
    <row r="8" spans="1:28">
      <c r="B8" s="29" t="s">
        <v>73</v>
      </c>
      <c r="C8" s="209">
        <v>42886</v>
      </c>
      <c r="D8" s="209">
        <v>42916</v>
      </c>
      <c r="E8" s="203" t="str">
        <f>IFERROR(INDEX(trk.vFundCodeMap[Division],MATCH(tblChecks[[#This Row],[BOne Fund Code]],trk.vFundCodeMap[BOneFundCode],0)),"Set up the fund and its tolerances in Tracking Tool")</f>
        <v>Active Bond</v>
      </c>
      <c r="F8" s="203" t="str">
        <f>IFERROR(INDEX(trk.vFundCodeMap[CCY],MATCH(tblChecks[[#This Row],[BOne Fund Code]],trk.vFundCodeMap[BOneFundCode],0)),"Set up the fund and its tolerances in Tracking Tool")</f>
        <v>GBP</v>
      </c>
      <c r="G8" s="203" t="str">
        <f>IF(SUMIFS(trk.vReturnFund[GrossReturn],trk.vReturnFund[BOneFundCode],tblChecks[[#This Row],[BOne Fund Code]],trk.vReturnFund[StartDate],EOMONTH(tblChecks[[#This Row],[Start Date]],-1),trk.vReturnFund[EndDate],EOMONTH(tblChecks[[#This Row],[End Date]],-1),trk.vReturnFund[Currency],tblChecks[[#This Row],[Fund CCY]],trk.vReturnFund[ReturnType], "Total Return",trk.vReturnFund[ReturnSource],"B-One")&lt;&gt;0,"Yes","No")</f>
        <v>Yes</v>
      </c>
      <c r="H8" s="203" t="str">
        <f>checkAllPreviousMonthApproved(tblChecks[[#This Row],[BOne Fund Code]])</f>
        <v>No</v>
      </c>
      <c r="I8" s="205">
        <f>SUMIFS(tblBoneReturn[GROSS_TOTAL_RETURN],tblBoneReturn[FUND_CODE],tblChecks[[#This Row],[BOne Fund Code]],tblBoneReturn[END_DATE],tblChecks[[#This Row],[End Date]],tblBoneReturn[FUND_CURRENCY],tblChecks[[#This Row],[Fund CCY]])</f>
        <v>-1.7408887835</v>
      </c>
      <c r="J8" s="205">
        <f>SUMIFS(tblBoneReturn[BMK_TOTAL_RETURN],tblBoneReturn[FUND_CODE],tblChecks[[#This Row],[BOne Fund Code]],tblBoneReturn[END_DATE],tblChecks[[#This Row],[End Date]])</f>
        <v>0</v>
      </c>
      <c r="K8" s="205" t="str">
        <f>IFERROR(INDEX(trk.tblReturnTolerance[ToleranceFundBench],MATCH(tblChecks[[#This Row],[BOne Fund Code]],trk.tblReturnTolerance[BOneFundCode],0)),"Set up the fund and its tolerances in Tracking Tool")</f>
        <v>Set up the fund and its tolerances in Tracking Tool</v>
      </c>
      <c r="L8" s="205">
        <f>IF(tblChecks[[#This Row],[Benchmark Return]]=0,0,tblChecks[[#This Row],[Gross Fund Return]]-tblChecks[[#This Row],[Benchmark Return]])</f>
        <v>0</v>
      </c>
      <c r="M8" s="205">
        <f>SUMIFS(tblBoneReturn[GROSS_TOTAL_RETURN],tblBoneReturn[FUND_CODE],tblChecks[[#This Row],[BOne Fund Code]],tblBoneReturn[END_DATE],tblChecks[[#This Row],[End Date]],tblBoneReturn[FUND_CURRENCY],tblChecks[[#This Row],[Fund CCY]])</f>
        <v>-1.7408887835</v>
      </c>
      <c r="N8" s="205">
        <f>SUMIFS(tblBoneReturn[DECOMPOSED],tblBoneReturn[FUND_CODE],tblChecks[[#This Row],[BOne Fund Code]],tblBoneReturn[END_DATE],tblChecks[[#This Row],[End Date]],tblBoneReturn[FUND_CURRENCY],tblChecks[[#This Row],[Fund CCY]])</f>
        <v>-1.7408887835</v>
      </c>
      <c r="O8" s="205" t="str">
        <f>IFERROR(INDEX(trk.tblReturnTolerance[ToleranceGrossDecomposed],MATCH(tblChecks[[#This Row],[BOne Fund Code]],trk.tblReturnTolerance[BOneFundCode],0)),"Set up the fund and its tolerances in Tracking Tool")</f>
        <v>Set up the fund and its tolerances in Tracking Tool</v>
      </c>
      <c r="P8" s="210">
        <f>tblChecks[[#This Row],[Gross Return]]-tblChecks[[#This Row],[Decomposed]]</f>
        <v>0</v>
      </c>
      <c r="Q8" s="206">
        <f>SUMIFS(tblBoneReturn[NET_CASHFLOW],tblBoneReturn[FUND_CODE],tblChecks[[#This Row],[BOne Fund Code]],tblBoneReturn[START_DATE],tblChecks[[#This Row],[Start Date]],tblBoneReturn[END_DATE],tblChecks[[#This Row],[End Date]],tblBoneReturn[FUND_CURRENCY],tblChecks[[#This Row],[Fund CCY]])</f>
        <v>-6000095.9400000004</v>
      </c>
      <c r="R8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20895167.550000001</v>
      </c>
      <c r="S8" s="211" t="str">
        <f>IFERROR(INDEX(trk.tblReturnTolerance[ToleranceCashflow],MATCH(tblChecks[[#This Row],[BOne Fund Code]],trk.tblReturnTolerance[BOneFundCode],0)),"Set up the fund and its tolerances in Tracking Tool")</f>
        <v>Set up the fund and its tolerances in Tracking Tool</v>
      </c>
      <c r="T8" s="143">
        <f>IFERROR(tblChecks[[#This Row],[BOne Cashflows (Net)]]/tblChecks[[#This Row],[BOne End NAV]],"Set up the fund and its tolerances in Tracking Tool")</f>
        <v>-0.28715232484460268</v>
      </c>
      <c r="U8" s="206">
        <f>SUMIFS(tblBoneReturn[START_NAV],tblBoneReturn[FUND_CODE],tblChecks[[#This Row],[BOne Fund Code]],tblBoneReturn[START_DATE],tblChecks[[#This Row],[Start Date]],tblBoneReturn[END_DATE],tblChecks[[#This Row],[End Date]],tblBoneReturn[FUND_CURRENCY],tblChecks[[#This Row],[Fund CCY]])</f>
        <v>27323587.739999998</v>
      </c>
      <c r="V8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20895167.550000001</v>
      </c>
      <c r="W8" s="211" t="str">
        <f>IFERROR(INDEX(trk.tblReturnTolerance[ToleranceNavChange],MATCH(tblChecks[[#This Row],[BOne Fund Code]],trk.tblReturnTolerance[BOneFundCode],0)),"Set up the fund and its tolerances in Tracking Tool")</f>
        <v>Set up the fund and its tolerances in Tracking Tool</v>
      </c>
      <c r="X8" s="211">
        <f>IFERROR(tblChecks[[#This Row],[End NAV]]/tblChecks[[#This Row],[Start NAV]]-1,"Set up the fund and its tolerances in Tracking Tool")</f>
        <v>-0.23526998910868502</v>
      </c>
      <c r="Y8" s="206">
        <f>SUMIFS(tblBoneReturn[START_NAV],tblBoneReturn[FUND_CODE],tblChecks[[#This Row],[BOne Fund Code]],tblBoneReturn[FUND_CURRENCY],tblChecks[[#This Row],[Fund CCY]],tblBoneReturn[START_DATE],tblChecks[[#This Row],[Start Date]])</f>
        <v>27323587.739999998</v>
      </c>
      <c r="Z8" s="206">
        <f>SUMIFS(trk.vReturnFund[EndNav],trk.vReturnFund[BOneFundCode],tblChecks[[#This Row],[BOne Fund Code]],trk.vReturnFund[EndDate],tblChecks[[#This Row],[Start Date]],trk.vReturnFund[Currency],tblChecks[[#This Row],[Fund CCY]],trk.vReturnFund[ReturnFrequency],"Monthly",trk.vReturnFund[ReturnType], "Total Return")</f>
        <v>27323587.739999998</v>
      </c>
      <c r="AA8" s="212">
        <f>tblChecks[[#This Row],[BOne Starting NAV]]-tblChecks[[#This Row],[iPas previous month ending NAV]]</f>
        <v>0</v>
      </c>
    </row>
    <row r="9" spans="1:28">
      <c r="B9" s="29" t="s">
        <v>69</v>
      </c>
      <c r="C9" s="209">
        <v>42886</v>
      </c>
      <c r="D9" s="209">
        <v>42916</v>
      </c>
      <c r="E9" s="203" t="str">
        <f>IFERROR(INDEX(trk.vFundCodeMap[Division],MATCH(tblChecks[[#This Row],[BOne Fund Code]],trk.vFundCodeMap[BOneFundCode],0)),"Set up the fund and its tolerances in Tracking Tool")</f>
        <v>Active Bond</v>
      </c>
      <c r="F9" s="203" t="str">
        <f>IFERROR(INDEX(trk.vFundCodeMap[CCY],MATCH(tblChecks[[#This Row],[BOne Fund Code]],trk.vFundCodeMap[BOneFundCode],0)),"Set up the fund and its tolerances in Tracking Tool")</f>
        <v>GBP</v>
      </c>
      <c r="G9" s="203" t="str">
        <f>IF(SUMIFS(trk.vReturnFund[GrossReturn],trk.vReturnFund[BOneFundCode],tblChecks[[#This Row],[BOne Fund Code]],trk.vReturnFund[StartDate],EOMONTH(tblChecks[[#This Row],[Start Date]],-1),trk.vReturnFund[EndDate],EOMONTH(tblChecks[[#This Row],[End Date]],-1),trk.vReturnFund[Currency],tblChecks[[#This Row],[Fund CCY]],trk.vReturnFund[ReturnType], "Total Return",trk.vReturnFund[ReturnSource],"B-One")&lt;&gt;0,"Yes","No")</f>
        <v>Yes</v>
      </c>
      <c r="H9" s="203" t="str">
        <f>checkAllPreviousMonthApproved(tblChecks[[#This Row],[BOne Fund Code]])</f>
        <v>No</v>
      </c>
      <c r="I9" s="205">
        <f>SUMIFS(tblBoneReturn[GROSS_TOTAL_RETURN],tblBoneReturn[FUND_CODE],tblChecks[[#This Row],[BOne Fund Code]],tblBoneReturn[END_DATE],tblChecks[[#This Row],[End Date]],tblBoneReturn[FUND_CURRENCY],tblChecks[[#This Row],[Fund CCY]])</f>
        <v>-2.7642838144000001</v>
      </c>
      <c r="J9" s="205">
        <f>SUMIFS(tblBoneReturn[BMK_TOTAL_RETURN],tblBoneReturn[FUND_CODE],tblChecks[[#This Row],[BOne Fund Code]],tblBoneReturn[END_DATE],tblChecks[[#This Row],[End Date]])</f>
        <v>0</v>
      </c>
      <c r="K9" s="205" t="str">
        <f>IFERROR(INDEX(trk.tblReturnTolerance[ToleranceFundBench],MATCH(tblChecks[[#This Row],[BOne Fund Code]],trk.tblReturnTolerance[BOneFundCode],0)),"Set up the fund and its tolerances in Tracking Tool")</f>
        <v>Set up the fund and its tolerances in Tracking Tool</v>
      </c>
      <c r="L9" s="205">
        <f>IF(tblChecks[[#This Row],[Benchmark Return]]=0,0,tblChecks[[#This Row],[Gross Fund Return]]-tblChecks[[#This Row],[Benchmark Return]])</f>
        <v>0</v>
      </c>
      <c r="M9" s="205">
        <f>SUMIFS(tblBoneReturn[GROSS_TOTAL_RETURN],tblBoneReturn[FUND_CODE],tblChecks[[#This Row],[BOne Fund Code]],tblBoneReturn[END_DATE],tblChecks[[#This Row],[End Date]],tblBoneReturn[FUND_CURRENCY],tblChecks[[#This Row],[Fund CCY]])</f>
        <v>-2.7642838144000001</v>
      </c>
      <c r="N9" s="205">
        <f>SUMIFS(tblBoneReturn[DECOMPOSED],tblBoneReturn[FUND_CODE],tblChecks[[#This Row],[BOne Fund Code]],tblBoneReturn[END_DATE],tblChecks[[#This Row],[End Date]],tblBoneReturn[FUND_CURRENCY],tblChecks[[#This Row],[Fund CCY]])</f>
        <v>0</v>
      </c>
      <c r="O9" s="205" t="str">
        <f>IFERROR(INDEX(trk.tblReturnTolerance[ToleranceGrossDecomposed],MATCH(tblChecks[[#This Row],[BOne Fund Code]],trk.tblReturnTolerance[BOneFundCode],0)),"Set up the fund and its tolerances in Tracking Tool")</f>
        <v>Set up the fund and its tolerances in Tracking Tool</v>
      </c>
      <c r="P9" s="210">
        <f>tblChecks[[#This Row],[Gross Return]]-tblChecks[[#This Row],[Decomposed]]</f>
        <v>-2.7642838144000001</v>
      </c>
      <c r="Q9" s="206">
        <f>SUMIFS(tblBoneReturn[NET_CASHFLOW],tblBoneReturn[FUND_CODE],tblChecks[[#This Row],[BOne Fund Code]],tblBoneReturn[START_DATE],tblChecks[[#This Row],[Start Date]],tblBoneReturn[END_DATE],tblChecks[[#This Row],[End Date]],tblBoneReturn[FUND_CURRENCY],tblChecks[[#This Row],[Fund CCY]])</f>
        <v>3999734.41</v>
      </c>
      <c r="R9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99769944.840000004</v>
      </c>
      <c r="S9" s="211" t="str">
        <f>IFERROR(INDEX(trk.tblReturnTolerance[ToleranceCashflow],MATCH(tblChecks[[#This Row],[BOne Fund Code]],trk.tblReturnTolerance[BOneFundCode],0)),"Set up the fund and its tolerances in Tracking Tool")</f>
        <v>Set up the fund and its tolerances in Tracking Tool</v>
      </c>
      <c r="T9" s="143">
        <f>IFERROR(tblChecks[[#This Row],[BOne Cashflows (Net)]]/tblChecks[[#This Row],[BOne End NAV]],"Set up the fund and its tolerances in Tracking Tool")</f>
        <v>4.0089572229535977E-2</v>
      </c>
      <c r="U9" s="206">
        <f>SUMIFS(tblBoneReturn[START_NAV],tblBoneReturn[FUND_CODE],tblChecks[[#This Row],[BOne Fund Code]],tblBoneReturn[START_DATE],tblChecks[[#This Row],[Start Date]],tblBoneReturn[END_DATE],tblChecks[[#This Row],[End Date]],tblBoneReturn[FUND_CURRENCY],tblChecks[[#This Row],[Fund CCY]])</f>
        <v>98496610.75</v>
      </c>
      <c r="V9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99769944.840000004</v>
      </c>
      <c r="W9" s="211" t="str">
        <f>IFERROR(INDEX(trk.tblReturnTolerance[ToleranceNavChange],MATCH(tblChecks[[#This Row],[BOne Fund Code]],trk.tblReturnTolerance[BOneFundCode],0)),"Set up the fund and its tolerances in Tracking Tool")</f>
        <v>Set up the fund and its tolerances in Tracking Tool</v>
      </c>
      <c r="X9" s="211">
        <f>IFERROR(tblChecks[[#This Row],[End NAV]]/tblChecks[[#This Row],[Start NAV]]-1,"Set up the fund and its tolerances in Tracking Tool")</f>
        <v>1.2927694468918505E-2</v>
      </c>
      <c r="Y9" s="206">
        <f>SUMIFS(tblBoneReturn[START_NAV],tblBoneReturn[FUND_CODE],tblChecks[[#This Row],[BOne Fund Code]],tblBoneReturn[FUND_CURRENCY],tblChecks[[#This Row],[Fund CCY]],tblBoneReturn[START_DATE],tblChecks[[#This Row],[Start Date]])</f>
        <v>98496610.75</v>
      </c>
      <c r="Z9" s="206">
        <f>SUMIFS(trk.vReturnFund[EndNav],trk.vReturnFund[BOneFundCode],tblChecks[[#This Row],[BOne Fund Code]],trk.vReturnFund[EndDate],tblChecks[[#This Row],[Start Date]],trk.vReturnFund[Currency],tblChecks[[#This Row],[Fund CCY]],trk.vReturnFund[ReturnFrequency],"Monthly",trk.vReturnFund[ReturnType], "Total Return")</f>
        <v>98496610.75</v>
      </c>
      <c r="AA9" s="212">
        <f>tblChecks[[#This Row],[BOne Starting NAV]]-tblChecks[[#This Row],[iPas previous month ending NAV]]</f>
        <v>0</v>
      </c>
    </row>
    <row r="10" spans="1:28">
      <c r="B10" s="29" t="s">
        <v>71</v>
      </c>
      <c r="C10" s="209">
        <v>42886</v>
      </c>
      <c r="D10" s="209">
        <v>42916</v>
      </c>
      <c r="E10" s="203" t="str">
        <f>IFERROR(INDEX(trk.vFundCodeMap[Division],MATCH(tblChecks[[#This Row],[BOne Fund Code]],trk.vFundCodeMap[BOneFundCode],0)),"Set up the fund and its tolerances in Tracking Tool")</f>
        <v>Active Bond</v>
      </c>
      <c r="F10" s="203" t="str">
        <f>IFERROR(INDEX(trk.vFundCodeMap[CCY],MATCH(tblChecks[[#This Row],[BOne Fund Code]],trk.vFundCodeMap[BOneFundCode],0)),"Set up the fund and its tolerances in Tracking Tool")</f>
        <v>GBP</v>
      </c>
      <c r="G10" s="203" t="str">
        <f>IF(SUMIFS(trk.vReturnFund[GrossReturn],trk.vReturnFund[BOneFundCode],tblChecks[[#This Row],[BOne Fund Code]],trk.vReturnFund[StartDate],EOMONTH(tblChecks[[#This Row],[Start Date]],-1),trk.vReturnFund[EndDate],EOMONTH(tblChecks[[#This Row],[End Date]],-1),trk.vReturnFund[Currency],tblChecks[[#This Row],[Fund CCY]],trk.vReturnFund[ReturnType], "Total Return",trk.vReturnFund[ReturnSource],"B-One")&lt;&gt;0,"Yes","No")</f>
        <v>Yes</v>
      </c>
      <c r="H10" s="203" t="str">
        <f>checkAllPreviousMonthApproved(tblChecks[[#This Row],[BOne Fund Code]])</f>
        <v>No</v>
      </c>
      <c r="I10" s="205">
        <f>SUMIFS(tblBoneReturn[GROSS_TOTAL_RETURN],tblBoneReturn[FUND_CODE],tblChecks[[#This Row],[BOne Fund Code]],tblBoneReturn[END_DATE],tblChecks[[#This Row],[End Date]],tblBoneReturn[FUND_CURRENCY],tblChecks[[#This Row],[Fund CCY]])</f>
        <v>-1.7048241985000001</v>
      </c>
      <c r="J10" s="205">
        <f>SUMIFS(tblBoneReturn[BMK_TOTAL_RETURN],tblBoneReturn[FUND_CODE],tblChecks[[#This Row],[BOne Fund Code]],tblBoneReturn[END_DATE],tblChecks[[#This Row],[End Date]])</f>
        <v>0</v>
      </c>
      <c r="K10" s="205" t="str">
        <f>IFERROR(INDEX(trk.tblReturnTolerance[ToleranceFundBench],MATCH(tblChecks[[#This Row],[BOne Fund Code]],trk.tblReturnTolerance[BOneFundCode],0)),"Set up the fund and its tolerances in Tracking Tool")</f>
        <v>Set up the fund and its tolerances in Tracking Tool</v>
      </c>
      <c r="L10" s="205">
        <f>IF(tblChecks[[#This Row],[Benchmark Return]]=0,0,tblChecks[[#This Row],[Gross Fund Return]]-tblChecks[[#This Row],[Benchmark Return]])</f>
        <v>0</v>
      </c>
      <c r="M10" s="205">
        <f>SUMIFS(tblBoneReturn[GROSS_TOTAL_RETURN],tblBoneReturn[FUND_CODE],tblChecks[[#This Row],[BOne Fund Code]],tblBoneReturn[END_DATE],tblChecks[[#This Row],[End Date]],tblBoneReturn[FUND_CURRENCY],tblChecks[[#This Row],[Fund CCY]])</f>
        <v>-1.7048241985000001</v>
      </c>
      <c r="N10" s="205">
        <f>SUMIFS(tblBoneReturn[DECOMPOSED],tblBoneReturn[FUND_CODE],tblChecks[[#This Row],[BOne Fund Code]],tblBoneReturn[END_DATE],tblChecks[[#This Row],[End Date]],tblBoneReturn[FUND_CURRENCY],tblChecks[[#This Row],[Fund CCY]])</f>
        <v>0</v>
      </c>
      <c r="O10" s="205" t="str">
        <f>IFERROR(INDEX(trk.tblReturnTolerance[ToleranceGrossDecomposed],MATCH(tblChecks[[#This Row],[BOne Fund Code]],trk.tblReturnTolerance[BOneFundCode],0)),"Set up the fund and its tolerances in Tracking Tool")</f>
        <v>Set up the fund and its tolerances in Tracking Tool</v>
      </c>
      <c r="P10" s="210">
        <f>tblChecks[[#This Row],[Gross Return]]-tblChecks[[#This Row],[Decomposed]]</f>
        <v>-1.7048241985000001</v>
      </c>
      <c r="Q10" s="206">
        <f>SUMIFS(tblBoneReturn[NET_CASHFLOW],tblBoneReturn[FUND_CODE],tblChecks[[#This Row],[BOne Fund Code]],tblBoneReturn[START_DATE],tblChecks[[#This Row],[Start Date]],tblBoneReturn[END_DATE],tblChecks[[#This Row],[End Date]],tblBoneReturn[FUND_CURRENCY],tblChecks[[#This Row],[Fund CCY]])</f>
        <v>-15002537.18</v>
      </c>
      <c r="R10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958085925.73000002</v>
      </c>
      <c r="S10" s="211" t="str">
        <f>IFERROR(INDEX(trk.tblReturnTolerance[ToleranceCashflow],MATCH(tblChecks[[#This Row],[BOne Fund Code]],trk.tblReturnTolerance[BOneFundCode],0)),"Set up the fund and its tolerances in Tracking Tool")</f>
        <v>Set up the fund and its tolerances in Tracking Tool</v>
      </c>
      <c r="T10" s="143">
        <f>IFERROR(tblChecks[[#This Row],[BOne Cashflows (Net)]]/tblChecks[[#This Row],[BOne End NAV]],"Set up the fund and its tolerances in Tracking Tool")</f>
        <v>-1.5658863967309644E-2</v>
      </c>
      <c r="U10" s="206">
        <f>SUMIFS(tblBoneReturn[START_NAV],tblBoneReturn[FUND_CODE],tblChecks[[#This Row],[BOne Fund Code]],tblBoneReturn[START_DATE],tblChecks[[#This Row],[Start Date]],tblBoneReturn[END_DATE],tblChecks[[#This Row],[End Date]],tblBoneReturn[FUND_CURRENCY],tblChecks[[#This Row],[Fund CCY]])</f>
        <v>989705431.20000005</v>
      </c>
      <c r="V10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958085925.73000002</v>
      </c>
      <c r="W10" s="211" t="str">
        <f>IFERROR(INDEX(trk.tblReturnTolerance[ToleranceNavChange],MATCH(tblChecks[[#This Row],[BOne Fund Code]],trk.tblReturnTolerance[BOneFundCode],0)),"Set up the fund and its tolerances in Tracking Tool")</f>
        <v>Set up the fund and its tolerances in Tracking Tool</v>
      </c>
      <c r="X10" s="211">
        <f>IFERROR(tblChecks[[#This Row],[End NAV]]/tblChecks[[#This Row],[Start NAV]]-1,"Set up the fund and its tolerances in Tracking Tool")</f>
        <v>-3.1948400476757954E-2</v>
      </c>
      <c r="Y10" s="206">
        <f>SUMIFS(tblBoneReturn[START_NAV],tblBoneReturn[FUND_CODE],tblChecks[[#This Row],[BOne Fund Code]],tblBoneReturn[FUND_CURRENCY],tblChecks[[#This Row],[Fund CCY]],tblBoneReturn[START_DATE],tblChecks[[#This Row],[Start Date]])</f>
        <v>989705431.20000005</v>
      </c>
      <c r="Z10" s="206">
        <f>SUMIFS(trk.vReturnFund[EndNav],trk.vReturnFund[BOneFundCode],tblChecks[[#This Row],[BOne Fund Code]],trk.vReturnFund[EndDate],tblChecks[[#This Row],[Start Date]],trk.vReturnFund[Currency],tblChecks[[#This Row],[Fund CCY]],trk.vReturnFund[ReturnFrequency],"Monthly",trk.vReturnFund[ReturnType], "Total Return")</f>
        <v>989705431.20000005</v>
      </c>
      <c r="AA10" s="212">
        <f>tblChecks[[#This Row],[BOne Starting NAV]]-tblChecks[[#This Row],[iPas previous month ending NAV]]</f>
        <v>0</v>
      </c>
    </row>
    <row r="11" spans="1:28">
      <c r="B11" s="29" t="s">
        <v>70</v>
      </c>
      <c r="C11" s="209">
        <v>42886</v>
      </c>
      <c r="D11" s="209">
        <v>42916</v>
      </c>
      <c r="E11" s="203" t="str">
        <f>IFERROR(INDEX(trk.vFundCodeMap[Division],MATCH(tblChecks[[#This Row],[BOne Fund Code]],trk.vFundCodeMap[BOneFundCode],0)),"Set up the fund and its tolerances in Tracking Tool")</f>
        <v>Other</v>
      </c>
      <c r="F11" s="203" t="str">
        <f>IFERROR(INDEX(trk.vFundCodeMap[CCY],MATCH(tblChecks[[#This Row],[BOne Fund Code]],trk.vFundCodeMap[BOneFundCode],0)),"Set up the fund and its tolerances in Tracking Tool")</f>
        <v>GBP</v>
      </c>
      <c r="G11" s="203" t="str">
        <f>IF(SUMIFS(trk.vReturnFund[GrossReturn],trk.vReturnFund[BOneFundCode],tblChecks[[#This Row],[BOne Fund Code]],trk.vReturnFund[StartDate],EOMONTH(tblChecks[[#This Row],[Start Date]],-1),trk.vReturnFund[EndDate],EOMONTH(tblChecks[[#This Row],[End Date]],-1),trk.vReturnFund[Currency],tblChecks[[#This Row],[Fund CCY]],trk.vReturnFund[ReturnType], "Total Return",trk.vReturnFund[ReturnSource],"B-One")&lt;&gt;0,"Yes","No")</f>
        <v>Yes</v>
      </c>
      <c r="H11" s="203" t="str">
        <f>checkAllPreviousMonthApproved(tblChecks[[#This Row],[BOne Fund Code]])</f>
        <v>No</v>
      </c>
      <c r="I11" s="205">
        <f>SUMIFS(tblBoneReturn[GROSS_TOTAL_RETURN],tblBoneReturn[FUND_CODE],tblChecks[[#This Row],[BOne Fund Code]],tblBoneReturn[END_DATE],tblChecks[[#This Row],[End Date]],tblBoneReturn[FUND_CURRENCY],tblChecks[[#This Row],[Fund CCY]])</f>
        <v>-0.13644279370000001</v>
      </c>
      <c r="J11" s="205">
        <f>SUMIFS(tblBoneReturn[BMK_TOTAL_RETURN],tblBoneReturn[FUND_CODE],tblChecks[[#This Row],[BOne Fund Code]],tblBoneReturn[END_DATE],tblChecks[[#This Row],[End Date]])</f>
        <v>0</v>
      </c>
      <c r="K11" s="205" t="str">
        <f>IFERROR(INDEX(trk.tblReturnTolerance[ToleranceFundBench],MATCH(tblChecks[[#This Row],[BOne Fund Code]],trk.tblReturnTolerance[BOneFundCode],0)),"Set up the fund and its tolerances in Tracking Tool")</f>
        <v>Set up the fund and its tolerances in Tracking Tool</v>
      </c>
      <c r="L11" s="205">
        <f>IF(tblChecks[[#This Row],[Benchmark Return]]=0,0,tblChecks[[#This Row],[Gross Fund Return]]-tblChecks[[#This Row],[Benchmark Return]])</f>
        <v>0</v>
      </c>
      <c r="M11" s="205">
        <f>SUMIFS(tblBoneReturn[GROSS_TOTAL_RETURN],tblBoneReturn[FUND_CODE],tblChecks[[#This Row],[BOne Fund Code]],tblBoneReturn[END_DATE],tblChecks[[#This Row],[End Date]],tblBoneReturn[FUND_CURRENCY],tblChecks[[#This Row],[Fund CCY]])</f>
        <v>-0.13644279370000001</v>
      </c>
      <c r="N11" s="205">
        <f>SUMIFS(tblBoneReturn[DECOMPOSED],tblBoneReturn[FUND_CODE],tblChecks[[#This Row],[BOne Fund Code]],tblBoneReturn[END_DATE],tblChecks[[#This Row],[End Date]],tblBoneReturn[FUND_CURRENCY],tblChecks[[#This Row],[Fund CCY]])</f>
        <v>-0.13644279370000001</v>
      </c>
      <c r="O11" s="205" t="str">
        <f>IFERROR(INDEX(trk.tblReturnTolerance[ToleranceGrossDecomposed],MATCH(tblChecks[[#This Row],[BOne Fund Code]],trk.tblReturnTolerance[BOneFundCode],0)),"Set up the fund and its tolerances in Tracking Tool")</f>
        <v>Set up the fund and its tolerances in Tracking Tool</v>
      </c>
      <c r="P11" s="210">
        <f>tblChecks[[#This Row],[Gross Return]]-tblChecks[[#This Row],[Decomposed]]</f>
        <v>0</v>
      </c>
      <c r="Q11" s="206">
        <f>SUMIFS(tblBoneReturn[NET_CASHFLOW],tblBoneReturn[FUND_CODE],tblChecks[[#This Row],[BOne Fund Code]],tblBoneReturn[START_DATE],tblChecks[[#This Row],[Start Date]],tblBoneReturn[END_DATE],tblChecks[[#This Row],[End Date]],tblBoneReturn[FUND_CURRENCY],tblChecks[[#This Row],[Fund CCY]])</f>
        <v>0</v>
      </c>
      <c r="R11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127709217.09999999</v>
      </c>
      <c r="S11" s="211" t="str">
        <f>IFERROR(INDEX(trk.tblReturnTolerance[ToleranceCashflow],MATCH(tblChecks[[#This Row],[BOne Fund Code]],trk.tblReturnTolerance[BOneFundCode],0)),"Set up the fund and its tolerances in Tracking Tool")</f>
        <v>Set up the fund and its tolerances in Tracking Tool</v>
      </c>
      <c r="T11" s="143">
        <f>IFERROR(tblChecks[[#This Row],[BOne Cashflows (Net)]]/tblChecks[[#This Row],[BOne End NAV]],"Set up the fund and its tolerances in Tracking Tool")</f>
        <v>0</v>
      </c>
      <c r="U11" s="206">
        <f>SUMIFS(tblBoneReturn[START_NAV],tblBoneReturn[FUND_CODE],tblChecks[[#This Row],[BOne Fund Code]],tblBoneReturn[START_DATE],tblChecks[[#This Row],[Start Date]],tblBoneReturn[END_DATE],tblChecks[[#This Row],[End Date]],tblBoneReturn[FUND_CURRENCY],tblChecks[[#This Row],[Fund CCY]])</f>
        <v>127883705.2</v>
      </c>
      <c r="V11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127709217.09999999</v>
      </c>
      <c r="W11" s="211" t="str">
        <f>IFERROR(INDEX(trk.tblReturnTolerance[ToleranceNavChange],MATCH(tblChecks[[#This Row],[BOne Fund Code]],trk.tblReturnTolerance[BOneFundCode],0)),"Set up the fund and its tolerances in Tracking Tool")</f>
        <v>Set up the fund and its tolerances in Tracking Tool</v>
      </c>
      <c r="X11" s="211">
        <f>IFERROR(tblChecks[[#This Row],[End NAV]]/tblChecks[[#This Row],[Start NAV]]-1,"Set up the fund and its tolerances in Tracking Tool")</f>
        <v>-1.3644279365155887E-3</v>
      </c>
      <c r="Y11" s="206">
        <f>SUMIFS(tblBoneReturn[START_NAV],tblBoneReturn[FUND_CODE],tblChecks[[#This Row],[BOne Fund Code]],tblBoneReturn[FUND_CURRENCY],tblChecks[[#This Row],[Fund CCY]],tblBoneReturn[START_DATE],tblChecks[[#This Row],[Start Date]])</f>
        <v>127883705.2</v>
      </c>
      <c r="Z11" s="206">
        <f>SUMIFS(trk.vReturnFund[EndNav],trk.vReturnFund[BOneFundCode],tblChecks[[#This Row],[BOne Fund Code]],trk.vReturnFund[EndDate],tblChecks[[#This Row],[Start Date]],trk.vReturnFund[Currency],tblChecks[[#This Row],[Fund CCY]],trk.vReturnFund[ReturnFrequency],"Monthly",trk.vReturnFund[ReturnType], "Total Return")</f>
        <v>127883705.2</v>
      </c>
      <c r="AA11" s="212">
        <f>tblChecks[[#This Row],[BOne Starting NAV]]-tblChecks[[#This Row],[iPas previous month ending NAV]]</f>
        <v>0</v>
      </c>
    </row>
    <row r="12" spans="1:28">
      <c r="B12" s="29" t="s">
        <v>63</v>
      </c>
      <c r="C12" s="209">
        <v>42886</v>
      </c>
      <c r="D12" s="209">
        <v>42916</v>
      </c>
      <c r="E12" s="203" t="str">
        <f>IFERROR(INDEX(trk.vFundCodeMap[Division],MATCH(tblChecks[[#This Row],[BOne Fund Code]],trk.vFundCodeMap[BOneFundCode],0)),"Set up the fund and its tolerances in Tracking Tool")</f>
        <v>Control FOG</v>
      </c>
      <c r="F12" s="203" t="str">
        <f>IFERROR(INDEX(trk.vFundCodeMap[CCY],MATCH(tblChecks[[#This Row],[BOne Fund Code]],trk.vFundCodeMap[BOneFundCode],0)),"Set up the fund and its tolerances in Tracking Tool")</f>
        <v>GBP</v>
      </c>
      <c r="G12" s="203" t="str">
        <f>IF(SUMIFS(trk.vReturnFund[GrossReturn],trk.vReturnFund[BOneFundCode],tblChecks[[#This Row],[BOne Fund Code]],trk.vReturnFund[StartDate],EOMONTH(tblChecks[[#This Row],[Start Date]],-1),trk.vReturnFund[EndDate],EOMONTH(tblChecks[[#This Row],[End Date]],-1),trk.vReturnFund[Currency],tblChecks[[#This Row],[Fund CCY]],trk.vReturnFund[ReturnType], "Total Return",trk.vReturnFund[ReturnSource],"B-One")&lt;&gt;0,"Yes","No")</f>
        <v>Yes</v>
      </c>
      <c r="H12" s="203" t="str">
        <f>checkAllPreviousMonthApproved(tblChecks[[#This Row],[BOne Fund Code]])</f>
        <v>No</v>
      </c>
      <c r="I12" s="205">
        <f>SUMIFS(tblBoneReturn[GROSS_TOTAL_RETURN],tblBoneReturn[FUND_CODE],tblChecks[[#This Row],[BOne Fund Code]],tblBoneReturn[END_DATE],tblChecks[[#This Row],[End Date]],tblBoneReturn[FUND_CURRENCY],tblChecks[[#This Row],[Fund CCY]])</f>
        <v>0.3459192526</v>
      </c>
      <c r="J12" s="205">
        <f>SUMIFS(tblBoneReturn[BMK_TOTAL_RETURN],tblBoneReturn[FUND_CODE],tblChecks[[#This Row],[BOne Fund Code]],tblBoneReturn[END_DATE],tblChecks[[#This Row],[End Date]])</f>
        <v>0</v>
      </c>
      <c r="K12" s="205" t="str">
        <f>IFERROR(INDEX(trk.tblReturnTolerance[ToleranceFundBench],MATCH(tblChecks[[#This Row],[BOne Fund Code]],trk.tblReturnTolerance[BOneFundCode],0)),"Set up the fund and its tolerances in Tracking Tool")</f>
        <v>Set up the fund and its tolerances in Tracking Tool</v>
      </c>
      <c r="L12" s="205">
        <f>IF(tblChecks[[#This Row],[Benchmark Return]]=0,0,tblChecks[[#This Row],[Gross Fund Return]]-tblChecks[[#This Row],[Benchmark Return]])</f>
        <v>0</v>
      </c>
      <c r="M12" s="205">
        <f>SUMIFS(tblBoneReturn[GROSS_TOTAL_RETURN],tblBoneReturn[FUND_CODE],tblChecks[[#This Row],[BOne Fund Code]],tblBoneReturn[END_DATE],tblChecks[[#This Row],[End Date]],tblBoneReturn[FUND_CURRENCY],tblChecks[[#This Row],[Fund CCY]])</f>
        <v>0.3459192526</v>
      </c>
      <c r="N12" s="205">
        <f>SUMIFS(tblBoneReturn[DECOMPOSED],tblBoneReturn[FUND_CODE],tblChecks[[#This Row],[BOne Fund Code]],tblBoneReturn[END_DATE],tblChecks[[#This Row],[End Date]],tblBoneReturn[FUND_CURRENCY],tblChecks[[#This Row],[Fund CCY]])</f>
        <v>0.3459192526</v>
      </c>
      <c r="O12" s="205" t="str">
        <f>IFERROR(INDEX(trk.tblReturnTolerance[ToleranceGrossDecomposed],MATCH(tblChecks[[#This Row],[BOne Fund Code]],trk.tblReturnTolerance[BOneFundCode],0)),"Set up the fund and its tolerances in Tracking Tool")</f>
        <v>Set up the fund and its tolerances in Tracking Tool</v>
      </c>
      <c r="P12" s="210">
        <f>tblChecks[[#This Row],[Gross Return]]-tblChecks[[#This Row],[Decomposed]]</f>
        <v>0</v>
      </c>
      <c r="Q12" s="206">
        <f>SUMIFS(tblBoneReturn[NET_CASHFLOW],tblBoneReturn[FUND_CODE],tblChecks[[#This Row],[BOne Fund Code]],tblBoneReturn[START_DATE],tblChecks[[#This Row],[Start Date]],tblBoneReturn[END_DATE],tblChecks[[#This Row],[End Date]],tblBoneReturn[FUND_CURRENCY],tblChecks[[#This Row],[Fund CCY]])</f>
        <v>0</v>
      </c>
      <c r="R12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52668998.32</v>
      </c>
      <c r="S12" s="211" t="str">
        <f>IFERROR(INDEX(trk.tblReturnTolerance[ToleranceCashflow],MATCH(tblChecks[[#This Row],[BOne Fund Code]],trk.tblReturnTolerance[BOneFundCode],0)),"Set up the fund and its tolerances in Tracking Tool")</f>
        <v>Set up the fund and its tolerances in Tracking Tool</v>
      </c>
      <c r="T12" s="143">
        <f>IFERROR(tblChecks[[#This Row],[BOne Cashflows (Net)]]/tblChecks[[#This Row],[BOne End NAV]],"Set up the fund and its tolerances in Tracking Tool")</f>
        <v>0</v>
      </c>
      <c r="U12" s="206">
        <f>SUMIFS(tblBoneReturn[START_NAV],tblBoneReturn[FUND_CODE],tblChecks[[#This Row],[BOne Fund Code]],tblBoneReturn[START_DATE],tblChecks[[#This Row],[Start Date]],tblBoneReturn[END_DATE],tblChecks[[#This Row],[End Date]],tblBoneReturn[FUND_CURRENCY],tblChecks[[#This Row],[Fund CCY]])</f>
        <v>52487434.18</v>
      </c>
      <c r="V12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52668998.32</v>
      </c>
      <c r="W12" s="211" t="str">
        <f>IFERROR(INDEX(trk.tblReturnTolerance[ToleranceNavChange],MATCH(tblChecks[[#This Row],[BOne Fund Code]],trk.tblReturnTolerance[BOneFundCode],0)),"Set up the fund and its tolerances in Tracking Tool")</f>
        <v>Set up the fund and its tolerances in Tracking Tool</v>
      </c>
      <c r="X12" s="211">
        <f>IFERROR(tblChecks[[#This Row],[End NAV]]/tblChecks[[#This Row],[Start NAV]]-1,"Set up the fund and its tolerances in Tracking Tool")</f>
        <v>3.4591925255356148E-3</v>
      </c>
      <c r="Y12" s="206">
        <f>SUMIFS(tblBoneReturn[START_NAV],tblBoneReturn[FUND_CODE],tblChecks[[#This Row],[BOne Fund Code]],tblBoneReturn[FUND_CURRENCY],tblChecks[[#This Row],[Fund CCY]],tblBoneReturn[START_DATE],tblChecks[[#This Row],[Start Date]])</f>
        <v>52487434.18</v>
      </c>
      <c r="Z12" s="206">
        <f>SUMIFS(trk.vReturnFund[EndNav],trk.vReturnFund[BOneFundCode],tblChecks[[#This Row],[BOne Fund Code]],trk.vReturnFund[EndDate],tblChecks[[#This Row],[Start Date]],trk.vReturnFund[Currency],tblChecks[[#This Row],[Fund CCY]],trk.vReturnFund[ReturnFrequency],"Monthly",trk.vReturnFund[ReturnType], "Total Return")</f>
        <v>52487434.18</v>
      </c>
      <c r="AA12" s="212">
        <f>tblChecks[[#This Row],[BOne Starting NAV]]-tblChecks[[#This Row],[iPas previous month ending NAV]]</f>
        <v>0</v>
      </c>
    </row>
    <row r="13" spans="1:28">
      <c r="B13" s="29" t="s">
        <v>67</v>
      </c>
      <c r="C13" s="209">
        <v>42886</v>
      </c>
      <c r="D13" s="209">
        <v>42916</v>
      </c>
      <c r="E13" s="203" t="str">
        <f>IFERROR(INDEX(trk.vFundCodeMap[Division],MATCH(tblChecks[[#This Row],[BOne Fund Code]],trk.vFundCodeMap[BOneFundCode],0)),"Set up the fund and its tolerances in Tracking Tool")</f>
        <v>Other</v>
      </c>
      <c r="F13" s="203" t="str">
        <f>IFERROR(INDEX(trk.vFundCodeMap[CCY],MATCH(tblChecks[[#This Row],[BOne Fund Code]],trk.vFundCodeMap[BOneFundCode],0)),"Set up the fund and its tolerances in Tracking Tool")</f>
        <v>GBP</v>
      </c>
      <c r="G13" s="203" t="str">
        <f>IF(SUMIFS(trk.vReturnFund[GrossReturn],trk.vReturnFund[BOneFundCode],tblChecks[[#This Row],[BOne Fund Code]],trk.vReturnFund[StartDate],EOMONTH(tblChecks[[#This Row],[Start Date]],-1),trk.vReturnFund[EndDate],EOMONTH(tblChecks[[#This Row],[End Date]],-1),trk.vReturnFund[Currency],tblChecks[[#This Row],[Fund CCY]],trk.vReturnFund[ReturnType], "Total Return",trk.vReturnFund[ReturnSource],"B-One")&lt;&gt;0,"Yes","No")</f>
        <v>Yes</v>
      </c>
      <c r="H13" s="203" t="str">
        <f>checkAllPreviousMonthApproved(tblChecks[[#This Row],[BOne Fund Code]])</f>
        <v>No</v>
      </c>
      <c r="I13" s="205">
        <f>SUMIFS(tblBoneReturn[GROSS_TOTAL_RETURN],tblBoneReturn[FUND_CODE],tblChecks[[#This Row],[BOne Fund Code]],tblBoneReturn[END_DATE],tblChecks[[#This Row],[End Date]],tblBoneReturn[FUND_CURRENCY],tblChecks[[#This Row],[Fund CCY]])</f>
        <v>-4.7368267728999998</v>
      </c>
      <c r="J13" s="205">
        <f>SUMIFS(tblBoneReturn[BMK_TOTAL_RETURN],tblBoneReturn[FUND_CODE],tblChecks[[#This Row],[BOne Fund Code]],tblBoneReturn[END_DATE],tblChecks[[#This Row],[End Date]])</f>
        <v>0</v>
      </c>
      <c r="K13" s="205" t="str">
        <f>IFERROR(INDEX(trk.tblReturnTolerance[ToleranceFundBench],MATCH(tblChecks[[#This Row],[BOne Fund Code]],trk.tblReturnTolerance[BOneFundCode],0)),"Set up the fund and its tolerances in Tracking Tool")</f>
        <v>Set up the fund and its tolerances in Tracking Tool</v>
      </c>
      <c r="L13" s="205">
        <f>IF(tblChecks[[#This Row],[Benchmark Return]]=0,0,tblChecks[[#This Row],[Gross Fund Return]]-tblChecks[[#This Row],[Benchmark Return]])</f>
        <v>0</v>
      </c>
      <c r="M13" s="205">
        <f>SUMIFS(tblBoneReturn[GROSS_TOTAL_RETURN],tblBoneReturn[FUND_CODE],tblChecks[[#This Row],[BOne Fund Code]],tblBoneReturn[END_DATE],tblChecks[[#This Row],[End Date]],tblBoneReturn[FUND_CURRENCY],tblChecks[[#This Row],[Fund CCY]])</f>
        <v>-4.7368267728999998</v>
      </c>
      <c r="N13" s="205">
        <f>SUMIFS(tblBoneReturn[DECOMPOSED],tblBoneReturn[FUND_CODE],tblChecks[[#This Row],[BOne Fund Code]],tblBoneReturn[END_DATE],tblChecks[[#This Row],[End Date]],tblBoneReturn[FUND_CURRENCY],tblChecks[[#This Row],[Fund CCY]])</f>
        <v>-4.7368267728999998</v>
      </c>
      <c r="O13" s="205" t="str">
        <f>IFERROR(INDEX(trk.tblReturnTolerance[ToleranceGrossDecomposed],MATCH(tblChecks[[#This Row],[BOne Fund Code]],trk.tblReturnTolerance[BOneFundCode],0)),"Set up the fund and its tolerances in Tracking Tool")</f>
        <v>Set up the fund and its tolerances in Tracking Tool</v>
      </c>
      <c r="P13" s="210">
        <f>tblChecks[[#This Row],[Gross Return]]-tblChecks[[#This Row],[Decomposed]]</f>
        <v>0</v>
      </c>
      <c r="Q13" s="206">
        <f>SUMIFS(tblBoneReturn[NET_CASHFLOW],tblBoneReturn[FUND_CODE],tblChecks[[#This Row],[BOne Fund Code]],tblBoneReturn[START_DATE],tblChecks[[#This Row],[Start Date]],tblBoneReturn[END_DATE],tblChecks[[#This Row],[End Date]],tblBoneReturn[FUND_CURRENCY],tblChecks[[#This Row],[Fund CCY]])</f>
        <v>0</v>
      </c>
      <c r="R13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13517943.85</v>
      </c>
      <c r="S13" s="211" t="str">
        <f>IFERROR(INDEX(trk.tblReturnTolerance[ToleranceCashflow],MATCH(tblChecks[[#This Row],[BOne Fund Code]],trk.tblReturnTolerance[BOneFundCode],0)),"Set up the fund and its tolerances in Tracking Tool")</f>
        <v>Set up the fund and its tolerances in Tracking Tool</v>
      </c>
      <c r="T13" s="143">
        <f>IFERROR(tblChecks[[#This Row],[BOne Cashflows (Net)]]/tblChecks[[#This Row],[BOne End NAV]],"Set up the fund and its tolerances in Tracking Tool")</f>
        <v>0</v>
      </c>
      <c r="U13" s="206">
        <f>SUMIFS(tblBoneReturn[START_NAV],tblBoneReturn[FUND_CODE],tblChecks[[#This Row],[BOne Fund Code]],tblBoneReturn[START_DATE],tblChecks[[#This Row],[Start Date]],tblBoneReturn[END_DATE],tblChecks[[#This Row],[End Date]],tblBoneReturn[FUND_CURRENCY],tblChecks[[#This Row],[Fund CCY]])</f>
        <v>14190104.52</v>
      </c>
      <c r="V13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13517943.85</v>
      </c>
      <c r="W13" s="211" t="str">
        <f>IFERROR(INDEX(trk.tblReturnTolerance[ToleranceNavChange],MATCH(tblChecks[[#This Row],[BOne Fund Code]],trk.tblReturnTolerance[BOneFundCode],0)),"Set up the fund and its tolerances in Tracking Tool")</f>
        <v>Set up the fund and its tolerances in Tracking Tool</v>
      </c>
      <c r="X13" s="211">
        <f>IFERROR(tblChecks[[#This Row],[End NAV]]/tblChecks[[#This Row],[Start NAV]]-1,"Set up the fund and its tolerances in Tracking Tool")</f>
        <v>-4.7368267728587488E-2</v>
      </c>
      <c r="Y13" s="206">
        <f>SUMIFS(tblBoneReturn[START_NAV],tblBoneReturn[FUND_CODE],tblChecks[[#This Row],[BOne Fund Code]],tblBoneReturn[FUND_CURRENCY],tblChecks[[#This Row],[Fund CCY]],tblBoneReturn[START_DATE],tblChecks[[#This Row],[Start Date]])</f>
        <v>14190104.52</v>
      </c>
      <c r="Z13" s="206">
        <f>SUMIFS(trk.vReturnFund[EndNav],trk.vReturnFund[BOneFundCode],tblChecks[[#This Row],[BOne Fund Code]],trk.vReturnFund[EndDate],tblChecks[[#This Row],[Start Date]],trk.vReturnFund[Currency],tblChecks[[#This Row],[Fund CCY]],trk.vReturnFund[ReturnFrequency],"Monthly",trk.vReturnFund[ReturnType], "Total Return")</f>
        <v>14190104.52</v>
      </c>
      <c r="AA13" s="212">
        <f>tblChecks[[#This Row],[BOne Starting NAV]]-tblChecks[[#This Row],[iPas previous month ending NAV]]</f>
        <v>0</v>
      </c>
    </row>
    <row r="14" spans="1:28">
      <c r="B14" s="29" t="s">
        <v>64</v>
      </c>
      <c r="C14" s="209">
        <v>42886</v>
      </c>
      <c r="D14" s="209">
        <v>42916</v>
      </c>
      <c r="E14" s="203" t="str">
        <f>IFERROR(INDEX(trk.vFundCodeMap[Division],MATCH(tblChecks[[#This Row],[BOne Fund Code]],trk.vFundCodeMap[BOneFundCode],0)),"Set up the fund and its tolerances in Tracking Tool")</f>
        <v>Active Bond</v>
      </c>
      <c r="F14" s="203" t="str">
        <f>IFERROR(INDEX(trk.vFundCodeMap[CCY],MATCH(tblChecks[[#This Row],[BOne Fund Code]],trk.vFundCodeMap[BOneFundCode],0)),"Set up the fund and its tolerances in Tracking Tool")</f>
        <v>GBP</v>
      </c>
      <c r="G14" s="203" t="str">
        <f>IF(SUMIFS(trk.vReturnFund[GrossReturn],trk.vReturnFund[BOneFundCode],tblChecks[[#This Row],[BOne Fund Code]],trk.vReturnFund[StartDate],EOMONTH(tblChecks[[#This Row],[Start Date]],-1),trk.vReturnFund[EndDate],EOMONTH(tblChecks[[#This Row],[End Date]],-1),trk.vReturnFund[Currency],tblChecks[[#This Row],[Fund CCY]],trk.vReturnFund[ReturnType], "Total Return",trk.vReturnFund[ReturnSource],"B-One")&lt;&gt;0,"Yes","No")</f>
        <v>Yes</v>
      </c>
      <c r="H14" s="203" t="str">
        <f>checkAllPreviousMonthApproved(tblChecks[[#This Row],[BOne Fund Code]])</f>
        <v>No</v>
      </c>
      <c r="I14" s="205">
        <f>SUMIFS(tblBoneReturn[GROSS_TOTAL_RETURN],tblBoneReturn[FUND_CODE],tblChecks[[#This Row],[BOne Fund Code]],tblBoneReturn[END_DATE],tblChecks[[#This Row],[End Date]],tblBoneReturn[FUND_CURRENCY],tblChecks[[#This Row],[Fund CCY]])</f>
        <v>-6.6871699300000004E-2</v>
      </c>
      <c r="J14" s="205">
        <f>SUMIFS(tblBoneReturn[BMK_TOTAL_RETURN],tblBoneReturn[FUND_CODE],tblChecks[[#This Row],[BOne Fund Code]],tblBoneReturn[END_DATE],tblChecks[[#This Row],[End Date]])</f>
        <v>0</v>
      </c>
      <c r="K14" s="205" t="str">
        <f>IFERROR(INDEX(trk.tblReturnTolerance[ToleranceFundBench],MATCH(tblChecks[[#This Row],[BOne Fund Code]],trk.tblReturnTolerance[BOneFundCode],0)),"Set up the fund and its tolerances in Tracking Tool")</f>
        <v>Set up the fund and its tolerances in Tracking Tool</v>
      </c>
      <c r="L14" s="205">
        <f>IF(tblChecks[[#This Row],[Benchmark Return]]=0,0,tblChecks[[#This Row],[Gross Fund Return]]-tblChecks[[#This Row],[Benchmark Return]])</f>
        <v>0</v>
      </c>
      <c r="M14" s="205">
        <f>SUMIFS(tblBoneReturn[GROSS_TOTAL_RETURN],tblBoneReturn[FUND_CODE],tblChecks[[#This Row],[BOne Fund Code]],tblBoneReturn[END_DATE],tblChecks[[#This Row],[End Date]],tblBoneReturn[FUND_CURRENCY],tblChecks[[#This Row],[Fund CCY]])</f>
        <v>-6.6871699300000004E-2</v>
      </c>
      <c r="N14" s="205">
        <f>SUMIFS(tblBoneReturn[DECOMPOSED],tblBoneReturn[FUND_CODE],tblChecks[[#This Row],[BOne Fund Code]],tblBoneReturn[END_DATE],tblChecks[[#This Row],[End Date]],tblBoneReturn[FUND_CURRENCY],tblChecks[[#This Row],[Fund CCY]])</f>
        <v>-6.6871699300000004E-2</v>
      </c>
      <c r="O14" s="205" t="str">
        <f>IFERROR(INDEX(trk.tblReturnTolerance[ToleranceGrossDecomposed],MATCH(tblChecks[[#This Row],[BOne Fund Code]],trk.tblReturnTolerance[BOneFundCode],0)),"Set up the fund and its tolerances in Tracking Tool")</f>
        <v>Set up the fund and its tolerances in Tracking Tool</v>
      </c>
      <c r="P14" s="210">
        <f>tblChecks[[#This Row],[Gross Return]]-tblChecks[[#This Row],[Decomposed]]</f>
        <v>0</v>
      </c>
      <c r="Q14" s="206">
        <f>SUMIFS(tblBoneReturn[NET_CASHFLOW],tblBoneReturn[FUND_CODE],tblChecks[[#This Row],[BOne Fund Code]],tblBoneReturn[START_DATE],tblChecks[[#This Row],[Start Date]],tblBoneReturn[END_DATE],tblChecks[[#This Row],[End Date]],tblBoneReturn[FUND_CURRENCY],tblChecks[[#This Row],[Fund CCY]])</f>
        <v>-946.63</v>
      </c>
      <c r="R14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26453.49</v>
      </c>
      <c r="S14" s="211" t="str">
        <f>IFERROR(INDEX(trk.tblReturnTolerance[ToleranceCashflow],MATCH(tblChecks[[#This Row],[BOne Fund Code]],trk.tblReturnTolerance[BOneFundCode],0)),"Set up the fund and its tolerances in Tracking Tool")</f>
        <v>Set up the fund and its tolerances in Tracking Tool</v>
      </c>
      <c r="T14" s="143">
        <f>IFERROR(tblChecks[[#This Row],[BOne Cashflows (Net)]]/tblChecks[[#This Row],[BOne End NAV]],"Set up the fund and its tolerances in Tracking Tool")</f>
        <v>-3.5784692303359594E-2</v>
      </c>
      <c r="U14" s="206">
        <f>SUMIFS(tblBoneReturn[START_NAV],tblBoneReturn[FUND_CODE],tblChecks[[#This Row],[BOne Fund Code]],tblBoneReturn[START_DATE],tblChecks[[#This Row],[Start Date]],tblBoneReturn[END_DATE],tblChecks[[#This Row],[End Date]],tblBoneReturn[FUND_CURRENCY],tblChecks[[#This Row],[Fund CCY]])</f>
        <v>27417.52</v>
      </c>
      <c r="V14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26453.49</v>
      </c>
      <c r="W14" s="211" t="str">
        <f>IFERROR(INDEX(trk.tblReturnTolerance[ToleranceNavChange],MATCH(tblChecks[[#This Row],[BOne Fund Code]],trk.tblReturnTolerance[BOneFundCode],0)),"Set up the fund and its tolerances in Tracking Tool")</f>
        <v>Set up the fund and its tolerances in Tracking Tool</v>
      </c>
      <c r="X14" s="211">
        <f>IFERROR(tblChecks[[#This Row],[End NAV]]/tblChecks[[#This Row],[Start NAV]]-1,"Set up the fund and its tolerances in Tracking Tool")</f>
        <v>-3.516109407415402E-2</v>
      </c>
      <c r="Y14" s="206">
        <f>SUMIFS(tblBoneReturn[START_NAV],tblBoneReturn[FUND_CODE],tblChecks[[#This Row],[BOne Fund Code]],tblBoneReturn[FUND_CURRENCY],tblChecks[[#This Row],[Fund CCY]],tblBoneReturn[START_DATE],tblChecks[[#This Row],[Start Date]])</f>
        <v>27417.52</v>
      </c>
      <c r="Z14" s="206">
        <f>SUMIFS(trk.vReturnFund[EndNav],trk.vReturnFund[BOneFundCode],tblChecks[[#This Row],[BOne Fund Code]],trk.vReturnFund[EndDate],tblChecks[[#This Row],[Start Date]],trk.vReturnFund[Currency],tblChecks[[#This Row],[Fund CCY]],trk.vReturnFund[ReturnFrequency],"Monthly",trk.vReturnFund[ReturnType], "Total Return")</f>
        <v>27417.52</v>
      </c>
      <c r="AA14" s="212">
        <f>tblChecks[[#This Row],[BOne Starting NAV]]-tblChecks[[#This Row],[iPas previous month ending NAV]]</f>
        <v>0</v>
      </c>
    </row>
    <row r="15" spans="1:28">
      <c r="B15" s="29" t="s">
        <v>61</v>
      </c>
      <c r="C15" s="209">
        <v>42886</v>
      </c>
      <c r="D15" s="209">
        <v>42916</v>
      </c>
      <c r="E15" s="203" t="str">
        <f>IFERROR(INDEX(trk.vFundCodeMap[Division],MATCH(tblChecks[[#This Row],[BOne Fund Code]],trk.vFundCodeMap[BOneFundCode],0)),"Set up the fund and its tolerances in Tracking Tool")</f>
        <v>Structured Solutions</v>
      </c>
      <c r="F15" s="203" t="str">
        <f>IFERROR(INDEX(trk.vFundCodeMap[CCY],MATCH(tblChecks[[#This Row],[BOne Fund Code]],trk.vFundCodeMap[BOneFundCode],0)),"Set up the fund and its tolerances in Tracking Tool")</f>
        <v>GBP</v>
      </c>
      <c r="G15" s="203" t="str">
        <f>IF(SUMIFS(trk.vReturnFund[GrossReturn],trk.vReturnFund[BOneFundCode],tblChecks[[#This Row],[BOne Fund Code]],trk.vReturnFund[StartDate],EOMONTH(tblChecks[[#This Row],[Start Date]],-1),trk.vReturnFund[EndDate],EOMONTH(tblChecks[[#This Row],[End Date]],-1),trk.vReturnFund[Currency],tblChecks[[#This Row],[Fund CCY]],trk.vReturnFund[ReturnType], "Total Return",trk.vReturnFund[ReturnSource],"B-One")&lt;&gt;0,"Yes","No")</f>
        <v>Yes</v>
      </c>
      <c r="H15" s="203" t="str">
        <f>checkAllPreviousMonthApproved(tblChecks[[#This Row],[BOne Fund Code]])</f>
        <v>No</v>
      </c>
      <c r="I15" s="205">
        <f>SUMIFS(tblBoneReturn[GROSS_TOTAL_RETURN],tblBoneReturn[FUND_CODE],tblChecks[[#This Row],[BOne Fund Code]],tblBoneReturn[END_DATE],tblChecks[[#This Row],[End Date]],tblBoneReturn[FUND_CURRENCY],tblChecks[[#This Row],[Fund CCY]])</f>
        <v>9.3900284828</v>
      </c>
      <c r="J15" s="205">
        <f>SUMIFS(tblBoneReturn[BMK_TOTAL_RETURN],tblBoneReturn[FUND_CODE],tblChecks[[#This Row],[BOne Fund Code]],tblBoneReturn[END_DATE],tblChecks[[#This Row],[End Date]])</f>
        <v>0</v>
      </c>
      <c r="K15" s="205" t="str">
        <f>IFERROR(INDEX(trk.tblReturnTolerance[ToleranceFundBench],MATCH(tblChecks[[#This Row],[BOne Fund Code]],trk.tblReturnTolerance[BOneFundCode],0)),"Set up the fund and its tolerances in Tracking Tool")</f>
        <v>Set up the fund and its tolerances in Tracking Tool</v>
      </c>
      <c r="L15" s="205">
        <f>IF(tblChecks[[#This Row],[Benchmark Return]]=0,0,tblChecks[[#This Row],[Gross Fund Return]]-tblChecks[[#This Row],[Benchmark Return]])</f>
        <v>0</v>
      </c>
      <c r="M15" s="205">
        <f>SUMIFS(tblBoneReturn[GROSS_TOTAL_RETURN],tblBoneReturn[FUND_CODE],tblChecks[[#This Row],[BOne Fund Code]],tblBoneReturn[END_DATE],tblChecks[[#This Row],[End Date]],tblBoneReturn[FUND_CURRENCY],tblChecks[[#This Row],[Fund CCY]])</f>
        <v>9.3900284828</v>
      </c>
      <c r="N15" s="205">
        <f>SUMIFS(tblBoneReturn[DECOMPOSED],tblBoneReturn[FUND_CODE],tblChecks[[#This Row],[BOne Fund Code]],tblBoneReturn[END_DATE],tblChecks[[#This Row],[End Date]],tblBoneReturn[FUND_CURRENCY],tblChecks[[#This Row],[Fund CCY]])</f>
        <v>114.91691808020001</v>
      </c>
      <c r="O15" s="205" t="str">
        <f>IFERROR(INDEX(trk.tblReturnTolerance[ToleranceGrossDecomposed],MATCH(tblChecks[[#This Row],[BOne Fund Code]],trk.tblReturnTolerance[BOneFundCode],0)),"Set up the fund and its tolerances in Tracking Tool")</f>
        <v>Set up the fund and its tolerances in Tracking Tool</v>
      </c>
      <c r="P15" s="210">
        <f>tblChecks[[#This Row],[Gross Return]]-tblChecks[[#This Row],[Decomposed]]</f>
        <v>-105.5268895974</v>
      </c>
      <c r="Q15" s="206">
        <f>SUMIFS(tblBoneReturn[NET_CASHFLOW],tblBoneReturn[FUND_CODE],tblChecks[[#This Row],[BOne Fund Code]],tblBoneReturn[START_DATE],tblChecks[[#This Row],[Start Date]],tblBoneReturn[END_DATE],tblChecks[[#This Row],[End Date]],tblBoneReturn[FUND_CURRENCY],tblChecks[[#This Row],[Fund CCY]])</f>
        <v>10000000</v>
      </c>
      <c r="R15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24414221.949999999</v>
      </c>
      <c r="S15" s="211" t="str">
        <f>IFERROR(INDEX(trk.tblReturnTolerance[ToleranceCashflow],MATCH(tblChecks[[#This Row],[BOne Fund Code]],trk.tblReturnTolerance[BOneFundCode],0)),"Set up the fund and its tolerances in Tracking Tool")</f>
        <v>Set up the fund and its tolerances in Tracking Tool</v>
      </c>
      <c r="T15" s="143">
        <f>IFERROR(tblChecks[[#This Row],[BOne Cashflows (Net)]]/tblChecks[[#This Row],[BOne End NAV]],"Set up the fund and its tolerances in Tracking Tool")</f>
        <v>0.40959732489038014</v>
      </c>
      <c r="U15" s="206">
        <f>SUMIFS(tblBoneReturn[START_NAV],tblBoneReturn[FUND_CODE],tblChecks[[#This Row],[BOne Fund Code]],tblBoneReturn[START_DATE],tblChecks[[#This Row],[Start Date]],tblBoneReturn[END_DATE],tblChecks[[#This Row],[End Date]],tblBoneReturn[FUND_CURRENCY],tblChecks[[#This Row],[Fund CCY]])</f>
        <v>13103731.9</v>
      </c>
      <c r="V15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24414221.949999999</v>
      </c>
      <c r="W15" s="211" t="str">
        <f>IFERROR(INDEX(trk.tblReturnTolerance[ToleranceNavChange],MATCH(tblChecks[[#This Row],[BOne Fund Code]],trk.tblReturnTolerance[BOneFundCode],0)),"Set up the fund and its tolerances in Tracking Tool")</f>
        <v>Set up the fund and its tolerances in Tracking Tool</v>
      </c>
      <c r="X15" s="211">
        <f>IFERROR(tblChecks[[#This Row],[End NAV]]/tblChecks[[#This Row],[Start NAV]]-1,"Set up the fund and its tolerances in Tracking Tool")</f>
        <v>0.86315029461187298</v>
      </c>
      <c r="Y15" s="206">
        <f>SUMIFS(tblBoneReturn[START_NAV],tblBoneReturn[FUND_CODE],tblChecks[[#This Row],[BOne Fund Code]],tblBoneReturn[FUND_CURRENCY],tblChecks[[#This Row],[Fund CCY]],tblBoneReturn[START_DATE],tblChecks[[#This Row],[Start Date]])</f>
        <v>13103731.9</v>
      </c>
      <c r="Z15" s="206">
        <f>SUMIFS(trk.vReturnFund[EndNav],trk.vReturnFund[BOneFundCode],tblChecks[[#This Row],[BOne Fund Code]],trk.vReturnFund[EndDate],tblChecks[[#This Row],[Start Date]],trk.vReturnFund[Currency],tblChecks[[#This Row],[Fund CCY]],trk.vReturnFund[ReturnFrequency],"Monthly",trk.vReturnFund[ReturnType], "Total Return")</f>
        <v>13103731.9</v>
      </c>
      <c r="AA15" s="212">
        <f>tblChecks[[#This Row],[BOne Starting NAV]]-tblChecks[[#This Row],[iPas previous month ending NAV]]</f>
        <v>0</v>
      </c>
    </row>
    <row r="16" spans="1:28">
      <c r="B16" s="29" t="s">
        <v>72</v>
      </c>
      <c r="C16" s="209">
        <v>42886</v>
      </c>
      <c r="D16" s="209">
        <v>42916</v>
      </c>
      <c r="E16" s="203" t="str">
        <f>IFERROR(INDEX(trk.vFundCodeMap[Division],MATCH(tblChecks[[#This Row],[BOne Fund Code]],trk.vFundCodeMap[BOneFundCode],0)),"Set up the fund and its tolerances in Tracking Tool")</f>
        <v>Active Bond</v>
      </c>
      <c r="F16" s="203" t="str">
        <f>IFERROR(INDEX(trk.vFundCodeMap[CCY],MATCH(tblChecks[[#This Row],[BOne Fund Code]],trk.vFundCodeMap[BOneFundCode],0)),"Set up the fund and its tolerances in Tracking Tool")</f>
        <v>GBP</v>
      </c>
      <c r="G16" s="203" t="str">
        <f>IF(SUMIFS(trk.vReturnFund[GrossReturn],trk.vReturnFund[BOneFundCode],tblChecks[[#This Row],[BOne Fund Code]],trk.vReturnFund[StartDate],EOMONTH(tblChecks[[#This Row],[Start Date]],-1),trk.vReturnFund[EndDate],EOMONTH(tblChecks[[#This Row],[End Date]],-1),trk.vReturnFund[Currency],tblChecks[[#This Row],[Fund CCY]],trk.vReturnFund[ReturnType], "Total Return",trk.vReturnFund[ReturnSource],"B-One")&lt;&gt;0,"Yes","No")</f>
        <v>Yes</v>
      </c>
      <c r="H16" s="203" t="str">
        <f>checkAllPreviousMonthApproved(tblChecks[[#This Row],[BOne Fund Code]])</f>
        <v>No</v>
      </c>
      <c r="I16" s="205">
        <f>SUMIFS(tblBoneReturn[GROSS_TOTAL_RETURN],tblBoneReturn[FUND_CODE],tblChecks[[#This Row],[BOne Fund Code]],tblBoneReturn[END_DATE],tblChecks[[#This Row],[End Date]],tblBoneReturn[FUND_CURRENCY],tblChecks[[#This Row],[Fund CCY]])</f>
        <v>-0.28666471199999999</v>
      </c>
      <c r="J16" s="205">
        <f>SUMIFS(tblBoneReturn[BMK_TOTAL_RETURN],tblBoneReturn[FUND_CODE],tblChecks[[#This Row],[BOne Fund Code]],tblBoneReturn[END_DATE],tblChecks[[#This Row],[End Date]])</f>
        <v>0</v>
      </c>
      <c r="K16" s="205" t="str">
        <f>IFERROR(INDEX(trk.tblReturnTolerance[ToleranceFundBench],MATCH(tblChecks[[#This Row],[BOne Fund Code]],trk.tblReturnTolerance[BOneFundCode],0)),"Set up the fund and its tolerances in Tracking Tool")</f>
        <v>Set up the fund and its tolerances in Tracking Tool</v>
      </c>
      <c r="L16" s="205">
        <f>IF(tblChecks[[#This Row],[Benchmark Return]]=0,0,tblChecks[[#This Row],[Gross Fund Return]]-tblChecks[[#This Row],[Benchmark Return]])</f>
        <v>0</v>
      </c>
      <c r="M16" s="205">
        <f>SUMIFS(tblBoneReturn[GROSS_TOTAL_RETURN],tblBoneReturn[FUND_CODE],tblChecks[[#This Row],[BOne Fund Code]],tblBoneReturn[END_DATE],tblChecks[[#This Row],[End Date]],tblBoneReturn[FUND_CURRENCY],tblChecks[[#This Row],[Fund CCY]])</f>
        <v>-0.28666471199999999</v>
      </c>
      <c r="N16" s="205">
        <f>SUMIFS(tblBoneReturn[DECOMPOSED],tblBoneReturn[FUND_CODE],tblChecks[[#This Row],[BOne Fund Code]],tblBoneReturn[END_DATE],tblChecks[[#This Row],[End Date]],tblBoneReturn[FUND_CURRENCY],tblChecks[[#This Row],[Fund CCY]])</f>
        <v>-0.28666471199999999</v>
      </c>
      <c r="O16" s="205" t="str">
        <f>IFERROR(INDEX(trk.tblReturnTolerance[ToleranceGrossDecomposed],MATCH(tblChecks[[#This Row],[BOne Fund Code]],trk.tblReturnTolerance[BOneFundCode],0)),"Set up the fund and its tolerances in Tracking Tool")</f>
        <v>Set up the fund and its tolerances in Tracking Tool</v>
      </c>
      <c r="P16" s="210">
        <f>tblChecks[[#This Row],[Gross Return]]-tblChecks[[#This Row],[Decomposed]]</f>
        <v>0</v>
      </c>
      <c r="Q16" s="206">
        <f>SUMIFS(tblBoneReturn[NET_CASHFLOW],tblBoneReturn[FUND_CODE],tblChecks[[#This Row],[BOne Fund Code]],tblBoneReturn[START_DATE],tblChecks[[#This Row],[Start Date]],tblBoneReturn[END_DATE],tblChecks[[#This Row],[End Date]],tblBoneReturn[FUND_CURRENCY],tblChecks[[#This Row],[Fund CCY]])</f>
        <v>-5501665.6900000004</v>
      </c>
      <c r="R16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270303555.85000002</v>
      </c>
      <c r="S16" s="211" t="str">
        <f>IFERROR(INDEX(trk.tblReturnTolerance[ToleranceCashflow],MATCH(tblChecks[[#This Row],[BOne Fund Code]],trk.tblReturnTolerance[BOneFundCode],0)),"Set up the fund and its tolerances in Tracking Tool")</f>
        <v>Set up the fund and its tolerances in Tracking Tool</v>
      </c>
      <c r="T16" s="143">
        <f>IFERROR(tblChecks[[#This Row],[BOne Cashflows (Net)]]/tblChecks[[#This Row],[BOne End NAV]],"Set up the fund and its tolerances in Tracking Tool")</f>
        <v>-2.0353656364968609E-2</v>
      </c>
      <c r="U16" s="206">
        <f>SUMIFS(tblBoneReturn[START_NAV],tblBoneReturn[FUND_CODE],tblChecks[[#This Row],[BOne Fund Code]],tblBoneReturn[START_DATE],tblChecks[[#This Row],[Start Date]],tblBoneReturn[END_DATE],tblChecks[[#This Row],[End Date]],tblBoneReturn[FUND_CURRENCY],tblChecks[[#This Row],[Fund CCY]])</f>
        <v>273589456.07999998</v>
      </c>
      <c r="V16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270303555.85000002</v>
      </c>
      <c r="W16" s="211" t="str">
        <f>IFERROR(INDEX(trk.tblReturnTolerance[ToleranceNavChange],MATCH(tblChecks[[#This Row],[BOne Fund Code]],trk.tblReturnTolerance[BOneFundCode],0)),"Set up the fund and its tolerances in Tracking Tool")</f>
        <v>Set up the fund and its tolerances in Tracking Tool</v>
      </c>
      <c r="X16" s="211">
        <f>IFERROR(tblChecks[[#This Row],[End NAV]]/tblChecks[[#This Row],[Start NAV]]-1,"Set up the fund and its tolerances in Tracking Tool")</f>
        <v>-1.2010332112503352E-2</v>
      </c>
      <c r="Y16" s="206">
        <f>SUMIFS(tblBoneReturn[START_NAV],tblBoneReturn[FUND_CODE],tblChecks[[#This Row],[BOne Fund Code]],tblBoneReturn[FUND_CURRENCY],tblChecks[[#This Row],[Fund CCY]],tblBoneReturn[START_DATE],tblChecks[[#This Row],[Start Date]])</f>
        <v>273589456.07999998</v>
      </c>
      <c r="Z16" s="206">
        <f>SUMIFS(trk.vReturnFund[EndNav],trk.vReturnFund[BOneFundCode],tblChecks[[#This Row],[BOne Fund Code]],trk.vReturnFund[EndDate],tblChecks[[#This Row],[Start Date]],trk.vReturnFund[Currency],tblChecks[[#This Row],[Fund CCY]],trk.vReturnFund[ReturnFrequency],"Monthly",trk.vReturnFund[ReturnType], "Total Return")</f>
        <v>273589456.07999998</v>
      </c>
      <c r="AA16" s="212">
        <f>tblChecks[[#This Row],[BOne Starting NAV]]-tblChecks[[#This Row],[iPas previous month ending NAV]]</f>
        <v>0</v>
      </c>
    </row>
    <row r="17" spans="2:27">
      <c r="B17" s="29" t="s">
        <v>1083</v>
      </c>
      <c r="C17" s="209">
        <v>42886</v>
      </c>
      <c r="D17" s="209">
        <v>42916</v>
      </c>
      <c r="E17" s="203" t="str">
        <f>IFERROR(INDEX(trk.vFundCodeMap[Division],MATCH(tblChecks[[#This Row],[BOne Fund Code]],trk.vFundCodeMap[BOneFundCode],0)),"Set up the fund and its tolerances in Tracking Tool")</f>
        <v>Active Bond</v>
      </c>
      <c r="F17" s="203" t="str">
        <f>IFERROR(INDEX(trk.vFundCodeMap[CCY],MATCH(tblChecks[[#This Row],[BOne Fund Code]],trk.vFundCodeMap[BOneFundCode],0)),"Set up the fund and its tolerances in Tracking Tool")</f>
        <v>USD</v>
      </c>
      <c r="G17" s="203" t="str">
        <f>IF(SUMIFS(trk.vReturnFund[GrossReturn],trk.vReturnFund[BOneFundCode],tblChecks[[#This Row],[BOne Fund Code]],trk.vReturnFund[StartDate],EOMONTH(tblChecks[[#This Row],[Start Date]],-1),trk.vReturnFund[EndDate],EOMONTH(tblChecks[[#This Row],[End Date]],-1),trk.vReturnFund[Currency],tblChecks[[#This Row],[Fund CCY]],trk.vReturnFund[ReturnType], "Total Return",trk.vReturnFund[ReturnSource],"B-One")&lt;&gt;0,"Yes","No")</f>
        <v>Yes</v>
      </c>
      <c r="H17" s="203" t="str">
        <f>checkAllPreviousMonthApproved(tblChecks[[#This Row],[BOne Fund Code]])</f>
        <v>No</v>
      </c>
      <c r="I17" s="205">
        <f>SUMIFS(tblBoneReturn[GROSS_TOTAL_RETURN],tblBoneReturn[FUND_CODE],tblChecks[[#This Row],[BOne Fund Code]],tblBoneReturn[END_DATE],tblChecks[[#This Row],[End Date]],tblBoneReturn[FUND_CURRENCY],tblChecks[[#This Row],[Fund CCY]])</f>
        <v>-0.4039754995</v>
      </c>
      <c r="J17" s="205">
        <f>SUMIFS(tblBoneReturn[BMK_TOTAL_RETURN],tblBoneReturn[FUND_CODE],tblChecks[[#This Row],[BOne Fund Code]],tblBoneReturn[END_DATE],tblChecks[[#This Row],[End Date]])</f>
        <v>6.9311485199999995E-2</v>
      </c>
      <c r="K17" s="205" t="str">
        <f>IFERROR(INDEX(trk.tblReturnTolerance[ToleranceFundBench],MATCH(tblChecks[[#This Row],[BOne Fund Code]],trk.tblReturnTolerance[BOneFundCode],0)),"Set up the fund and its tolerances in Tracking Tool")</f>
        <v>Set up the fund and its tolerances in Tracking Tool</v>
      </c>
      <c r="L17" s="205">
        <f>IF(tblChecks[[#This Row],[Benchmark Return]]=0,0,tblChecks[[#This Row],[Gross Fund Return]]-tblChecks[[#This Row],[Benchmark Return]])</f>
        <v>-0.47328698469999997</v>
      </c>
      <c r="M17" s="205">
        <f>SUMIFS(tblBoneReturn[GROSS_TOTAL_RETURN],tblBoneReturn[FUND_CODE],tblChecks[[#This Row],[BOne Fund Code]],tblBoneReturn[END_DATE],tblChecks[[#This Row],[End Date]],tblBoneReturn[FUND_CURRENCY],tblChecks[[#This Row],[Fund CCY]])</f>
        <v>-0.4039754995</v>
      </c>
      <c r="N17" s="205">
        <f>SUMIFS(tblBoneReturn[DECOMPOSED],tblBoneReturn[FUND_CODE],tblChecks[[#This Row],[BOne Fund Code]],tblBoneReturn[END_DATE],tblChecks[[#This Row],[End Date]],tblBoneReturn[FUND_CURRENCY],tblChecks[[#This Row],[Fund CCY]])</f>
        <v>0</v>
      </c>
      <c r="O17" s="205" t="str">
        <f>IFERROR(INDEX(trk.tblReturnTolerance[ToleranceGrossDecomposed],MATCH(tblChecks[[#This Row],[BOne Fund Code]],trk.tblReturnTolerance[BOneFundCode],0)),"Set up the fund and its tolerances in Tracking Tool")</f>
        <v>Set up the fund and its tolerances in Tracking Tool</v>
      </c>
      <c r="P17" s="210">
        <f>tblChecks[[#This Row],[Gross Return]]-tblChecks[[#This Row],[Decomposed]]</f>
        <v>-0.4039754995</v>
      </c>
      <c r="Q17" s="206">
        <f>SUMIFS(tblBoneReturn[NET_CASHFLOW],tblBoneReturn[FUND_CODE],tblChecks[[#This Row],[BOne Fund Code]],tblBoneReturn[START_DATE],tblChecks[[#This Row],[Start Date]],tblBoneReturn[END_DATE],tblChecks[[#This Row],[End Date]],tblBoneReturn[FUND_CURRENCY],tblChecks[[#This Row],[Fund CCY]])</f>
        <v>7964906.75</v>
      </c>
      <c r="R17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250631625.55000001</v>
      </c>
      <c r="S17" s="211" t="str">
        <f>IFERROR(INDEX(trk.tblReturnTolerance[ToleranceCashflow],MATCH(tblChecks[[#This Row],[BOne Fund Code]],trk.tblReturnTolerance[BOneFundCode],0)),"Set up the fund and its tolerances in Tracking Tool")</f>
        <v>Set up the fund and its tolerances in Tracking Tool</v>
      </c>
      <c r="T17" s="143">
        <f>IFERROR(tblChecks[[#This Row],[BOne Cashflows (Net)]]/tblChecks[[#This Row],[BOne End NAV]],"Set up the fund and its tolerances in Tracking Tool")</f>
        <v>3.1779336436578445E-2</v>
      </c>
      <c r="U17" s="206">
        <f>SUMIFS(tblBoneReturn[START_NAV],tblBoneReturn[FUND_CODE],tblChecks[[#This Row],[BOne Fund Code]],tblBoneReturn[START_DATE],tblChecks[[#This Row],[Start Date]],tblBoneReturn[END_DATE],tblChecks[[#This Row],[End Date]],tblBoneReturn[FUND_CURRENCY],tblChecks[[#This Row],[Fund CCY]])</f>
        <v>243317576.81999999</v>
      </c>
      <c r="V17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250631625.55000001</v>
      </c>
      <c r="W17" s="211" t="str">
        <f>IFERROR(INDEX(trk.tblReturnTolerance[ToleranceNavChange],MATCH(tblChecks[[#This Row],[BOne Fund Code]],trk.tblReturnTolerance[BOneFundCode],0)),"Set up the fund and its tolerances in Tracking Tool")</f>
        <v>Set up the fund and its tolerances in Tracking Tool</v>
      </c>
      <c r="X17" s="211">
        <f>IFERROR(tblChecks[[#This Row],[End NAV]]/tblChecks[[#This Row],[Start NAV]]-1,"Set up the fund and its tolerances in Tracking Tool")</f>
        <v>3.0059680955193624E-2</v>
      </c>
      <c r="Y17" s="206">
        <f>SUMIFS(tblBoneReturn[START_NAV],tblBoneReturn[FUND_CODE],tblChecks[[#This Row],[BOne Fund Code]],tblBoneReturn[FUND_CURRENCY],tblChecks[[#This Row],[Fund CCY]],tblBoneReturn[START_DATE],tblChecks[[#This Row],[Start Date]])</f>
        <v>243317576.81999999</v>
      </c>
      <c r="Z17" s="206">
        <f>SUMIFS(trk.vReturnFund[EndNav],trk.vReturnFund[BOneFundCode],tblChecks[[#This Row],[BOne Fund Code]],trk.vReturnFund[EndDate],tblChecks[[#This Row],[Start Date]],trk.vReturnFund[Currency],tblChecks[[#This Row],[Fund CCY]],trk.vReturnFund[ReturnFrequency],"Monthly",trk.vReturnFund[ReturnType], "Total Return")</f>
        <v>243317576.81999999</v>
      </c>
      <c r="AA17" s="212">
        <f>tblChecks[[#This Row],[BOne Starting NAV]]-tblChecks[[#This Row],[iPas previous month ending NAV]]</f>
        <v>0</v>
      </c>
    </row>
    <row r="18" spans="2:27">
      <c r="B18" s="29" t="s">
        <v>1085</v>
      </c>
      <c r="C18" s="209">
        <v>42886</v>
      </c>
      <c r="D18" s="209">
        <v>42916</v>
      </c>
      <c r="E18" s="203" t="str">
        <f>IFERROR(INDEX(trk.vFundCodeMap[Division],MATCH(tblChecks[[#This Row],[BOne Fund Code]],trk.vFundCodeMap[BOneFundCode],0)),"Set up the fund and its tolerances in Tracking Tool")</f>
        <v>Active Bond</v>
      </c>
      <c r="F18" s="203" t="str">
        <f>IFERROR(INDEX(trk.vFundCodeMap[CCY],MATCH(tblChecks[[#This Row],[BOne Fund Code]],trk.vFundCodeMap[BOneFundCode],0)),"Set up the fund and its tolerances in Tracking Tool")</f>
        <v>USD</v>
      </c>
      <c r="G18" s="203" t="str">
        <f>IF(SUMIFS(trk.vReturnFund[GrossReturn],trk.vReturnFund[BOneFundCode],tblChecks[[#This Row],[BOne Fund Code]],trk.vReturnFund[StartDate],EOMONTH(tblChecks[[#This Row],[Start Date]],-1),trk.vReturnFund[EndDate],EOMONTH(tblChecks[[#This Row],[End Date]],-1),trk.vReturnFund[Currency],tblChecks[[#This Row],[Fund CCY]],trk.vReturnFund[ReturnType], "Total Return",trk.vReturnFund[ReturnSource],"B-One")&lt;&gt;0,"Yes","No")</f>
        <v>Yes</v>
      </c>
      <c r="H18" s="203" t="str">
        <f>checkAllPreviousMonthApproved(tblChecks[[#This Row],[BOne Fund Code]])</f>
        <v>No</v>
      </c>
      <c r="I18" s="205">
        <f>SUMIFS(tblBoneReturn[GROSS_TOTAL_RETURN],tblBoneReturn[FUND_CODE],tblChecks[[#This Row],[BOne Fund Code]],tblBoneReturn[END_DATE],tblChecks[[#This Row],[End Date]],tblBoneReturn[FUND_CURRENCY],tblChecks[[#This Row],[Fund CCY]])</f>
        <v>-0.1679099053</v>
      </c>
      <c r="J18" s="205">
        <f>SUMIFS(tblBoneReturn[BMK_TOTAL_RETURN],tblBoneReturn[FUND_CODE],tblChecks[[#This Row],[BOne Fund Code]],tblBoneReturn[END_DATE],tblChecks[[#This Row],[End Date]])</f>
        <v>-0.22365243979999999</v>
      </c>
      <c r="K18" s="205" t="str">
        <f>IFERROR(INDEX(trk.tblReturnTolerance[ToleranceFundBench],MATCH(tblChecks[[#This Row],[BOne Fund Code]],trk.tblReturnTolerance[BOneFundCode],0)),"Set up the fund and its tolerances in Tracking Tool")</f>
        <v>Set up the fund and its tolerances in Tracking Tool</v>
      </c>
      <c r="L18" s="205">
        <f>IF(tblChecks[[#This Row],[Benchmark Return]]=0,0,tblChecks[[#This Row],[Gross Fund Return]]-tblChecks[[#This Row],[Benchmark Return]])</f>
        <v>5.5742534499999996E-2</v>
      </c>
      <c r="M18" s="205">
        <f>SUMIFS(tblBoneReturn[GROSS_TOTAL_RETURN],tblBoneReturn[FUND_CODE],tblChecks[[#This Row],[BOne Fund Code]],tblBoneReturn[END_DATE],tblChecks[[#This Row],[End Date]],tblBoneReturn[FUND_CURRENCY],tblChecks[[#This Row],[Fund CCY]])</f>
        <v>-0.1679099053</v>
      </c>
      <c r="N18" s="205">
        <f>SUMIFS(tblBoneReturn[DECOMPOSED],tblBoneReturn[FUND_CODE],tblChecks[[#This Row],[BOne Fund Code]],tblBoneReturn[END_DATE],tblChecks[[#This Row],[End Date]],tblBoneReturn[FUND_CURRENCY],tblChecks[[#This Row],[Fund CCY]])</f>
        <v>0</v>
      </c>
      <c r="O18" s="205" t="str">
        <f>IFERROR(INDEX(trk.tblReturnTolerance[ToleranceGrossDecomposed],MATCH(tblChecks[[#This Row],[BOne Fund Code]],trk.tblReturnTolerance[BOneFundCode],0)),"Set up the fund and its tolerances in Tracking Tool")</f>
        <v>Set up the fund and its tolerances in Tracking Tool</v>
      </c>
      <c r="P18" s="210">
        <f>tblChecks[[#This Row],[Gross Return]]-tblChecks[[#This Row],[Decomposed]]</f>
        <v>-0.1679099053</v>
      </c>
      <c r="Q18" s="206">
        <f>SUMIFS(tblBoneReturn[NET_CASHFLOW],tblBoneReturn[FUND_CODE],tblChecks[[#This Row],[BOne Fund Code]],tblBoneReturn[START_DATE],tblChecks[[#This Row],[Start Date]],tblBoneReturn[END_DATE],tblChecks[[#This Row],[End Date]],tblBoneReturn[FUND_CURRENCY],tblChecks[[#This Row],[Fund CCY]])</f>
        <v>4310000</v>
      </c>
      <c r="R18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143256644.99000001</v>
      </c>
      <c r="S18" s="211" t="str">
        <f>IFERROR(INDEX(trk.tblReturnTolerance[ToleranceCashflow],MATCH(tblChecks[[#This Row],[BOne Fund Code]],trk.tblReturnTolerance[BOneFundCode],0)),"Set up the fund and its tolerances in Tracking Tool")</f>
        <v>Set up the fund and its tolerances in Tracking Tool</v>
      </c>
      <c r="T18" s="143">
        <f>IFERROR(tblChecks[[#This Row],[BOne Cashflows (Net)]]/tblChecks[[#This Row],[BOne End NAV]],"Set up the fund and its tolerances in Tracking Tool")</f>
        <v>3.0085864430936925E-2</v>
      </c>
      <c r="U18" s="206">
        <f>SUMIFS(tblBoneReturn[START_NAV],tblBoneReturn[FUND_CODE],tblChecks[[#This Row],[BOne Fund Code]],tblBoneReturn[START_DATE],tblChecks[[#This Row],[Start Date]],tblBoneReturn[END_DATE],tblChecks[[#This Row],[End Date]],tblBoneReturn[FUND_CURRENCY],tblChecks[[#This Row],[Fund CCY]])</f>
        <v>139174912.59999999</v>
      </c>
      <c r="V18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143256644.99000001</v>
      </c>
      <c r="W18" s="211" t="str">
        <f>IFERROR(INDEX(trk.tblReturnTolerance[ToleranceNavChange],MATCH(tblChecks[[#This Row],[BOne Fund Code]],trk.tblReturnTolerance[BOneFundCode],0)),"Set up the fund and its tolerances in Tracking Tool")</f>
        <v>Set up the fund and its tolerances in Tracking Tool</v>
      </c>
      <c r="X18" s="211">
        <f>IFERROR(tblChecks[[#This Row],[End NAV]]/tblChecks[[#This Row],[Start NAV]]-1,"Set up the fund and its tolerances in Tracking Tool")</f>
        <v>2.9328075827367295E-2</v>
      </c>
      <c r="Y18" s="206">
        <f>SUMIFS(tblBoneReturn[START_NAV],tblBoneReturn[FUND_CODE],tblChecks[[#This Row],[BOne Fund Code]],tblBoneReturn[FUND_CURRENCY],tblChecks[[#This Row],[Fund CCY]],tblBoneReturn[START_DATE],tblChecks[[#This Row],[Start Date]])</f>
        <v>139174912.59999999</v>
      </c>
      <c r="Z18" s="206">
        <f>SUMIFS(trk.vReturnFund[EndNav],trk.vReturnFund[BOneFundCode],tblChecks[[#This Row],[BOne Fund Code]],trk.vReturnFund[EndDate],tblChecks[[#This Row],[Start Date]],trk.vReturnFund[Currency],tblChecks[[#This Row],[Fund CCY]],trk.vReturnFund[ReturnFrequency],"Monthly",trk.vReturnFund[ReturnType], "Total Return")</f>
        <v>139174912.59999999</v>
      </c>
      <c r="AA18" s="212">
        <f>tblChecks[[#This Row],[BOne Starting NAV]]-tblChecks[[#This Row],[iPas previous month ending NAV]]</f>
        <v>0</v>
      </c>
    </row>
    <row r="19" spans="2:27">
      <c r="B19" s="29" t="s">
        <v>1086</v>
      </c>
      <c r="C19" s="209">
        <v>42886</v>
      </c>
      <c r="D19" s="209">
        <v>42916</v>
      </c>
      <c r="E19" s="203" t="str">
        <f>IFERROR(INDEX(trk.vFundCodeMap[Division],MATCH(tblChecks[[#This Row],[BOne Fund Code]],trk.vFundCodeMap[BOneFundCode],0)),"Set up the fund and its tolerances in Tracking Tool")</f>
        <v>Active Bond</v>
      </c>
      <c r="F19" s="203" t="str">
        <f>IFERROR(INDEX(trk.vFundCodeMap[CCY],MATCH(tblChecks[[#This Row],[BOne Fund Code]],trk.vFundCodeMap[BOneFundCode],0)),"Set up the fund and its tolerances in Tracking Tool")</f>
        <v>USD</v>
      </c>
      <c r="G19" s="203" t="str">
        <f>IF(SUMIFS(trk.vReturnFund[GrossReturn],trk.vReturnFund[BOneFundCode],tblChecks[[#This Row],[BOne Fund Code]],trk.vReturnFund[StartDate],EOMONTH(tblChecks[[#This Row],[Start Date]],-1),trk.vReturnFund[EndDate],EOMONTH(tblChecks[[#This Row],[End Date]],-1),trk.vReturnFund[Currency],tblChecks[[#This Row],[Fund CCY]],trk.vReturnFund[ReturnType], "Total Return",trk.vReturnFund[ReturnSource],"B-One")&lt;&gt;0,"Yes","No")</f>
        <v>Yes</v>
      </c>
      <c r="H19" s="203" t="str">
        <f>checkAllPreviousMonthApproved(tblChecks[[#This Row],[BOne Fund Code]])</f>
        <v>No</v>
      </c>
      <c r="I19" s="205">
        <f>SUMIFS(tblBoneReturn[GROSS_TOTAL_RETURN],tblBoneReturn[FUND_CODE],tblChecks[[#This Row],[BOne Fund Code]],tblBoneReturn[END_DATE],tblChecks[[#This Row],[End Date]],tblBoneReturn[FUND_CURRENCY],tblChecks[[#This Row],[Fund CCY]])</f>
        <v>0.21366107910000001</v>
      </c>
      <c r="J19" s="205">
        <f>SUMIFS(tblBoneReturn[BMK_TOTAL_RETURN],tblBoneReturn[FUND_CODE],tblChecks[[#This Row],[BOne Fund Code]],tblBoneReturn[END_DATE],tblChecks[[#This Row],[End Date]])</f>
        <v>4.9253710999999999E-2</v>
      </c>
      <c r="K19" s="205" t="str">
        <f>IFERROR(INDEX(trk.tblReturnTolerance[ToleranceFundBench],MATCH(tblChecks[[#This Row],[BOne Fund Code]],trk.tblReturnTolerance[BOneFundCode],0)),"Set up the fund and its tolerances in Tracking Tool")</f>
        <v>Set up the fund and its tolerances in Tracking Tool</v>
      </c>
      <c r="L19" s="205">
        <f>IF(tblChecks[[#This Row],[Benchmark Return]]=0,0,tblChecks[[#This Row],[Gross Fund Return]]-tblChecks[[#This Row],[Benchmark Return]])</f>
        <v>0.16440736810000001</v>
      </c>
      <c r="M19" s="205">
        <f>SUMIFS(tblBoneReturn[GROSS_TOTAL_RETURN],tblBoneReturn[FUND_CODE],tblChecks[[#This Row],[BOne Fund Code]],tblBoneReturn[END_DATE],tblChecks[[#This Row],[End Date]],tblBoneReturn[FUND_CURRENCY],tblChecks[[#This Row],[Fund CCY]])</f>
        <v>0.21366107910000001</v>
      </c>
      <c r="N19" s="205">
        <f>SUMIFS(tblBoneReturn[DECOMPOSED],tblBoneReturn[FUND_CODE],tblChecks[[#This Row],[BOne Fund Code]],tblBoneReturn[END_DATE],tblChecks[[#This Row],[End Date]],tblBoneReturn[FUND_CURRENCY],tblChecks[[#This Row],[Fund CCY]])</f>
        <v>0</v>
      </c>
      <c r="O19" s="205" t="str">
        <f>IFERROR(INDEX(trk.tblReturnTolerance[ToleranceGrossDecomposed],MATCH(tblChecks[[#This Row],[BOne Fund Code]],trk.tblReturnTolerance[BOneFundCode],0)),"Set up the fund and its tolerances in Tracking Tool")</f>
        <v>Set up the fund and its tolerances in Tracking Tool</v>
      </c>
      <c r="P19" s="210">
        <f>tblChecks[[#This Row],[Gross Return]]-tblChecks[[#This Row],[Decomposed]]</f>
        <v>0.21366107910000001</v>
      </c>
      <c r="Q19" s="206">
        <f>SUMIFS(tblBoneReturn[NET_CASHFLOW],tblBoneReturn[FUND_CODE],tblChecks[[#This Row],[BOne Fund Code]],tblBoneReturn[START_DATE],tblChecks[[#This Row],[Start Date]],tblBoneReturn[END_DATE],tblChecks[[#This Row],[End Date]],tblBoneReturn[FUND_CURRENCY],tblChecks[[#This Row],[Fund CCY]])</f>
        <v>-1000000</v>
      </c>
      <c r="R19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289639312.97000003</v>
      </c>
      <c r="S19" s="211" t="str">
        <f>IFERROR(INDEX(trk.tblReturnTolerance[ToleranceCashflow],MATCH(tblChecks[[#This Row],[BOne Fund Code]],trk.tblReturnTolerance[BOneFundCode],0)),"Set up the fund and its tolerances in Tracking Tool")</f>
        <v>Set up the fund and its tolerances in Tracking Tool</v>
      </c>
      <c r="T19" s="143">
        <f>IFERROR(tblChecks[[#This Row],[BOne Cashflows (Net)]]/tblChecks[[#This Row],[BOne End NAV]],"Set up the fund and its tolerances in Tracking Tool")</f>
        <v>-3.4525699903989794E-3</v>
      </c>
      <c r="U19" s="206">
        <f>SUMIFS(tblBoneReturn[START_NAV],tblBoneReturn[FUND_CODE],tblChecks[[#This Row],[BOne Fund Code]],tblBoneReturn[START_DATE],tblChecks[[#This Row],[Start Date]],tblBoneReturn[END_DATE],tblChecks[[#This Row],[End Date]],tblBoneReturn[FUND_CURRENCY],tblChecks[[#This Row],[Fund CCY]])</f>
        <v>290020631.17000002</v>
      </c>
      <c r="V19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289639312.97000003</v>
      </c>
      <c r="W19" s="211" t="str">
        <f>IFERROR(INDEX(trk.tblReturnTolerance[ToleranceNavChange],MATCH(tblChecks[[#This Row],[BOne Fund Code]],trk.tblReturnTolerance[BOneFundCode],0)),"Set up the fund and its tolerances in Tracking Tool")</f>
        <v>Set up the fund and its tolerances in Tracking Tool</v>
      </c>
      <c r="X19" s="211">
        <f>IFERROR(tblChecks[[#This Row],[End NAV]]/tblChecks[[#This Row],[Start NAV]]-1,"Set up the fund and its tolerances in Tracking Tool")</f>
        <v>-1.314796807598384E-3</v>
      </c>
      <c r="Y19" s="206">
        <f>SUMIFS(tblBoneReturn[START_NAV],tblBoneReturn[FUND_CODE],tblChecks[[#This Row],[BOne Fund Code]],tblBoneReturn[FUND_CURRENCY],tblChecks[[#This Row],[Fund CCY]],tblBoneReturn[START_DATE],tblChecks[[#This Row],[Start Date]])</f>
        <v>290020631.17000002</v>
      </c>
      <c r="Z19" s="206">
        <f>SUMIFS(trk.vReturnFund[EndNav],trk.vReturnFund[BOneFundCode],tblChecks[[#This Row],[BOne Fund Code]],trk.vReturnFund[EndDate],tblChecks[[#This Row],[Start Date]],trk.vReturnFund[Currency],tblChecks[[#This Row],[Fund CCY]],trk.vReturnFund[ReturnFrequency],"Monthly",trk.vReturnFund[ReturnType], "Total Return")</f>
        <v>290020631.17000002</v>
      </c>
      <c r="AA19" s="212">
        <f>tblChecks[[#This Row],[BOne Starting NAV]]-tblChecks[[#This Row],[iPas previous month ending NAV]]</f>
        <v>0</v>
      </c>
    </row>
    <row r="20" spans="2:27">
      <c r="B20" s="29" t="s">
        <v>248</v>
      </c>
      <c r="C20" s="209">
        <v>42886</v>
      </c>
      <c r="D20" s="209">
        <v>42916</v>
      </c>
      <c r="E20" s="203" t="str">
        <f>IFERROR(INDEX(trk.vFundCodeMap[Division],MATCH(tblChecks[[#This Row],[BOne Fund Code]],trk.vFundCodeMap[BOneFundCode],0)),"Set up the fund and its tolerances in Tracking Tool")</f>
        <v>Property</v>
      </c>
      <c r="F20" s="203" t="str">
        <f>IFERROR(INDEX(trk.vFundCodeMap[CCY],MATCH(tblChecks[[#This Row],[BOne Fund Code]],trk.vFundCodeMap[BOneFundCode],0)),"Set up the fund and its tolerances in Tracking Tool")</f>
        <v>GBP</v>
      </c>
      <c r="G20" s="203" t="str">
        <f>IF(SUMIFS(trk.vReturnFund[GrossReturn],trk.vReturnFund[BOneFundCode],tblChecks[[#This Row],[BOne Fund Code]],trk.vReturnFund[StartDate],EOMONTH(tblChecks[[#This Row],[Start Date]],-1),trk.vReturnFund[EndDate],EOMONTH(tblChecks[[#This Row],[End Date]],-1),trk.vReturnFund[Currency],tblChecks[[#This Row],[Fund CCY]],trk.vReturnFund[ReturnType], "Total Return",trk.vReturnFund[ReturnSource],"B-One")&lt;&gt;0,"Yes","No")</f>
        <v>No</v>
      </c>
      <c r="H20" s="203" t="str">
        <f>checkAllPreviousMonthApproved(tblChecks[[#This Row],[BOne Fund Code]])</f>
        <v>No</v>
      </c>
      <c r="I20" s="205">
        <f>SUMIFS(tblBoneReturn[GROSS_TOTAL_RETURN],tblBoneReturn[FUND_CODE],tblChecks[[#This Row],[BOne Fund Code]],tblBoneReturn[END_DATE],tblChecks[[#This Row],[End Date]],tblBoneReturn[FUND_CURRENCY],tblChecks[[#This Row],[Fund CCY]])</f>
        <v>0</v>
      </c>
      <c r="J20" s="205">
        <f>SUMIFS(tblBoneReturn[BMK_TOTAL_RETURN],tblBoneReturn[FUND_CODE],tblChecks[[#This Row],[BOne Fund Code]],tblBoneReturn[END_DATE],tblChecks[[#This Row],[End Date]])</f>
        <v>6.9311485199999995E-2</v>
      </c>
      <c r="K20" s="205" t="str">
        <f>IFERROR(INDEX(trk.tblReturnTolerance[ToleranceFundBench],MATCH(tblChecks[[#This Row],[BOne Fund Code]],trk.tblReturnTolerance[BOneFundCode],0)),"Set up the fund and its tolerances in Tracking Tool")</f>
        <v>Set up the fund and its tolerances in Tracking Tool</v>
      </c>
      <c r="L20" s="205">
        <f>IF(tblChecks[[#This Row],[Benchmark Return]]=0,0,tblChecks[[#This Row],[Gross Fund Return]]-tblChecks[[#This Row],[Benchmark Return]])</f>
        <v>-6.9311485199999995E-2</v>
      </c>
      <c r="M20" s="205">
        <f>SUMIFS(tblBoneReturn[GROSS_TOTAL_RETURN],tblBoneReturn[FUND_CODE],tblChecks[[#This Row],[BOne Fund Code]],tblBoneReturn[END_DATE],tblChecks[[#This Row],[End Date]],tblBoneReturn[FUND_CURRENCY],tblChecks[[#This Row],[Fund CCY]])</f>
        <v>0</v>
      </c>
      <c r="N20" s="205">
        <f>SUMIFS(tblBoneReturn[DECOMPOSED],tblBoneReturn[FUND_CODE],tblChecks[[#This Row],[BOne Fund Code]],tblBoneReturn[END_DATE],tblChecks[[#This Row],[End Date]],tblBoneReturn[FUND_CURRENCY],tblChecks[[#This Row],[Fund CCY]])</f>
        <v>0</v>
      </c>
      <c r="O20" s="205" t="str">
        <f>IFERROR(INDEX(trk.tblReturnTolerance[ToleranceGrossDecomposed],MATCH(tblChecks[[#This Row],[BOne Fund Code]],trk.tblReturnTolerance[BOneFundCode],0)),"Set up the fund and its tolerances in Tracking Tool")</f>
        <v>Set up the fund and its tolerances in Tracking Tool</v>
      </c>
      <c r="P20" s="210">
        <f>tblChecks[[#This Row],[Gross Return]]-tblChecks[[#This Row],[Decomposed]]</f>
        <v>0</v>
      </c>
      <c r="Q20" s="206">
        <f>SUMIFS(tblBoneReturn[NET_CASHFLOW],tblBoneReturn[FUND_CODE],tblChecks[[#This Row],[BOne Fund Code]],tblBoneReturn[START_DATE],tblChecks[[#This Row],[Start Date]],tblBoneReturn[END_DATE],tblChecks[[#This Row],[End Date]],tblBoneReturn[FUND_CURRENCY],tblChecks[[#This Row],[Fund CCY]])</f>
        <v>0</v>
      </c>
      <c r="R20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0</v>
      </c>
      <c r="S20" s="211" t="str">
        <f>IFERROR(INDEX(trk.tblReturnTolerance[ToleranceCashflow],MATCH(tblChecks[[#This Row],[BOne Fund Code]],trk.tblReturnTolerance[BOneFundCode],0)),"Set up the fund and its tolerances in Tracking Tool")</f>
        <v>Set up the fund and its tolerances in Tracking Tool</v>
      </c>
      <c r="T20" s="143" t="str">
        <f>IFERROR(tblChecks[[#This Row],[BOne Cashflows (Net)]]/tblChecks[[#This Row],[BOne End NAV]],"Set up the fund and its tolerances in Tracking Tool")</f>
        <v>Set up the fund and its tolerances in Tracking Tool</v>
      </c>
      <c r="U20" s="206">
        <f>SUMIFS(tblBoneReturn[START_NAV],tblBoneReturn[FUND_CODE],tblChecks[[#This Row],[BOne Fund Code]],tblBoneReturn[START_DATE],tblChecks[[#This Row],[Start Date]],tblBoneReturn[END_DATE],tblChecks[[#This Row],[End Date]],tblBoneReturn[FUND_CURRENCY],tblChecks[[#This Row],[Fund CCY]])</f>
        <v>0</v>
      </c>
      <c r="V20" s="206">
        <f>SUMIFS(tblBoneReturn[END_NAV],tblBoneReturn[FUND_CODE],tblChecks[[#This Row],[BOne Fund Code]],tblBoneReturn[START_DATE],tblChecks[[#This Row],[Start Date]],tblBoneReturn[END_DATE],tblChecks[[#This Row],[End Date]],tblBoneReturn[FUND_CURRENCY],tblChecks[[#This Row],[Fund CCY]])</f>
        <v>0</v>
      </c>
      <c r="W20" s="211" t="str">
        <f>IFERROR(INDEX(trk.tblReturnTolerance[ToleranceNavChange],MATCH(tblChecks[[#This Row],[BOne Fund Code]],trk.tblReturnTolerance[BOneFundCode],0)),"Set up the fund and its tolerances in Tracking Tool")</f>
        <v>Set up the fund and its tolerances in Tracking Tool</v>
      </c>
      <c r="X20" s="211" t="str">
        <f>IFERROR(tblChecks[[#This Row],[End NAV]]/tblChecks[[#This Row],[Start NAV]]-1,"Set up the fund and its tolerances in Tracking Tool")</f>
        <v>Set up the fund and its tolerances in Tracking Tool</v>
      </c>
      <c r="Y20" s="206">
        <f>SUMIFS(tblBoneReturn[START_NAV],tblBoneReturn[FUND_CODE],tblChecks[[#This Row],[BOne Fund Code]],tblBoneReturn[FUND_CURRENCY],tblChecks[[#This Row],[Fund CCY]],tblBoneReturn[START_DATE],tblChecks[[#This Row],[Start Date]])</f>
        <v>0</v>
      </c>
      <c r="Z20" s="206">
        <f>SUMIFS(trk.vReturnFund[EndNav],trk.vReturnFund[BOneFundCode],tblChecks[[#This Row],[BOne Fund Code]],trk.vReturnFund[EndDate],tblChecks[[#This Row],[Start Date]],trk.vReturnFund[Currency],tblChecks[[#This Row],[Fund CCY]],trk.vReturnFund[ReturnFrequency],"Monthly",trk.vReturnFund[ReturnType], "Total Return")</f>
        <v>0</v>
      </c>
      <c r="AA20" s="212">
        <f>tblChecks[[#This Row],[BOne Starting NAV]]-tblChecks[[#This Row],[iPas previous month ending NAV]]</f>
        <v>0</v>
      </c>
    </row>
  </sheetData>
  <mergeCells count="1">
    <mergeCell ref="B2:AA2"/>
  </mergeCells>
  <conditionalFormatting sqref="P4:P20">
    <cfRule type="expression" dxfId="43" priority="8">
      <formula>COUNTA($P4)&gt;0</formula>
    </cfRule>
    <cfRule type="cellIs" dxfId="42" priority="21" operator="between">
      <formula>O4*-1</formula>
      <formula>O4</formula>
    </cfRule>
    <cfRule type="cellIs" dxfId="41" priority="22" operator="notBetween">
      <formula>O4*-1</formula>
      <formula>O4</formula>
    </cfRule>
  </conditionalFormatting>
  <conditionalFormatting sqref="T4:T20">
    <cfRule type="expression" dxfId="40" priority="7">
      <formula>COUNTA($T4)&gt;0</formula>
    </cfRule>
    <cfRule type="cellIs" dxfId="39" priority="19" operator="between">
      <formula>S4*-1</formula>
      <formula>S4</formula>
    </cfRule>
    <cfRule type="cellIs" dxfId="38" priority="20" operator="notBetween">
      <formula>S4*-1</formula>
      <formula>S4</formula>
    </cfRule>
  </conditionalFormatting>
  <conditionalFormatting sqref="G4:G20">
    <cfRule type="expression" dxfId="37" priority="11">
      <formula>COUNTA($G4)&gt;0</formula>
    </cfRule>
    <cfRule type="containsText" dxfId="36" priority="14" operator="containsText" text="No">
      <formula>NOT(ISERROR(SEARCH("No",G4)))</formula>
    </cfRule>
  </conditionalFormatting>
  <conditionalFormatting sqref="H4:H20">
    <cfRule type="expression" dxfId="35" priority="10">
      <formula>COUNTA($H4)&gt;0</formula>
    </cfRule>
    <cfRule type="endsWith" dxfId="34" priority="12" operator="endsWith" text="No">
      <formula>RIGHT(H4,LEN("No"))="No"</formula>
    </cfRule>
  </conditionalFormatting>
  <conditionalFormatting sqref="L4:L20">
    <cfRule type="expression" dxfId="33" priority="9">
      <formula>COUNTA($L4)&gt;0</formula>
    </cfRule>
    <cfRule type="cellIs" dxfId="32" priority="17" operator="between">
      <formula>K4*-1</formula>
      <formula>K4</formula>
    </cfRule>
    <cfRule type="cellIs" dxfId="31" priority="18" operator="notBetween">
      <formula>K4*-1</formula>
      <formula>K4</formula>
    </cfRule>
  </conditionalFormatting>
  <conditionalFormatting sqref="X4:X20">
    <cfRule type="expression" dxfId="30" priority="6">
      <formula>COUNTA($X4)&gt;0</formula>
    </cfRule>
  </conditionalFormatting>
  <conditionalFormatting sqref="X4:X20">
    <cfRule type="cellIs" dxfId="29" priority="4" operator="notBetween">
      <formula>W4*-1</formula>
      <formula>W4</formula>
    </cfRule>
    <cfRule type="cellIs" dxfId="28" priority="5" operator="between">
      <formula>W4*-1</formula>
      <formula>W4</formula>
    </cfRule>
  </conditionalFormatting>
  <conditionalFormatting sqref="AA4:AA20">
    <cfRule type="cellIs" dxfId="27" priority="2" operator="equal">
      <formula>0</formula>
    </cfRule>
    <cfRule type="cellIs" dxfId="26" priority="3" operator="notEqual">
      <formula>0</formula>
    </cfRule>
  </conditionalFormatting>
  <conditionalFormatting sqref="I4:T20">
    <cfRule type="cellIs" dxfId="25" priority="1" operator="equal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IpasLoad">
    <tabColor theme="4" tint="0.39997558519241921"/>
  </sheetPr>
  <dimension ref="B2:X20"/>
  <sheetViews>
    <sheetView showGridLines="0" showRowColHeaders="0" zoomScaleNormal="100" workbookViewId="0">
      <pane ySplit="3" topLeftCell="A4" activePane="bottomLeft" state="frozen"/>
      <selection pane="bottomLeft"/>
    </sheetView>
  </sheetViews>
  <sheetFormatPr defaultRowHeight="15"/>
  <cols>
    <col min="1" max="1" width="4.7109375" customWidth="1"/>
    <col min="2" max="2" width="5" bestFit="1" customWidth="1"/>
    <col min="3" max="3" width="17.42578125" bestFit="1" customWidth="1"/>
    <col min="4" max="4" width="12.28515625" bestFit="1" customWidth="1"/>
    <col min="5" max="5" width="16.7109375" bestFit="1" customWidth="1"/>
    <col min="6" max="6" width="11.5703125" bestFit="1" customWidth="1"/>
    <col min="7" max="7" width="11.85546875" bestFit="1" customWidth="1"/>
    <col min="8" max="9" width="12.5703125" bestFit="1" customWidth="1"/>
    <col min="10" max="10" width="12.42578125" bestFit="1" customWidth="1"/>
    <col min="11" max="12" width="11.140625" bestFit="1" customWidth="1"/>
    <col min="13" max="13" width="9.28515625" bestFit="1" customWidth="1"/>
    <col min="14" max="15" width="12" bestFit="1" customWidth="1"/>
    <col min="16" max="16" width="14.28515625" bestFit="1" customWidth="1"/>
    <col min="17" max="17" width="12.5703125" bestFit="1" customWidth="1"/>
    <col min="18" max="18" width="15.5703125" bestFit="1" customWidth="1"/>
    <col min="19" max="19" width="15.7109375" bestFit="1" customWidth="1"/>
    <col min="20" max="20" width="13.140625" bestFit="1" customWidth="1"/>
    <col min="21" max="21" width="13.85546875" bestFit="1" customWidth="1"/>
    <col min="22" max="23" width="18.140625" bestFit="1" customWidth="1"/>
    <col min="24" max="24" width="15.85546875" bestFit="1" customWidth="1"/>
  </cols>
  <sheetData>
    <row r="2" spans="2:24">
      <c r="B2" s="12" t="s">
        <v>29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</row>
    <row r="3" spans="2:24">
      <c r="B3" s="11" t="s">
        <v>46</v>
      </c>
      <c r="C3" s="11" t="s">
        <v>42</v>
      </c>
      <c r="D3" s="11" t="s">
        <v>77</v>
      </c>
      <c r="E3" s="11" t="s">
        <v>81</v>
      </c>
      <c r="F3" s="11" t="s">
        <v>19</v>
      </c>
      <c r="G3" s="11" t="s">
        <v>20</v>
      </c>
      <c r="H3" s="11" t="s">
        <v>32</v>
      </c>
      <c r="I3" s="11" t="s">
        <v>21</v>
      </c>
      <c r="J3" s="11" t="s">
        <v>30</v>
      </c>
      <c r="K3" s="11" t="s">
        <v>31</v>
      </c>
      <c r="L3" s="11" t="s">
        <v>43</v>
      </c>
      <c r="M3" s="11" t="s">
        <v>44</v>
      </c>
      <c r="N3" s="11" t="s">
        <v>45</v>
      </c>
      <c r="O3" s="11" t="s">
        <v>22</v>
      </c>
      <c r="P3" s="11" t="s">
        <v>23</v>
      </c>
      <c r="Q3" s="11" t="s">
        <v>24</v>
      </c>
      <c r="R3" s="11" t="s">
        <v>25</v>
      </c>
      <c r="S3" s="11" t="s">
        <v>26</v>
      </c>
      <c r="T3" s="11" t="s">
        <v>27</v>
      </c>
      <c r="U3" s="11" t="s">
        <v>28</v>
      </c>
      <c r="V3" s="11" t="s">
        <v>84</v>
      </c>
      <c r="W3" s="11" t="s">
        <v>82</v>
      </c>
      <c r="X3" s="11" t="s">
        <v>83</v>
      </c>
    </row>
    <row r="4" spans="2:24">
      <c r="B4" s="9"/>
      <c r="C4" s="9" t="s">
        <v>2580</v>
      </c>
      <c r="D4" s="9">
        <v>1258</v>
      </c>
      <c r="E4" s="9" t="s">
        <v>54</v>
      </c>
      <c r="F4" s="111">
        <v>42886</v>
      </c>
      <c r="G4" s="111">
        <v>42916</v>
      </c>
      <c r="H4" s="155" t="s">
        <v>2545</v>
      </c>
      <c r="I4" s="9" t="s">
        <v>2578</v>
      </c>
      <c r="J4" s="9" t="s">
        <v>2480</v>
      </c>
      <c r="K4" s="9" t="s">
        <v>410</v>
      </c>
      <c r="L4" s="9" t="s">
        <v>287</v>
      </c>
      <c r="M4" s="9" t="s">
        <v>158</v>
      </c>
      <c r="N4" s="9" t="s">
        <v>2579</v>
      </c>
      <c r="O4" s="13">
        <v>-2.0876104098999999</v>
      </c>
      <c r="P4" s="13">
        <v>-2.0876104098999999</v>
      </c>
      <c r="Q4" s="13"/>
      <c r="R4" s="14"/>
      <c r="S4" s="13"/>
      <c r="T4" s="13"/>
      <c r="U4" s="9"/>
      <c r="V4" s="13">
        <v>271.30947952830002</v>
      </c>
      <c r="W4" s="14">
        <v>460141179.33999997</v>
      </c>
      <c r="X4" s="14">
        <v>450532585.33999997</v>
      </c>
    </row>
    <row r="5" spans="2:24">
      <c r="B5" s="9"/>
      <c r="C5" s="9" t="s">
        <v>2580</v>
      </c>
      <c r="D5" s="9">
        <v>1956</v>
      </c>
      <c r="E5" s="9" t="s">
        <v>54</v>
      </c>
      <c r="F5" s="111">
        <v>42886</v>
      </c>
      <c r="G5" s="111">
        <v>42916</v>
      </c>
      <c r="H5" s="155" t="s">
        <v>2545</v>
      </c>
      <c r="I5" s="9" t="s">
        <v>2578</v>
      </c>
      <c r="J5" s="9" t="s">
        <v>2480</v>
      </c>
      <c r="K5" s="9" t="s">
        <v>410</v>
      </c>
      <c r="L5" s="9" t="s">
        <v>287</v>
      </c>
      <c r="M5" s="9" t="s">
        <v>158</v>
      </c>
      <c r="N5" s="9" t="s">
        <v>2579</v>
      </c>
      <c r="O5" s="13">
        <v>-1.7048241985000001</v>
      </c>
      <c r="P5" s="13">
        <v>-1.7048241985000001</v>
      </c>
      <c r="Q5" s="13"/>
      <c r="R5" s="14"/>
      <c r="S5" s="13"/>
      <c r="T5" s="13"/>
      <c r="U5" s="9"/>
      <c r="V5" s="13">
        <v>200.12963993049999</v>
      </c>
      <c r="W5" s="14">
        <v>989705431.20000005</v>
      </c>
      <c r="X5" s="14">
        <v>958085925.73000002</v>
      </c>
    </row>
    <row r="6" spans="2:24">
      <c r="B6" s="9"/>
      <c r="C6" s="9" t="s">
        <v>2580</v>
      </c>
      <c r="D6" s="9">
        <v>1191</v>
      </c>
      <c r="E6" s="9" t="s">
        <v>54</v>
      </c>
      <c r="F6" s="111">
        <v>42886</v>
      </c>
      <c r="G6" s="111">
        <v>42916</v>
      </c>
      <c r="H6" s="155" t="s">
        <v>2545</v>
      </c>
      <c r="I6" s="9" t="s">
        <v>2578</v>
      </c>
      <c r="J6" s="9" t="s">
        <v>2480</v>
      </c>
      <c r="K6" s="9" t="s">
        <v>410</v>
      </c>
      <c r="L6" s="9" t="s">
        <v>287</v>
      </c>
      <c r="M6" s="9" t="s">
        <v>158</v>
      </c>
      <c r="N6" s="9" t="s">
        <v>2579</v>
      </c>
      <c r="O6" s="13">
        <v>-1.9994185000000001E-2</v>
      </c>
      <c r="P6" s="13">
        <v>-1.9994185000000001E-2</v>
      </c>
      <c r="Q6" s="13"/>
      <c r="R6" s="14"/>
      <c r="S6" s="13"/>
      <c r="T6" s="13"/>
      <c r="U6" s="9"/>
      <c r="V6" s="13">
        <v>132.82017685420001</v>
      </c>
      <c r="W6" s="14">
        <v>31794248.43</v>
      </c>
      <c r="X6" s="14">
        <v>31787937.219999999</v>
      </c>
    </row>
    <row r="7" spans="2:24">
      <c r="B7" s="9"/>
      <c r="C7" s="9" t="s">
        <v>2580</v>
      </c>
      <c r="D7" s="9">
        <v>1253</v>
      </c>
      <c r="E7" s="9" t="s">
        <v>54</v>
      </c>
      <c r="F7" s="111">
        <v>42886</v>
      </c>
      <c r="G7" s="111">
        <v>42916</v>
      </c>
      <c r="H7" s="155" t="s">
        <v>2545</v>
      </c>
      <c r="I7" s="9" t="s">
        <v>2578</v>
      </c>
      <c r="J7" s="9" t="s">
        <v>2480</v>
      </c>
      <c r="K7" s="9" t="s">
        <v>410</v>
      </c>
      <c r="L7" s="9" t="s">
        <v>287</v>
      </c>
      <c r="M7" s="9" t="s">
        <v>158</v>
      </c>
      <c r="N7" s="9" t="s">
        <v>2579</v>
      </c>
      <c r="O7" s="13">
        <v>0.3459192526</v>
      </c>
      <c r="P7" s="13">
        <v>0.3459192526</v>
      </c>
      <c r="Q7" s="13"/>
      <c r="R7" s="14">
        <v>181564.14</v>
      </c>
      <c r="S7" s="13"/>
      <c r="T7" s="13"/>
      <c r="U7" s="9"/>
      <c r="V7" s="13">
        <v>198.8764962434</v>
      </c>
      <c r="W7" s="14">
        <v>52487434.18</v>
      </c>
      <c r="X7" s="14">
        <v>52668998.32</v>
      </c>
    </row>
    <row r="8" spans="2:24">
      <c r="B8" s="9"/>
      <c r="C8" s="9" t="s">
        <v>2580</v>
      </c>
      <c r="D8" s="9">
        <v>1261</v>
      </c>
      <c r="E8" s="9" t="s">
        <v>54</v>
      </c>
      <c r="F8" s="111">
        <v>42886</v>
      </c>
      <c r="G8" s="111">
        <v>42916</v>
      </c>
      <c r="H8" s="155" t="s">
        <v>2545</v>
      </c>
      <c r="I8" s="9" t="s">
        <v>2578</v>
      </c>
      <c r="J8" s="9" t="s">
        <v>2480</v>
      </c>
      <c r="K8" s="9" t="s">
        <v>410</v>
      </c>
      <c r="L8" s="9" t="s">
        <v>287</v>
      </c>
      <c r="M8" s="9" t="s">
        <v>158</v>
      </c>
      <c r="N8" s="9" t="s">
        <v>2579</v>
      </c>
      <c r="O8" s="13">
        <v>-2.0067145839</v>
      </c>
      <c r="P8" s="13">
        <v>-2.0067145839</v>
      </c>
      <c r="Q8" s="13"/>
      <c r="R8" s="14">
        <v>-7959655.96</v>
      </c>
      <c r="S8" s="13"/>
      <c r="T8" s="13"/>
      <c r="U8" s="9"/>
      <c r="V8" s="13">
        <v>175.01719940460001</v>
      </c>
      <c r="W8" s="14">
        <v>396652009.97000003</v>
      </c>
      <c r="X8" s="14">
        <v>388691521.89999998</v>
      </c>
    </row>
    <row r="9" spans="2:24">
      <c r="B9" s="9"/>
      <c r="C9" s="9" t="s">
        <v>2580</v>
      </c>
      <c r="D9" s="9">
        <v>1278</v>
      </c>
      <c r="E9" s="9" t="s">
        <v>54</v>
      </c>
      <c r="F9" s="111">
        <v>42886</v>
      </c>
      <c r="G9" s="111">
        <v>42916</v>
      </c>
      <c r="H9" s="155" t="s">
        <v>2545</v>
      </c>
      <c r="I9" s="9" t="s">
        <v>2578</v>
      </c>
      <c r="J9" s="9" t="s">
        <v>2480</v>
      </c>
      <c r="K9" s="9" t="s">
        <v>410</v>
      </c>
      <c r="L9" s="9" t="s">
        <v>287</v>
      </c>
      <c r="M9" s="9" t="s">
        <v>158</v>
      </c>
      <c r="N9" s="9" t="s">
        <v>2579</v>
      </c>
      <c r="O9" s="13">
        <v>-2.6683501419</v>
      </c>
      <c r="P9" s="13">
        <v>-2.6683501419</v>
      </c>
      <c r="Q9" s="13"/>
      <c r="R9" s="14">
        <v>-5765426.7699999996</v>
      </c>
      <c r="S9" s="13"/>
      <c r="T9" s="13"/>
      <c r="U9" s="9"/>
      <c r="V9" s="13">
        <v>197.8171689774</v>
      </c>
      <c r="W9" s="14">
        <v>220730813.93000001</v>
      </c>
      <c r="X9" s="14">
        <v>205964791.52000001</v>
      </c>
    </row>
    <row r="10" spans="2:24">
      <c r="B10" s="9"/>
      <c r="C10" s="9" t="s">
        <v>2580</v>
      </c>
      <c r="D10" s="9">
        <v>1156</v>
      </c>
      <c r="E10" s="9" t="s">
        <v>54</v>
      </c>
      <c r="F10" s="111">
        <v>42886</v>
      </c>
      <c r="G10" s="111">
        <v>42916</v>
      </c>
      <c r="H10" s="155" t="s">
        <v>2545</v>
      </c>
      <c r="I10" s="9" t="s">
        <v>2578</v>
      </c>
      <c r="J10" s="9" t="s">
        <v>2480</v>
      </c>
      <c r="K10" s="9" t="s">
        <v>410</v>
      </c>
      <c r="L10" s="9" t="s">
        <v>287</v>
      </c>
      <c r="M10" s="9" t="s">
        <v>158</v>
      </c>
      <c r="N10" s="9" t="s">
        <v>2579</v>
      </c>
      <c r="O10" s="13">
        <v>9.3900284828</v>
      </c>
      <c r="P10" s="13">
        <v>9.3900284828</v>
      </c>
      <c r="Q10" s="13"/>
      <c r="R10" s="14">
        <v>11516328.25</v>
      </c>
      <c r="S10" s="13"/>
      <c r="T10" s="13"/>
      <c r="U10" s="9"/>
      <c r="V10" s="13">
        <v>4.6969673830999996</v>
      </c>
      <c r="W10" s="14">
        <v>13103731.9</v>
      </c>
      <c r="X10" s="14">
        <v>24414221.949999999</v>
      </c>
    </row>
    <row r="11" spans="2:24">
      <c r="B11" s="9"/>
      <c r="C11" s="9" t="s">
        <v>2580</v>
      </c>
      <c r="D11" s="9">
        <v>1966</v>
      </c>
      <c r="E11" s="9" t="s">
        <v>54</v>
      </c>
      <c r="F11" s="111">
        <v>42886</v>
      </c>
      <c r="G11" s="111">
        <v>42916</v>
      </c>
      <c r="H11" s="155" t="s">
        <v>2545</v>
      </c>
      <c r="I11" s="9" t="s">
        <v>2578</v>
      </c>
      <c r="J11" s="9" t="s">
        <v>2480</v>
      </c>
      <c r="K11" s="9" t="s">
        <v>410</v>
      </c>
      <c r="L11" s="9" t="s">
        <v>287</v>
      </c>
      <c r="M11" s="9" t="s">
        <v>158</v>
      </c>
      <c r="N11" s="9" t="s">
        <v>2579</v>
      </c>
      <c r="O11" s="13">
        <v>-0.28666471199999999</v>
      </c>
      <c r="P11" s="13">
        <v>-0.28666471199999999</v>
      </c>
      <c r="Q11" s="13"/>
      <c r="R11" s="14">
        <v>-784234.54</v>
      </c>
      <c r="S11" s="13"/>
      <c r="T11" s="13"/>
      <c r="U11" s="9"/>
      <c r="V11" s="13">
        <v>106.2421123954</v>
      </c>
      <c r="W11" s="14">
        <v>273589456.07999998</v>
      </c>
      <c r="X11" s="14">
        <v>270303555.85000002</v>
      </c>
    </row>
    <row r="12" spans="2:24">
      <c r="B12" s="9"/>
      <c r="C12" s="9" t="s">
        <v>2580</v>
      </c>
      <c r="D12" s="9">
        <v>1286</v>
      </c>
      <c r="E12" s="9" t="s">
        <v>54</v>
      </c>
      <c r="F12" s="111">
        <v>42886</v>
      </c>
      <c r="G12" s="111">
        <v>42916</v>
      </c>
      <c r="H12" s="155" t="s">
        <v>2545</v>
      </c>
      <c r="I12" s="9" t="s">
        <v>2578</v>
      </c>
      <c r="J12" s="9" t="s">
        <v>2480</v>
      </c>
      <c r="K12" s="9" t="s">
        <v>410</v>
      </c>
      <c r="L12" s="9" t="s">
        <v>287</v>
      </c>
      <c r="M12" s="9" t="s">
        <v>158</v>
      </c>
      <c r="N12" s="9" t="s">
        <v>2579</v>
      </c>
      <c r="O12" s="13">
        <v>-2.7642838144000001</v>
      </c>
      <c r="P12" s="13">
        <v>-2.7642838144000001</v>
      </c>
      <c r="Q12" s="13"/>
      <c r="R12" s="14"/>
      <c r="S12" s="13"/>
      <c r="T12" s="13"/>
      <c r="U12" s="9"/>
      <c r="V12" s="13">
        <v>134.26623650740001</v>
      </c>
      <c r="W12" s="14">
        <v>98496610.75</v>
      </c>
      <c r="X12" s="14">
        <v>99769944.840000004</v>
      </c>
    </row>
    <row r="13" spans="2:24">
      <c r="B13" s="9"/>
      <c r="C13" s="9" t="s">
        <v>2580</v>
      </c>
      <c r="D13" s="9">
        <v>1267</v>
      </c>
      <c r="E13" s="9" t="s">
        <v>54</v>
      </c>
      <c r="F13" s="111">
        <v>42886</v>
      </c>
      <c r="G13" s="111">
        <v>42916</v>
      </c>
      <c r="H13" s="155" t="s">
        <v>2545</v>
      </c>
      <c r="I13" s="9" t="s">
        <v>2578</v>
      </c>
      <c r="J13" s="9" t="s">
        <v>2480</v>
      </c>
      <c r="K13" s="9" t="s">
        <v>410</v>
      </c>
      <c r="L13" s="9" t="s">
        <v>287</v>
      </c>
      <c r="M13" s="9" t="s">
        <v>158</v>
      </c>
      <c r="N13" s="9" t="s">
        <v>2579</v>
      </c>
      <c r="O13" s="13">
        <v>-4.7368267728999998</v>
      </c>
      <c r="P13" s="13">
        <v>-4.7368267728999998</v>
      </c>
      <c r="Q13" s="13"/>
      <c r="R13" s="14">
        <v>-672160.67</v>
      </c>
      <c r="S13" s="13"/>
      <c r="T13" s="13"/>
      <c r="U13" s="9"/>
      <c r="V13" s="13">
        <v>116.1144326916</v>
      </c>
      <c r="W13" s="14">
        <v>14190104.52</v>
      </c>
      <c r="X13" s="14">
        <v>13517943.85</v>
      </c>
    </row>
    <row r="14" spans="2:24">
      <c r="B14" s="9"/>
      <c r="C14" s="9" t="s">
        <v>2580</v>
      </c>
      <c r="D14" s="9">
        <v>1257</v>
      </c>
      <c r="E14" s="9" t="s">
        <v>54</v>
      </c>
      <c r="F14" s="111">
        <v>42886</v>
      </c>
      <c r="G14" s="111">
        <v>42916</v>
      </c>
      <c r="H14" s="155" t="s">
        <v>2545</v>
      </c>
      <c r="I14" s="9" t="s">
        <v>2578</v>
      </c>
      <c r="J14" s="9" t="s">
        <v>2480</v>
      </c>
      <c r="K14" s="9" t="s">
        <v>410</v>
      </c>
      <c r="L14" s="9" t="s">
        <v>287</v>
      </c>
      <c r="M14" s="9" t="s">
        <v>158</v>
      </c>
      <c r="N14" s="9" t="s">
        <v>2579</v>
      </c>
      <c r="O14" s="13">
        <v>-6.6871699300000004E-2</v>
      </c>
      <c r="P14" s="13">
        <v>-6.6871699300000004E-2</v>
      </c>
      <c r="Q14" s="13"/>
      <c r="R14" s="14">
        <v>-17.399999999999999</v>
      </c>
      <c r="S14" s="13"/>
      <c r="T14" s="13"/>
      <c r="U14" s="9"/>
      <c r="V14" s="13">
        <v>-15.145646816399999</v>
      </c>
      <c r="W14" s="14">
        <v>27417.52</v>
      </c>
      <c r="X14" s="14">
        <v>26453.49</v>
      </c>
    </row>
    <row r="15" spans="2:24">
      <c r="B15" s="9"/>
      <c r="C15" s="9" t="s">
        <v>2580</v>
      </c>
      <c r="D15" s="9">
        <v>5422</v>
      </c>
      <c r="E15" s="9" t="s">
        <v>54</v>
      </c>
      <c r="F15" s="111">
        <v>42886</v>
      </c>
      <c r="G15" s="111">
        <v>42916</v>
      </c>
      <c r="H15" s="155" t="s">
        <v>2545</v>
      </c>
      <c r="I15" s="9" t="s">
        <v>2578</v>
      </c>
      <c r="J15" s="9" t="s">
        <v>2480</v>
      </c>
      <c r="K15" s="9" t="s">
        <v>626</v>
      </c>
      <c r="L15" s="9" t="s">
        <v>287</v>
      </c>
      <c r="M15" s="9" t="s">
        <v>158</v>
      </c>
      <c r="N15" s="9" t="s">
        <v>2579</v>
      </c>
      <c r="O15" s="13">
        <v>-0.4039754995</v>
      </c>
      <c r="P15" s="13">
        <v>-0.4039754995</v>
      </c>
      <c r="Q15" s="13"/>
      <c r="R15" s="14"/>
      <c r="S15" s="13"/>
      <c r="T15" s="13"/>
      <c r="U15" s="9"/>
      <c r="V15" s="13">
        <v>126.24399406080001</v>
      </c>
      <c r="W15" s="14">
        <v>243317576.81999999</v>
      </c>
      <c r="X15" s="14">
        <v>250631625.55000001</v>
      </c>
    </row>
    <row r="16" spans="2:24">
      <c r="B16" s="9"/>
      <c r="C16" s="9" t="s">
        <v>2580</v>
      </c>
      <c r="D16" s="9">
        <v>5423</v>
      </c>
      <c r="E16" s="9" t="s">
        <v>54</v>
      </c>
      <c r="F16" s="111">
        <v>42886</v>
      </c>
      <c r="G16" s="111">
        <v>42916</v>
      </c>
      <c r="H16" s="155" t="s">
        <v>2545</v>
      </c>
      <c r="I16" s="9" t="s">
        <v>2578</v>
      </c>
      <c r="J16" s="9" t="s">
        <v>2480</v>
      </c>
      <c r="K16" s="9" t="s">
        <v>626</v>
      </c>
      <c r="L16" s="9" t="s">
        <v>287</v>
      </c>
      <c r="M16" s="9" t="s">
        <v>158</v>
      </c>
      <c r="N16" s="9" t="s">
        <v>2579</v>
      </c>
      <c r="O16" s="13">
        <v>-0.1679099053</v>
      </c>
      <c r="P16" s="13">
        <v>-0.1679099053</v>
      </c>
      <c r="Q16" s="13"/>
      <c r="R16" s="14"/>
      <c r="S16" s="13"/>
      <c r="T16" s="13"/>
      <c r="U16" s="9"/>
      <c r="V16" s="13">
        <v>4315.2650387592003</v>
      </c>
      <c r="W16" s="14">
        <v>139174912.59999999</v>
      </c>
      <c r="X16" s="14">
        <v>143256644.99000001</v>
      </c>
    </row>
    <row r="17" spans="2:24">
      <c r="B17" s="9"/>
      <c r="C17" s="9" t="s">
        <v>2580</v>
      </c>
      <c r="D17" s="9">
        <v>5424</v>
      </c>
      <c r="E17" s="9" t="s">
        <v>54</v>
      </c>
      <c r="F17" s="111">
        <v>42886</v>
      </c>
      <c r="G17" s="111">
        <v>42916</v>
      </c>
      <c r="H17" s="155" t="s">
        <v>2545</v>
      </c>
      <c r="I17" s="9" t="s">
        <v>2578</v>
      </c>
      <c r="J17" s="9" t="s">
        <v>2480</v>
      </c>
      <c r="K17" s="9" t="s">
        <v>626</v>
      </c>
      <c r="L17" s="9" t="s">
        <v>287</v>
      </c>
      <c r="M17" s="9" t="s">
        <v>158</v>
      </c>
      <c r="N17" s="9" t="s">
        <v>2579</v>
      </c>
      <c r="O17" s="13">
        <v>0.21366107910000001</v>
      </c>
      <c r="P17" s="13">
        <v>0.21366107910000001</v>
      </c>
      <c r="Q17" s="13"/>
      <c r="R17" s="14"/>
      <c r="S17" s="13"/>
      <c r="T17" s="13"/>
      <c r="U17" s="9"/>
      <c r="V17" s="13">
        <v>116.396734962</v>
      </c>
      <c r="W17" s="14">
        <v>290020631.17000002</v>
      </c>
      <c r="X17" s="14">
        <v>289639312.97000003</v>
      </c>
    </row>
    <row r="18" spans="2:24">
      <c r="B18" s="9"/>
      <c r="C18" s="9" t="s">
        <v>2580</v>
      </c>
      <c r="D18" s="9" t="s">
        <v>248</v>
      </c>
      <c r="E18" s="9" t="s">
        <v>54</v>
      </c>
      <c r="F18" s="111">
        <v>42886</v>
      </c>
      <c r="G18" s="111">
        <v>42916</v>
      </c>
      <c r="H18" s="155" t="s">
        <v>2545</v>
      </c>
      <c r="I18" s="9" t="s">
        <v>2578</v>
      </c>
      <c r="J18" s="9" t="s">
        <v>2480</v>
      </c>
      <c r="K18" s="9" t="s">
        <v>626</v>
      </c>
      <c r="L18" s="9" t="s">
        <v>287</v>
      </c>
      <c r="M18" s="9" t="s">
        <v>158</v>
      </c>
      <c r="N18" s="9" t="s">
        <v>2579</v>
      </c>
      <c r="O18" s="13">
        <v>-8.9806140100000001E-2</v>
      </c>
      <c r="P18" s="13">
        <v>-8.9806140100000001E-2</v>
      </c>
      <c r="Q18" s="13"/>
      <c r="R18" s="14"/>
      <c r="S18" s="13"/>
      <c r="T18" s="13"/>
      <c r="U18" s="9"/>
      <c r="V18" s="13">
        <v>120.7974284033</v>
      </c>
      <c r="W18" s="14">
        <v>672513120.59000003</v>
      </c>
      <c r="X18" s="14">
        <v>683527583.50999999</v>
      </c>
    </row>
    <row r="19" spans="2:24">
      <c r="B19" s="9"/>
      <c r="C19" s="9" t="s">
        <v>2580</v>
      </c>
      <c r="D19" s="9">
        <v>1967</v>
      </c>
      <c r="E19" s="9" t="s">
        <v>54</v>
      </c>
      <c r="F19" s="111">
        <v>42886</v>
      </c>
      <c r="G19" s="111">
        <v>42916</v>
      </c>
      <c r="H19" s="155" t="s">
        <v>2545</v>
      </c>
      <c r="I19" s="9" t="s">
        <v>2578</v>
      </c>
      <c r="J19" s="9" t="s">
        <v>2480</v>
      </c>
      <c r="K19" s="9" t="s">
        <v>410</v>
      </c>
      <c r="L19" s="9" t="s">
        <v>287</v>
      </c>
      <c r="M19" s="9" t="s">
        <v>158</v>
      </c>
      <c r="N19" s="9" t="s">
        <v>2579</v>
      </c>
      <c r="O19" s="13">
        <v>-1.7408887835</v>
      </c>
      <c r="P19" s="13">
        <v>-1.7408887835</v>
      </c>
      <c r="Q19" s="13"/>
      <c r="R19" s="14">
        <v>-428324.25</v>
      </c>
      <c r="S19" s="13"/>
      <c r="T19" s="13"/>
      <c r="U19" s="9"/>
      <c r="V19" s="13">
        <v>108.58935834099999</v>
      </c>
      <c r="W19" s="14">
        <v>27323587.739999998</v>
      </c>
      <c r="X19" s="14">
        <v>20895167.550000001</v>
      </c>
    </row>
    <row r="20" spans="2:24">
      <c r="B20" s="9"/>
      <c r="C20" s="9" t="s">
        <v>2580</v>
      </c>
      <c r="D20" s="9">
        <v>1397</v>
      </c>
      <c r="E20" s="9" t="s">
        <v>54</v>
      </c>
      <c r="F20" s="111">
        <v>42886</v>
      </c>
      <c r="G20" s="111">
        <v>42916</v>
      </c>
      <c r="H20" s="155" t="s">
        <v>2545</v>
      </c>
      <c r="I20" s="9" t="s">
        <v>2578</v>
      </c>
      <c r="J20" s="9" t="s">
        <v>2480</v>
      </c>
      <c r="K20" s="9" t="s">
        <v>410</v>
      </c>
      <c r="L20" s="9" t="s">
        <v>287</v>
      </c>
      <c r="M20" s="9" t="s">
        <v>158</v>
      </c>
      <c r="N20" s="9" t="s">
        <v>2579</v>
      </c>
      <c r="O20" s="13">
        <v>-0.13644279370000001</v>
      </c>
      <c r="P20" s="13">
        <v>-0.13644279370000001</v>
      </c>
      <c r="Q20" s="13"/>
      <c r="R20" s="14">
        <v>-174488.1</v>
      </c>
      <c r="S20" s="13"/>
      <c r="T20" s="13"/>
      <c r="U20" s="9"/>
      <c r="V20" s="13">
        <v>118.85796893040001</v>
      </c>
      <c r="W20" s="14">
        <v>127883705.2</v>
      </c>
      <c r="X20" s="14">
        <v>127709217.09999999</v>
      </c>
    </row>
  </sheetData>
  <dataValidations count="9">
    <dataValidation type="list" allowBlank="1" showInputMessage="1" showErrorMessage="1" sqref="I4:I20 N4:N20">
      <formula1>"Yes,No"</formula1>
    </dataValidation>
    <dataValidation type="list" allowBlank="1" showInputMessage="1" showErrorMessage="1" sqref="E4:E20">
      <formula1>INDIRECT("trk.vFundCodeMap[[#Headers],[BOneFundCode]:[LipperFundCode]]")</formula1>
    </dataValidation>
    <dataValidation type="date" operator="greaterThan" allowBlank="1" showInputMessage="1" showErrorMessage="1" sqref="F4:F20">
      <formula1>1</formula1>
    </dataValidation>
    <dataValidation type="list" allowBlank="1" showInputMessage="1" showErrorMessage="1" sqref="H4:H20">
      <formula1>INDIRECT("trk.tblReturnFrequency[ReturnFrequency]")</formula1>
    </dataValidation>
    <dataValidation type="list" allowBlank="1" showInputMessage="1" showErrorMessage="1" sqref="J4:J20">
      <formula1>INDIRECT("trk.tblReturnType[ReturnType]")</formula1>
    </dataValidation>
    <dataValidation type="list" allowBlank="1" showInputMessage="1" showErrorMessage="1" sqref="K4:K20">
      <formula1>INDIRECT("tblCurrency[CurrencyCode]")</formula1>
    </dataValidation>
    <dataValidation type="list" allowBlank="1" showInputMessage="1" showErrorMessage="1" sqref="M4:M20">
      <formula1>INDIRECT("trk.tblReturnStatus[ReturnStatus]")</formula1>
    </dataValidation>
    <dataValidation type="list" allowBlank="1" showInputMessage="1" showErrorMessage="1" sqref="L4:L20">
      <formula1>INDIRECT("trk.tblReturnSource[ReturnSource]")</formula1>
    </dataValidation>
    <dataValidation type="date" operator="greaterThanOrEqual" allowBlank="1" showInputMessage="1" showErrorMessage="1" sqref="G4:G20">
      <formula1>F4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IpasLoadBMK">
    <tabColor theme="3" tint="0.59999389629810485"/>
  </sheetPr>
  <dimension ref="B2:S8"/>
  <sheetViews>
    <sheetView showGridLines="0" showRowColHeaders="0" workbookViewId="0">
      <pane ySplit="3" topLeftCell="A4" activePane="bottomLeft" state="frozen"/>
      <selection pane="bottomLeft" activeCell="M4" sqref="M4:R4"/>
    </sheetView>
  </sheetViews>
  <sheetFormatPr defaultRowHeight="15"/>
  <cols>
    <col min="2" max="2" width="5" bestFit="1" customWidth="1"/>
    <col min="3" max="3" width="16.85546875" customWidth="1"/>
    <col min="4" max="4" width="15.140625" bestFit="1" customWidth="1"/>
    <col min="5" max="5" width="15.85546875" customWidth="1"/>
    <col min="6" max="6" width="11.42578125" customWidth="1"/>
    <col min="7" max="7" width="10.5703125" customWidth="1"/>
    <col min="8" max="8" width="14" customWidth="1"/>
    <col min="9" max="9" width="12.28515625" customWidth="1"/>
    <col min="10" max="10" width="13.42578125" customWidth="1"/>
    <col min="11" max="11" width="11" customWidth="1"/>
    <col min="13" max="13" width="14" customWidth="1"/>
    <col min="14" max="14" width="12.42578125" customWidth="1"/>
    <col min="15" max="15" width="15.28515625" customWidth="1"/>
    <col min="16" max="16" width="15.7109375" customWidth="1"/>
    <col min="17" max="17" width="17" customWidth="1"/>
    <col min="18" max="18" width="16.140625" customWidth="1"/>
    <col min="19" max="19" width="18.140625" bestFit="1" customWidth="1"/>
  </cols>
  <sheetData>
    <row r="2" spans="2:19">
      <c r="B2" s="157" t="s">
        <v>87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</row>
    <row r="3" spans="2:19">
      <c r="B3" s="11" t="s">
        <v>46</v>
      </c>
      <c r="C3" s="11" t="s">
        <v>42</v>
      </c>
      <c r="D3" s="11" t="s">
        <v>88</v>
      </c>
      <c r="E3" s="11" t="s">
        <v>89</v>
      </c>
      <c r="F3" s="11" t="s">
        <v>19</v>
      </c>
      <c r="G3" s="11" t="s">
        <v>20</v>
      </c>
      <c r="H3" s="11" t="s">
        <v>32</v>
      </c>
      <c r="I3" s="11" t="s">
        <v>21</v>
      </c>
      <c r="J3" s="11" t="s">
        <v>30</v>
      </c>
      <c r="K3" s="11" t="s">
        <v>31</v>
      </c>
      <c r="L3" s="11" t="s">
        <v>43</v>
      </c>
      <c r="M3" s="11" t="s">
        <v>22</v>
      </c>
      <c r="N3" s="11" t="s">
        <v>23</v>
      </c>
      <c r="O3" s="11" t="s">
        <v>24</v>
      </c>
      <c r="P3" s="11" t="s">
        <v>90</v>
      </c>
      <c r="Q3" s="11" t="s">
        <v>91</v>
      </c>
      <c r="R3" s="11" t="s">
        <v>92</v>
      </c>
      <c r="S3" s="11" t="s">
        <v>28</v>
      </c>
    </row>
    <row r="4" spans="2:19">
      <c r="B4" s="9"/>
      <c r="C4" s="9" t="s">
        <v>2580</v>
      </c>
      <c r="D4" s="9">
        <v>1278</v>
      </c>
      <c r="E4" s="9" t="s">
        <v>93</v>
      </c>
      <c r="F4" s="16">
        <v>42886</v>
      </c>
      <c r="G4" s="16">
        <v>42916</v>
      </c>
      <c r="H4" s="9" t="s">
        <v>2545</v>
      </c>
      <c r="I4" s="9" t="s">
        <v>2578</v>
      </c>
      <c r="J4" s="9" t="s">
        <v>2480</v>
      </c>
      <c r="K4" s="9" t="s">
        <v>410</v>
      </c>
      <c r="L4" s="9" t="s">
        <v>287</v>
      </c>
      <c r="M4" s="9">
        <v>9.7343768999999993E-3</v>
      </c>
      <c r="N4" s="9"/>
      <c r="O4" s="9"/>
      <c r="P4" s="9"/>
      <c r="Q4" s="9">
        <v>1014.6663268918001</v>
      </c>
      <c r="R4" s="9">
        <v>1014.7650983358</v>
      </c>
      <c r="S4" s="9"/>
    </row>
    <row r="5" spans="2:19">
      <c r="B5" s="9"/>
      <c r="C5" s="9" t="s">
        <v>2580</v>
      </c>
      <c r="D5" s="9">
        <v>5422</v>
      </c>
      <c r="E5" s="9" t="s">
        <v>93</v>
      </c>
      <c r="F5" s="16">
        <v>42886</v>
      </c>
      <c r="G5" s="16">
        <v>42916</v>
      </c>
      <c r="H5" s="9" t="s">
        <v>2545</v>
      </c>
      <c r="I5" s="9" t="s">
        <v>2578</v>
      </c>
      <c r="J5" s="9" t="s">
        <v>2480</v>
      </c>
      <c r="K5" s="9" t="s">
        <v>626</v>
      </c>
      <c r="L5" s="9" t="s">
        <v>287</v>
      </c>
      <c r="M5" s="9">
        <v>6.9311485199999995E-2</v>
      </c>
      <c r="N5" s="9"/>
      <c r="O5" s="9"/>
      <c r="P5" s="9"/>
      <c r="Q5" s="9">
        <v>1200.2611404376</v>
      </c>
      <c r="R5" s="9">
        <v>1201.0930592602001</v>
      </c>
      <c r="S5" s="9"/>
    </row>
    <row r="6" spans="2:19">
      <c r="B6" s="9"/>
      <c r="C6" s="9" t="s">
        <v>2580</v>
      </c>
      <c r="D6" s="9">
        <v>5423</v>
      </c>
      <c r="E6" s="9" t="s">
        <v>93</v>
      </c>
      <c r="F6" s="16">
        <v>42886</v>
      </c>
      <c r="G6" s="16">
        <v>42916</v>
      </c>
      <c r="H6" s="9" t="s">
        <v>2545</v>
      </c>
      <c r="I6" s="9" t="s">
        <v>2578</v>
      </c>
      <c r="J6" s="9" t="s">
        <v>2480</v>
      </c>
      <c r="K6" s="9" t="s">
        <v>626</v>
      </c>
      <c r="L6" s="9" t="s">
        <v>287</v>
      </c>
      <c r="M6" s="9">
        <v>-0.22365243979999999</v>
      </c>
      <c r="N6" s="9"/>
      <c r="O6" s="9"/>
      <c r="P6" s="9"/>
      <c r="Q6" s="9">
        <v>1219.9088372962999</v>
      </c>
      <c r="R6" s="9">
        <v>1217.1804814187999</v>
      </c>
      <c r="S6" s="9"/>
    </row>
    <row r="7" spans="2:19">
      <c r="B7" s="9"/>
      <c r="C7" s="9" t="s">
        <v>2580</v>
      </c>
      <c r="D7" s="9">
        <v>5424</v>
      </c>
      <c r="E7" s="9" t="s">
        <v>93</v>
      </c>
      <c r="F7" s="16">
        <v>42886</v>
      </c>
      <c r="G7" s="16">
        <v>42916</v>
      </c>
      <c r="H7" s="9" t="s">
        <v>2545</v>
      </c>
      <c r="I7" s="9" t="s">
        <v>2578</v>
      </c>
      <c r="J7" s="9" t="s">
        <v>2480</v>
      </c>
      <c r="K7" s="9" t="s">
        <v>626</v>
      </c>
      <c r="L7" s="9" t="s">
        <v>287</v>
      </c>
      <c r="M7" s="9">
        <v>4.9253710999999999E-2</v>
      </c>
      <c r="N7" s="9"/>
      <c r="O7" s="9"/>
      <c r="P7" s="9"/>
      <c r="Q7" s="9">
        <v>1126.4943902888001</v>
      </c>
      <c r="R7" s="9">
        <v>1127.0492305805999</v>
      </c>
      <c r="S7" s="9"/>
    </row>
    <row r="8" spans="2:19">
      <c r="B8" s="9"/>
      <c r="C8" s="9" t="s">
        <v>2580</v>
      </c>
      <c r="D8" s="9" t="s">
        <v>248</v>
      </c>
      <c r="E8" s="9" t="s">
        <v>93</v>
      </c>
      <c r="F8" s="16">
        <v>42886</v>
      </c>
      <c r="G8" s="16">
        <v>42916</v>
      </c>
      <c r="H8" s="9" t="s">
        <v>2545</v>
      </c>
      <c r="I8" s="9" t="s">
        <v>2578</v>
      </c>
      <c r="J8" s="9" t="s">
        <v>2480</v>
      </c>
      <c r="K8" s="9" t="s">
        <v>626</v>
      </c>
      <c r="L8" s="9" t="s">
        <v>287</v>
      </c>
      <c r="M8" s="9">
        <v>6.9311485199999995E-2</v>
      </c>
      <c r="N8" s="9"/>
      <c r="O8" s="9"/>
      <c r="P8" s="9"/>
      <c r="Q8" s="9">
        <v>1200.2611404376</v>
      </c>
      <c r="R8" s="9">
        <v>1201.0930592602001</v>
      </c>
      <c r="S8" s="9"/>
    </row>
  </sheetData>
  <mergeCells count="1">
    <mergeCell ref="B2:S2"/>
  </mergeCells>
  <dataValidations count="8">
    <dataValidation type="list" allowBlank="1" showInputMessage="1" showErrorMessage="1" sqref="E4:E8">
      <formula1>INDIRECT("trk.BenchmarkDetails[[#Headers],[BOneCode]:[BloombergCode]]")</formula1>
    </dataValidation>
    <dataValidation type="date" operator="greaterThan" allowBlank="1" showInputMessage="1" showErrorMessage="1" sqref="F4:F8">
      <formula1>1</formula1>
    </dataValidation>
    <dataValidation type="list" allowBlank="1" showInputMessage="1" showErrorMessage="1" sqref="H4:H8">
      <formula1>INDIRECT("trk.tblReturnFrequency[ReturnFrequency]")</formula1>
    </dataValidation>
    <dataValidation type="list" allowBlank="1" showInputMessage="1" showErrorMessage="1" sqref="I4:I8">
      <formula1>"Yes,No"</formula1>
    </dataValidation>
    <dataValidation type="list" allowBlank="1" showInputMessage="1" showErrorMessage="1" sqref="J4:J8">
      <formula1>INDIRECT("trk.tblReturnType[ReturnType]")</formula1>
    </dataValidation>
    <dataValidation type="list" allowBlank="1" showInputMessage="1" showErrorMessage="1" sqref="K4:K8">
      <formula1>INDIRECT("tblCurrency[CurrencyCode]")</formula1>
    </dataValidation>
    <dataValidation type="list" allowBlank="1" showInputMessage="1" showErrorMessage="1" sqref="L4:L8">
      <formula1>INDIRECT("trk.tblReturnSource[ReturnSource]")</formula1>
    </dataValidation>
    <dataValidation type="date" operator="greaterThanOrEqual" allowBlank="1" showInputMessage="1" showErrorMessage="1" sqref="G4:G8">
      <formula1>F4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eturnFundHistory">
    <tabColor theme="3" tint="0.59999389629810485"/>
  </sheetPr>
  <dimension ref="B2:AZ105"/>
  <sheetViews>
    <sheetView showGridLines="0" showRowColHeaders="0" tabSelected="1" workbookViewId="0">
      <pane ySplit="3" topLeftCell="A4" activePane="bottomLeft" state="frozen"/>
      <selection pane="bottomLeft"/>
    </sheetView>
  </sheetViews>
  <sheetFormatPr defaultRowHeight="15"/>
  <cols>
    <col min="1" max="1" width="9.42578125" customWidth="1"/>
    <col min="2" max="2" width="5" hidden="1" customWidth="1"/>
    <col min="3" max="3" width="15.140625" customWidth="1"/>
    <col min="4" max="4" width="13.7109375" customWidth="1"/>
    <col min="5" max="5" width="16.28515625" customWidth="1"/>
    <col min="6" max="6" width="15.42578125" customWidth="1"/>
    <col min="7" max="7" width="15.7109375" customWidth="1"/>
    <col min="8" max="8" width="23" customWidth="1"/>
    <col min="9" max="10" width="12.140625" customWidth="1"/>
    <col min="11" max="11" width="16.42578125" customWidth="1"/>
    <col min="12" max="12" width="10.140625" customWidth="1"/>
    <col min="13" max="13" width="11.85546875" customWidth="1"/>
    <col min="14" max="14" width="8.85546875" customWidth="1"/>
    <col min="15" max="15" width="13.140625" customWidth="1"/>
    <col min="16" max="16" width="12.42578125" customWidth="1"/>
    <col min="17" max="17" width="9.7109375" customWidth="1"/>
    <col min="18" max="19" width="12.7109375" customWidth="1"/>
    <col min="20" max="20" width="13.28515625" customWidth="1"/>
    <col min="21" max="21" width="13.42578125" customWidth="1"/>
    <col min="22" max="22" width="10.85546875" customWidth="1"/>
    <col min="23" max="23" width="11.5703125" customWidth="1"/>
    <col min="24" max="25" width="15.85546875" customWidth="1"/>
    <col min="26" max="26" width="14.28515625" customWidth="1"/>
    <col min="27" max="27" width="12" customWidth="1"/>
    <col min="28" max="28" width="11.7109375" customWidth="1"/>
    <col min="29" max="29" width="9.140625" customWidth="1"/>
    <col min="30" max="30" width="2.7109375" hidden="1" customWidth="1"/>
    <col min="31" max="31" width="15.140625" customWidth="1"/>
    <col min="32" max="32" width="13.140625" customWidth="1"/>
    <col min="33" max="33" width="16.85546875" customWidth="1"/>
    <col min="34" max="34" width="14.7109375" customWidth="1"/>
    <col min="35" max="35" width="15.140625" customWidth="1"/>
    <col min="36" max="36" width="16.28515625" customWidth="1" collapsed="1"/>
    <col min="37" max="38" width="12.140625" customWidth="1"/>
    <col min="39" max="39" width="16.42578125" customWidth="1"/>
    <col min="40" max="40" width="10.140625" customWidth="1"/>
    <col min="41" max="41" width="11.85546875" customWidth="1"/>
    <col min="42" max="42" width="8.85546875" customWidth="1"/>
    <col min="43" max="43" width="13.140625" customWidth="1"/>
    <col min="44" max="44" width="12.7109375" customWidth="1"/>
    <col min="45" max="45" width="10.28515625" customWidth="1"/>
    <col min="46" max="46" width="13.28515625" customWidth="1"/>
    <col min="47" max="47" width="13.7109375" customWidth="1"/>
    <col min="48" max="48" width="15" customWidth="1"/>
    <col min="49" max="49" width="14.140625" customWidth="1"/>
    <col min="50" max="50" width="15.85546875" customWidth="1"/>
    <col min="51" max="51" width="11.7109375" customWidth="1"/>
    <col min="52" max="52" width="9.140625" customWidth="1" collapsed="1"/>
    <col min="53" max="53" width="17.5703125" customWidth="1"/>
    <col min="54" max="54" width="12" customWidth="1"/>
  </cols>
  <sheetData>
    <row r="2" spans="2:51">
      <c r="B2" s="12" t="s">
        <v>78</v>
      </c>
      <c r="C2" s="158" t="s">
        <v>78</v>
      </c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43"/>
      <c r="AD2" s="158" t="s">
        <v>278</v>
      </c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</row>
    <row r="3" spans="2:51">
      <c r="B3" t="s">
        <v>46</v>
      </c>
      <c r="C3" t="s">
        <v>54</v>
      </c>
      <c r="D3" t="s">
        <v>52</v>
      </c>
      <c r="E3" t="s">
        <v>53</v>
      </c>
      <c r="F3" t="s">
        <v>55</v>
      </c>
      <c r="G3" t="s">
        <v>56</v>
      </c>
      <c r="H3" t="s">
        <v>57</v>
      </c>
      <c r="I3" t="s">
        <v>19</v>
      </c>
      <c r="J3" t="s">
        <v>20</v>
      </c>
      <c r="K3" t="s">
        <v>157</v>
      </c>
      <c r="L3" t="s">
        <v>21</v>
      </c>
      <c r="M3" t="s">
        <v>30</v>
      </c>
      <c r="N3" t="s">
        <v>31</v>
      </c>
      <c r="O3" t="s">
        <v>58</v>
      </c>
      <c r="P3" t="s">
        <v>49</v>
      </c>
      <c r="Q3" t="s">
        <v>45</v>
      </c>
      <c r="R3" t="s">
        <v>22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  <c r="X3" t="s">
        <v>28</v>
      </c>
      <c r="Y3" t="s">
        <v>84</v>
      </c>
      <c r="Z3" t="s">
        <v>82</v>
      </c>
      <c r="AA3" t="s">
        <v>83</v>
      </c>
      <c r="AB3" t="s">
        <v>85</v>
      </c>
      <c r="AD3" t="s">
        <v>46</v>
      </c>
      <c r="AE3" t="s">
        <v>108</v>
      </c>
      <c r="AF3" t="s">
        <v>109</v>
      </c>
      <c r="AG3" t="s">
        <v>110</v>
      </c>
      <c r="AH3" t="s">
        <v>111</v>
      </c>
      <c r="AI3" t="s">
        <v>54</v>
      </c>
      <c r="AJ3" t="s">
        <v>53</v>
      </c>
      <c r="AK3" t="s">
        <v>19</v>
      </c>
      <c r="AL3" t="s">
        <v>20</v>
      </c>
      <c r="AM3" t="s">
        <v>157</v>
      </c>
      <c r="AN3" t="s">
        <v>21</v>
      </c>
      <c r="AO3" t="s">
        <v>30</v>
      </c>
      <c r="AP3" t="s">
        <v>31</v>
      </c>
      <c r="AQ3" t="s">
        <v>58</v>
      </c>
      <c r="AR3" t="s">
        <v>22</v>
      </c>
      <c r="AS3" t="s">
        <v>23</v>
      </c>
      <c r="AT3" t="s">
        <v>24</v>
      </c>
      <c r="AU3" t="s">
        <v>90</v>
      </c>
      <c r="AV3" t="s">
        <v>91</v>
      </c>
      <c r="AW3" t="s">
        <v>92</v>
      </c>
      <c r="AX3" t="s">
        <v>28</v>
      </c>
      <c r="AY3" t="s">
        <v>85</v>
      </c>
    </row>
    <row r="4" spans="2:51" s="8" customFormat="1">
      <c r="B4" s="9">
        <v>12</v>
      </c>
      <c r="C4" s="9" t="s">
        <v>1083</v>
      </c>
      <c r="D4" s="9">
        <v>787</v>
      </c>
      <c r="E4" s="9" t="s">
        <v>1083</v>
      </c>
      <c r="F4" s="9"/>
      <c r="G4" s="9"/>
      <c r="H4" s="9"/>
      <c r="I4" s="107" t="s">
        <v>2581</v>
      </c>
      <c r="J4" s="107" t="s">
        <v>2582</v>
      </c>
      <c r="K4" s="9" t="s">
        <v>2545</v>
      </c>
      <c r="L4" s="9" t="s">
        <v>2578</v>
      </c>
      <c r="M4" s="9" t="s">
        <v>2480</v>
      </c>
      <c r="N4" s="9" t="s">
        <v>626</v>
      </c>
      <c r="O4" s="9" t="s">
        <v>287</v>
      </c>
      <c r="P4" s="9" t="s">
        <v>158</v>
      </c>
      <c r="Q4" s="9" t="s">
        <v>2579</v>
      </c>
      <c r="R4" s="15">
        <v>1.8034870625999999</v>
      </c>
      <c r="S4" s="15">
        <v>1.8031961786999999</v>
      </c>
      <c r="T4" s="14"/>
      <c r="U4" s="15"/>
      <c r="V4" s="15"/>
      <c r="W4" s="9"/>
      <c r="X4" s="15" t="s">
        <v>234</v>
      </c>
      <c r="Y4" s="14">
        <v>117.984304158</v>
      </c>
      <c r="Z4" s="14">
        <v>206351605.28999999</v>
      </c>
      <c r="AA4" s="9">
        <v>211767526.94999999</v>
      </c>
      <c r="AB4" s="9">
        <v>71196</v>
      </c>
      <c r="AD4" s="9">
        <v>1</v>
      </c>
      <c r="AE4" s="9" t="s">
        <v>68</v>
      </c>
      <c r="AF4" s="9">
        <v>9</v>
      </c>
      <c r="AG4" s="9"/>
      <c r="AH4" s="9"/>
      <c r="AI4" s="9" t="s">
        <v>68</v>
      </c>
      <c r="AJ4" s="9" t="s">
        <v>68</v>
      </c>
      <c r="AK4" s="9" t="s">
        <v>2581</v>
      </c>
      <c r="AL4" s="16" t="s">
        <v>2582</v>
      </c>
      <c r="AM4" s="9" t="s">
        <v>2545</v>
      </c>
      <c r="AN4" s="9" t="s">
        <v>2578</v>
      </c>
      <c r="AO4" s="9" t="s">
        <v>2480</v>
      </c>
      <c r="AP4" s="9" t="s">
        <v>410</v>
      </c>
      <c r="AQ4" s="9" t="s">
        <v>287</v>
      </c>
      <c r="AR4" s="9">
        <v>1.01836658E-2</v>
      </c>
      <c r="AS4" s="9"/>
      <c r="AT4" s="9"/>
      <c r="AU4" s="9"/>
      <c r="AV4" s="9">
        <v>1014.1660659834999</v>
      </c>
      <c r="AW4" s="9">
        <v>1014.2693452664</v>
      </c>
      <c r="AX4" s="9"/>
      <c r="AY4" s="9">
        <v>71202</v>
      </c>
    </row>
    <row r="5" spans="2:51">
      <c r="B5" s="9">
        <v>29</v>
      </c>
      <c r="C5" s="9" t="s">
        <v>1083</v>
      </c>
      <c r="D5" s="9">
        <v>787</v>
      </c>
      <c r="E5" s="9" t="s">
        <v>1083</v>
      </c>
      <c r="F5" s="9"/>
      <c r="G5" s="9"/>
      <c r="H5" s="9"/>
      <c r="I5" s="9" t="s">
        <v>2582</v>
      </c>
      <c r="J5" s="9" t="s">
        <v>2583</v>
      </c>
      <c r="K5" s="9" t="s">
        <v>2545</v>
      </c>
      <c r="L5" s="9" t="s">
        <v>2578</v>
      </c>
      <c r="M5" s="9" t="s">
        <v>2480</v>
      </c>
      <c r="N5" s="9" t="s">
        <v>626</v>
      </c>
      <c r="O5" s="9" t="s">
        <v>287</v>
      </c>
      <c r="P5" s="9" t="s">
        <v>158</v>
      </c>
      <c r="Q5" s="9" t="s">
        <v>2579</v>
      </c>
      <c r="R5" s="9">
        <v>1.7797645886</v>
      </c>
      <c r="S5" s="9">
        <v>1.7781753967</v>
      </c>
      <c r="T5" s="9"/>
      <c r="U5" s="9"/>
      <c r="V5" s="9"/>
      <c r="W5" s="9"/>
      <c r="X5" s="9" t="s">
        <v>234</v>
      </c>
      <c r="Y5" s="9">
        <v>120.08227202649999</v>
      </c>
      <c r="Z5" s="9">
        <v>211767526.94999999</v>
      </c>
      <c r="AA5" s="9">
        <v>210807507.59999999</v>
      </c>
      <c r="AB5" s="9">
        <v>71218</v>
      </c>
      <c r="AD5" s="9">
        <v>6</v>
      </c>
      <c r="AE5" s="9" t="s">
        <v>68</v>
      </c>
      <c r="AF5" s="9">
        <v>9</v>
      </c>
      <c r="AG5" s="9"/>
      <c r="AH5" s="9"/>
      <c r="AI5" s="9" t="s">
        <v>68</v>
      </c>
      <c r="AJ5" s="9" t="s">
        <v>68</v>
      </c>
      <c r="AK5" s="9" t="s">
        <v>2582</v>
      </c>
      <c r="AL5" s="9" t="s">
        <v>2583</v>
      </c>
      <c r="AM5" s="9" t="s">
        <v>2545</v>
      </c>
      <c r="AN5" s="9" t="s">
        <v>2578</v>
      </c>
      <c r="AO5" s="9" t="s">
        <v>2480</v>
      </c>
      <c r="AP5" s="9" t="s">
        <v>410</v>
      </c>
      <c r="AQ5" s="9" t="s">
        <v>287</v>
      </c>
      <c r="AR5" s="9">
        <v>9.1975319999999996E-3</v>
      </c>
      <c r="AS5" s="9"/>
      <c r="AT5" s="9"/>
      <c r="AU5" s="9"/>
      <c r="AV5" s="9">
        <v>1014.2693452664</v>
      </c>
      <c r="AW5" s="9">
        <v>1014.3626330138</v>
      </c>
      <c r="AX5" s="9"/>
      <c r="AY5" s="9">
        <v>71224</v>
      </c>
    </row>
    <row r="6" spans="2:51">
      <c r="B6" s="9">
        <v>46</v>
      </c>
      <c r="C6" s="9" t="s">
        <v>1083</v>
      </c>
      <c r="D6" s="9">
        <v>787</v>
      </c>
      <c r="E6" s="9" t="s">
        <v>1083</v>
      </c>
      <c r="F6" s="9"/>
      <c r="G6" s="9"/>
      <c r="H6" s="9"/>
      <c r="I6" s="9" t="s">
        <v>2583</v>
      </c>
      <c r="J6" s="9" t="s">
        <v>2584</v>
      </c>
      <c r="K6" s="9" t="s">
        <v>2545</v>
      </c>
      <c r="L6" s="9" t="s">
        <v>2578</v>
      </c>
      <c r="M6" s="9" t="s">
        <v>2480</v>
      </c>
      <c r="N6" s="9" t="s">
        <v>626</v>
      </c>
      <c r="O6" s="9" t="s">
        <v>287</v>
      </c>
      <c r="P6" s="9" t="s">
        <v>158</v>
      </c>
      <c r="Q6" s="9" t="s">
        <v>2579</v>
      </c>
      <c r="R6" s="9">
        <v>0.72381097059999999</v>
      </c>
      <c r="S6" s="9">
        <v>0.72268477129999997</v>
      </c>
      <c r="T6" s="9"/>
      <c r="U6" s="9"/>
      <c r="V6" s="9"/>
      <c r="W6" s="9"/>
      <c r="X6" s="9" t="s">
        <v>234</v>
      </c>
      <c r="Y6" s="9">
        <v>120.9500883195</v>
      </c>
      <c r="Z6" s="9">
        <v>210807507.59999999</v>
      </c>
      <c r="AA6" s="9">
        <v>217376325.44</v>
      </c>
      <c r="AB6" s="9">
        <v>71240</v>
      </c>
      <c r="AD6" s="9">
        <v>11</v>
      </c>
      <c r="AE6" s="9" t="s">
        <v>68</v>
      </c>
      <c r="AF6" s="9">
        <v>9</v>
      </c>
      <c r="AG6" s="9"/>
      <c r="AH6" s="9"/>
      <c r="AI6" s="9" t="s">
        <v>68</v>
      </c>
      <c r="AJ6" s="9" t="s">
        <v>68</v>
      </c>
      <c r="AK6" s="9" t="s">
        <v>2583</v>
      </c>
      <c r="AL6" s="9" t="s">
        <v>2584</v>
      </c>
      <c r="AM6" s="9" t="s">
        <v>2545</v>
      </c>
      <c r="AN6" s="9" t="s">
        <v>2578</v>
      </c>
      <c r="AO6" s="9" t="s">
        <v>2480</v>
      </c>
      <c r="AP6" s="9" t="s">
        <v>410</v>
      </c>
      <c r="AQ6" s="9" t="s">
        <v>287</v>
      </c>
      <c r="AR6" s="9">
        <v>1.01050841E-2</v>
      </c>
      <c r="AS6" s="9"/>
      <c r="AT6" s="9"/>
      <c r="AU6" s="9"/>
      <c r="AV6" s="9">
        <v>1014.3626330138</v>
      </c>
      <c r="AW6" s="9">
        <v>1014.4651352106</v>
      </c>
      <c r="AX6" s="9"/>
      <c r="AY6" s="9">
        <v>71246</v>
      </c>
    </row>
    <row r="7" spans="2:51">
      <c r="B7" s="9">
        <v>63</v>
      </c>
      <c r="C7" s="9" t="s">
        <v>1083</v>
      </c>
      <c r="D7" s="9">
        <v>787</v>
      </c>
      <c r="E7" s="9" t="s">
        <v>1083</v>
      </c>
      <c r="F7" s="9"/>
      <c r="G7" s="9"/>
      <c r="H7" s="9"/>
      <c r="I7" s="9" t="s">
        <v>2584</v>
      </c>
      <c r="J7" s="9" t="s">
        <v>2585</v>
      </c>
      <c r="K7" s="9" t="s">
        <v>2545</v>
      </c>
      <c r="L7" s="9" t="s">
        <v>2578</v>
      </c>
      <c r="M7" s="9" t="s">
        <v>2480</v>
      </c>
      <c r="N7" s="9" t="s">
        <v>626</v>
      </c>
      <c r="O7" s="9" t="s">
        <v>287</v>
      </c>
      <c r="P7" s="9" t="s">
        <v>158</v>
      </c>
      <c r="Q7" s="9" t="s">
        <v>2579</v>
      </c>
      <c r="R7" s="9">
        <v>1.0554219063000001</v>
      </c>
      <c r="S7" s="9">
        <v>1.0405713452000001</v>
      </c>
      <c r="T7" s="9"/>
      <c r="U7" s="9"/>
      <c r="V7" s="9"/>
      <c r="W7" s="9"/>
      <c r="X7" s="9" t="s">
        <v>234</v>
      </c>
      <c r="Y7" s="9">
        <v>122.2086602805</v>
      </c>
      <c r="Z7" s="9">
        <v>217376325.44</v>
      </c>
      <c r="AA7" s="9">
        <v>246134329.06999999</v>
      </c>
      <c r="AB7" s="9">
        <v>71262</v>
      </c>
      <c r="AD7" s="9">
        <v>16</v>
      </c>
      <c r="AE7" s="9" t="s">
        <v>68</v>
      </c>
      <c r="AF7" s="9">
        <v>9</v>
      </c>
      <c r="AG7" s="9"/>
      <c r="AH7" s="9"/>
      <c r="AI7" s="9" t="s">
        <v>68</v>
      </c>
      <c r="AJ7" s="9" t="s">
        <v>68</v>
      </c>
      <c r="AK7" s="9" t="s">
        <v>2584</v>
      </c>
      <c r="AL7" s="9" t="s">
        <v>2585</v>
      </c>
      <c r="AM7" s="9" t="s">
        <v>2545</v>
      </c>
      <c r="AN7" s="9" t="s">
        <v>2578</v>
      </c>
      <c r="AO7" s="9" t="s">
        <v>2480</v>
      </c>
      <c r="AP7" s="9" t="s">
        <v>410</v>
      </c>
      <c r="AQ7" s="9" t="s">
        <v>287</v>
      </c>
      <c r="AR7" s="9">
        <v>9.7479798000000006E-3</v>
      </c>
      <c r="AS7" s="9"/>
      <c r="AT7" s="9"/>
      <c r="AU7" s="9"/>
      <c r="AV7" s="9">
        <v>1014.4651352106</v>
      </c>
      <c r="AW7" s="9">
        <v>1014.5640250672</v>
      </c>
      <c r="AX7" s="9"/>
      <c r="AY7" s="9">
        <v>71268</v>
      </c>
    </row>
    <row r="8" spans="2:51">
      <c r="B8" s="9">
        <v>80</v>
      </c>
      <c r="C8" s="9" t="s">
        <v>1083</v>
      </c>
      <c r="D8" s="9">
        <v>787</v>
      </c>
      <c r="E8" s="9" t="s">
        <v>1083</v>
      </c>
      <c r="F8" s="9"/>
      <c r="G8" s="9"/>
      <c r="H8" s="9"/>
      <c r="I8" s="9" t="s">
        <v>2585</v>
      </c>
      <c r="J8" s="9" t="s">
        <v>2586</v>
      </c>
      <c r="K8" s="9" t="s">
        <v>2545</v>
      </c>
      <c r="L8" s="9" t="s">
        <v>2578</v>
      </c>
      <c r="M8" s="9" t="s">
        <v>2480</v>
      </c>
      <c r="N8" s="9" t="s">
        <v>626</v>
      </c>
      <c r="O8" s="9" t="s">
        <v>287</v>
      </c>
      <c r="P8" s="9" t="s">
        <v>158</v>
      </c>
      <c r="Q8" s="9" t="s">
        <v>2579</v>
      </c>
      <c r="R8" s="9">
        <v>3.7259711886</v>
      </c>
      <c r="S8" s="9">
        <v>3.7210105947000001</v>
      </c>
      <c r="T8" s="9"/>
      <c r="U8" s="9"/>
      <c r="V8" s="9"/>
      <c r="W8" s="9"/>
      <c r="X8" s="9" t="s">
        <v>234</v>
      </c>
      <c r="Y8" s="9">
        <v>126.7560574771</v>
      </c>
      <c r="Z8" s="9">
        <v>246134329.06999999</v>
      </c>
      <c r="AA8" s="9">
        <v>243317576.81999999</v>
      </c>
      <c r="AB8" s="9">
        <v>71284</v>
      </c>
      <c r="AD8" s="9">
        <v>21</v>
      </c>
      <c r="AE8" s="9" t="s">
        <v>68</v>
      </c>
      <c r="AF8" s="9">
        <v>9</v>
      </c>
      <c r="AG8" s="9"/>
      <c r="AH8" s="9"/>
      <c r="AI8" s="9" t="s">
        <v>68</v>
      </c>
      <c r="AJ8" s="9" t="s">
        <v>68</v>
      </c>
      <c r="AK8" s="9" t="s">
        <v>2585</v>
      </c>
      <c r="AL8" s="16" t="s">
        <v>2586</v>
      </c>
      <c r="AM8" s="9" t="s">
        <v>2545</v>
      </c>
      <c r="AN8" s="9" t="s">
        <v>2578</v>
      </c>
      <c r="AO8" s="9" t="s">
        <v>2480</v>
      </c>
      <c r="AP8" s="9" t="s">
        <v>410</v>
      </c>
      <c r="AQ8" s="9" t="s">
        <v>287</v>
      </c>
      <c r="AR8" s="9">
        <v>1.00833286E-2</v>
      </c>
      <c r="AS8" s="9"/>
      <c r="AT8" s="9"/>
      <c r="AU8" s="9"/>
      <c r="AV8" s="9">
        <v>1014.5640250672</v>
      </c>
      <c r="AW8" s="9">
        <v>1014.6663268918001</v>
      </c>
      <c r="AX8" s="9"/>
      <c r="AY8" s="9">
        <v>71290</v>
      </c>
    </row>
    <row r="9" spans="2:51">
      <c r="B9" s="9">
        <v>97</v>
      </c>
      <c r="C9" s="9" t="s">
        <v>1083</v>
      </c>
      <c r="D9" s="9">
        <v>787</v>
      </c>
      <c r="E9" s="9" t="s">
        <v>1083</v>
      </c>
      <c r="F9" s="9"/>
      <c r="G9" s="9"/>
      <c r="H9" s="9"/>
      <c r="I9" s="9" t="s">
        <v>2586</v>
      </c>
      <c r="J9" s="9" t="s">
        <v>2588</v>
      </c>
      <c r="K9" s="9" t="s">
        <v>2545</v>
      </c>
      <c r="L9" s="9" t="s">
        <v>2578</v>
      </c>
      <c r="M9" s="9" t="s">
        <v>2480</v>
      </c>
      <c r="N9" s="9" t="s">
        <v>626</v>
      </c>
      <c r="O9" s="9" t="s">
        <v>287</v>
      </c>
      <c r="P9" s="9" t="s">
        <v>158</v>
      </c>
      <c r="Q9" s="9" t="s">
        <v>2579</v>
      </c>
      <c r="R9" s="9">
        <v>-0.4039754995</v>
      </c>
      <c r="S9" s="9">
        <v>-0.4039754995</v>
      </c>
      <c r="T9" s="9"/>
      <c r="U9" s="9"/>
      <c r="V9" s="9"/>
      <c r="W9" s="9"/>
      <c r="X9" s="9" t="s">
        <v>234</v>
      </c>
      <c r="Y9" s="9">
        <v>126.24399406080001</v>
      </c>
      <c r="Z9" s="9">
        <v>243317576.81999999</v>
      </c>
      <c r="AA9" s="9">
        <v>250631625.55000001</v>
      </c>
      <c r="AB9" s="9">
        <v>71306</v>
      </c>
      <c r="AD9" s="9">
        <v>26</v>
      </c>
      <c r="AE9" s="9" t="s">
        <v>68</v>
      </c>
      <c r="AF9" s="9">
        <v>9</v>
      </c>
      <c r="AG9" s="9"/>
      <c r="AH9" s="9"/>
      <c r="AI9" s="9" t="s">
        <v>68</v>
      </c>
      <c r="AJ9" s="9" t="s">
        <v>68</v>
      </c>
      <c r="AK9" s="9" t="s">
        <v>2586</v>
      </c>
      <c r="AL9" s="9" t="s">
        <v>2588</v>
      </c>
      <c r="AM9" s="9" t="s">
        <v>2545</v>
      </c>
      <c r="AN9" s="9" t="s">
        <v>2578</v>
      </c>
      <c r="AO9" s="9" t="s">
        <v>2480</v>
      </c>
      <c r="AP9" s="9" t="s">
        <v>410</v>
      </c>
      <c r="AQ9" s="9" t="s">
        <v>287</v>
      </c>
      <c r="AR9" s="9">
        <v>9.7343768999999993E-3</v>
      </c>
      <c r="AS9" s="9"/>
      <c r="AT9" s="9"/>
      <c r="AU9" s="9"/>
      <c r="AV9" s="9">
        <v>1014.6663268918001</v>
      </c>
      <c r="AW9" s="9">
        <v>1014.7650983358</v>
      </c>
      <c r="AX9" s="9"/>
      <c r="AY9" s="9">
        <v>71312</v>
      </c>
    </row>
    <row r="10" spans="2:51">
      <c r="B10" s="9">
        <v>13</v>
      </c>
      <c r="C10" s="9" t="s">
        <v>1085</v>
      </c>
      <c r="D10" s="9">
        <v>788</v>
      </c>
      <c r="E10" s="9" t="s">
        <v>1085</v>
      </c>
      <c r="F10" s="9"/>
      <c r="G10" s="9"/>
      <c r="H10" s="9"/>
      <c r="I10" s="9" t="s">
        <v>2581</v>
      </c>
      <c r="J10" s="9" t="s">
        <v>2582</v>
      </c>
      <c r="K10" s="9" t="s">
        <v>2545</v>
      </c>
      <c r="L10" s="9" t="s">
        <v>2578</v>
      </c>
      <c r="M10" s="9" t="s">
        <v>2480</v>
      </c>
      <c r="N10" s="9" t="s">
        <v>626</v>
      </c>
      <c r="O10" s="9" t="s">
        <v>287</v>
      </c>
      <c r="P10" s="9" t="s">
        <v>158</v>
      </c>
      <c r="Q10" s="9" t="s">
        <v>2579</v>
      </c>
      <c r="R10" s="9">
        <v>2.6747257412000001</v>
      </c>
      <c r="S10" s="9">
        <v>2.6747257412000001</v>
      </c>
      <c r="T10" s="9"/>
      <c r="U10" s="9"/>
      <c r="V10" s="9"/>
      <c r="W10" s="9"/>
      <c r="X10" s="9" t="s">
        <v>234</v>
      </c>
      <c r="Y10" s="9">
        <v>4194.5095969801996</v>
      </c>
      <c r="Z10" s="9">
        <v>101868533.66</v>
      </c>
      <c r="AA10" s="9">
        <v>107649728.93000001</v>
      </c>
      <c r="AB10" s="9">
        <v>71197</v>
      </c>
      <c r="AD10" s="9">
        <v>2</v>
      </c>
      <c r="AE10" s="9" t="s">
        <v>1083</v>
      </c>
      <c r="AF10" s="9">
        <v>269</v>
      </c>
      <c r="AG10" s="9"/>
      <c r="AH10" s="9"/>
      <c r="AI10" s="9" t="s">
        <v>1083</v>
      </c>
      <c r="AJ10" s="9" t="s">
        <v>1083</v>
      </c>
      <c r="AK10" s="9" t="s">
        <v>2581</v>
      </c>
      <c r="AL10" s="9" t="s">
        <v>2582</v>
      </c>
      <c r="AM10" s="9" t="s">
        <v>2545</v>
      </c>
      <c r="AN10" s="9" t="s">
        <v>2578</v>
      </c>
      <c r="AO10" s="9" t="s">
        <v>2480</v>
      </c>
      <c r="AP10" s="9" t="s">
        <v>626</v>
      </c>
      <c r="AQ10" s="9" t="s">
        <v>287</v>
      </c>
      <c r="AR10" s="9">
        <v>1.2491314201999999</v>
      </c>
      <c r="AS10" s="9"/>
      <c r="AT10" s="9"/>
      <c r="AU10" s="9"/>
      <c r="AV10" s="9">
        <v>1148.9209304061001</v>
      </c>
      <c r="AW10" s="9">
        <v>1163.2724627409</v>
      </c>
      <c r="AX10" s="9"/>
      <c r="AY10" s="9">
        <v>71203</v>
      </c>
    </row>
    <row r="11" spans="2:51">
      <c r="B11" s="9">
        <v>30</v>
      </c>
      <c r="C11" s="9" t="s">
        <v>1085</v>
      </c>
      <c r="D11" s="9">
        <v>788</v>
      </c>
      <c r="E11" s="9" t="s">
        <v>1085</v>
      </c>
      <c r="F11" s="9"/>
      <c r="G11" s="9"/>
      <c r="H11" s="9"/>
      <c r="I11" s="9" t="s">
        <v>2582</v>
      </c>
      <c r="J11" s="9" t="s">
        <v>2583</v>
      </c>
      <c r="K11" s="9" t="s">
        <v>2545</v>
      </c>
      <c r="L11" s="9" t="s">
        <v>2578</v>
      </c>
      <c r="M11" s="9" t="s">
        <v>2480</v>
      </c>
      <c r="N11" s="9" t="s">
        <v>626</v>
      </c>
      <c r="O11" s="9" t="s">
        <v>287</v>
      </c>
      <c r="P11" s="9" t="s">
        <v>158</v>
      </c>
      <c r="Q11" s="9" t="s">
        <v>2579</v>
      </c>
      <c r="R11" s="9">
        <v>1.8949529265</v>
      </c>
      <c r="S11" s="9">
        <v>1.8949529265</v>
      </c>
      <c r="T11" s="9"/>
      <c r="U11" s="9"/>
      <c r="V11" s="9"/>
      <c r="W11" s="9"/>
      <c r="X11" s="9" t="s">
        <v>234</v>
      </c>
      <c r="Y11" s="9">
        <v>4273.9935793412997</v>
      </c>
      <c r="Z11" s="9">
        <v>107649728.93000001</v>
      </c>
      <c r="AA11" s="9">
        <v>116771920.48999999</v>
      </c>
      <c r="AB11" s="9">
        <v>71219</v>
      </c>
      <c r="AD11" s="9">
        <v>7</v>
      </c>
      <c r="AE11" s="9" t="s">
        <v>1083</v>
      </c>
      <c r="AF11" s="9">
        <v>269</v>
      </c>
      <c r="AG11" s="9"/>
      <c r="AH11" s="9"/>
      <c r="AI11" s="9" t="s">
        <v>1083</v>
      </c>
      <c r="AJ11" s="9" t="s">
        <v>1083</v>
      </c>
      <c r="AK11" s="9" t="s">
        <v>2582</v>
      </c>
      <c r="AL11" s="9" t="s">
        <v>2583</v>
      </c>
      <c r="AM11" s="9" t="s">
        <v>2545</v>
      </c>
      <c r="AN11" s="9" t="s">
        <v>2578</v>
      </c>
      <c r="AO11" s="9" t="s">
        <v>2480</v>
      </c>
      <c r="AP11" s="9" t="s">
        <v>626</v>
      </c>
      <c r="AQ11" s="9" t="s">
        <v>287</v>
      </c>
      <c r="AR11" s="9">
        <v>1.2985013837999999</v>
      </c>
      <c r="AS11" s="9"/>
      <c r="AT11" s="9"/>
      <c r="AU11" s="9"/>
      <c r="AV11" s="9">
        <v>1163.2724627409</v>
      </c>
      <c r="AW11" s="9">
        <v>1178.3775717670001</v>
      </c>
      <c r="AX11" s="9"/>
      <c r="AY11" s="9">
        <v>71225</v>
      </c>
    </row>
    <row r="12" spans="2:51">
      <c r="B12" s="9">
        <v>47</v>
      </c>
      <c r="C12" s="9" t="s">
        <v>1085</v>
      </c>
      <c r="D12" s="9">
        <v>788</v>
      </c>
      <c r="E12" s="9" t="s">
        <v>1085</v>
      </c>
      <c r="F12" s="9"/>
      <c r="G12" s="9"/>
      <c r="H12" s="9"/>
      <c r="I12" s="9" t="s">
        <v>2583</v>
      </c>
      <c r="J12" s="9" t="s">
        <v>2584</v>
      </c>
      <c r="K12" s="9" t="s">
        <v>2545</v>
      </c>
      <c r="L12" s="9" t="s">
        <v>2578</v>
      </c>
      <c r="M12" s="9" t="s">
        <v>2480</v>
      </c>
      <c r="N12" s="9" t="s">
        <v>626</v>
      </c>
      <c r="O12" s="9" t="s">
        <v>287</v>
      </c>
      <c r="P12" s="9" t="s">
        <v>158</v>
      </c>
      <c r="Q12" s="9" t="s">
        <v>2579</v>
      </c>
      <c r="R12" s="9">
        <v>0.4899729827</v>
      </c>
      <c r="S12" s="9">
        <v>0.4899729827</v>
      </c>
      <c r="T12" s="9"/>
      <c r="U12" s="9"/>
      <c r="V12" s="9"/>
      <c r="W12" s="9"/>
      <c r="X12" s="9" t="s">
        <v>234</v>
      </c>
      <c r="Y12" s="9">
        <v>4294.9349931614997</v>
      </c>
      <c r="Z12" s="9">
        <v>116771920.48999999</v>
      </c>
      <c r="AA12" s="9">
        <v>124386658.84999999</v>
      </c>
      <c r="AB12" s="9">
        <v>71241</v>
      </c>
      <c r="AD12" s="9">
        <v>12</v>
      </c>
      <c r="AE12" s="9" t="s">
        <v>1083</v>
      </c>
      <c r="AF12" s="9">
        <v>269</v>
      </c>
      <c r="AG12" s="9"/>
      <c r="AH12" s="9"/>
      <c r="AI12" s="9" t="s">
        <v>1083</v>
      </c>
      <c r="AJ12" s="9" t="s">
        <v>1083</v>
      </c>
      <c r="AK12" s="9" t="s">
        <v>2583</v>
      </c>
      <c r="AL12" s="9" t="s">
        <v>2584</v>
      </c>
      <c r="AM12" s="9" t="s">
        <v>2545</v>
      </c>
      <c r="AN12" s="9" t="s">
        <v>2578</v>
      </c>
      <c r="AO12" s="9" t="s">
        <v>2480</v>
      </c>
      <c r="AP12" s="9" t="s">
        <v>626</v>
      </c>
      <c r="AQ12" s="9" t="s">
        <v>287</v>
      </c>
      <c r="AR12" s="9">
        <v>-3.0392249999999999E-2</v>
      </c>
      <c r="AS12" s="9"/>
      <c r="AT12" s="9"/>
      <c r="AU12" s="9"/>
      <c r="AV12" s="9">
        <v>1178.3775717670001</v>
      </c>
      <c r="AW12" s="9">
        <v>1178.0194363097</v>
      </c>
      <c r="AX12" s="9"/>
      <c r="AY12" s="9">
        <v>71247</v>
      </c>
    </row>
    <row r="13" spans="2:51">
      <c r="B13" s="9">
        <v>64</v>
      </c>
      <c r="C13" s="9" t="s">
        <v>1085</v>
      </c>
      <c r="D13" s="9">
        <v>788</v>
      </c>
      <c r="E13" s="9" t="s">
        <v>1085</v>
      </c>
      <c r="F13" s="9"/>
      <c r="G13" s="9"/>
      <c r="H13" s="9"/>
      <c r="I13" s="9" t="s">
        <v>2584</v>
      </c>
      <c r="J13" s="9" t="s">
        <v>2585</v>
      </c>
      <c r="K13" s="9" t="s">
        <v>2545</v>
      </c>
      <c r="L13" s="9" t="s">
        <v>2578</v>
      </c>
      <c r="M13" s="9" t="s">
        <v>2480</v>
      </c>
      <c r="N13" s="9" t="s">
        <v>626</v>
      </c>
      <c r="O13" s="9" t="s">
        <v>287</v>
      </c>
      <c r="P13" s="9" t="s">
        <v>158</v>
      </c>
      <c r="Q13" s="9" t="s">
        <v>2579</v>
      </c>
      <c r="R13" s="9">
        <v>1.4346941394999999</v>
      </c>
      <c r="S13" s="9">
        <v>1.4346941394999999</v>
      </c>
      <c r="T13" s="9"/>
      <c r="U13" s="9"/>
      <c r="V13" s="9"/>
      <c r="W13" s="9"/>
      <c r="X13" s="9" t="s">
        <v>234</v>
      </c>
      <c r="Y13" s="9">
        <v>4356.5541738048996</v>
      </c>
      <c r="Z13" s="9">
        <v>124386658.84999999</v>
      </c>
      <c r="AA13" s="9">
        <v>137244583.08000001</v>
      </c>
      <c r="AB13" s="9">
        <v>71263</v>
      </c>
      <c r="AD13" s="9">
        <v>17</v>
      </c>
      <c r="AE13" s="9" t="s">
        <v>1083</v>
      </c>
      <c r="AF13" s="9">
        <v>269</v>
      </c>
      <c r="AG13" s="9"/>
      <c r="AH13" s="9"/>
      <c r="AI13" s="9" t="s">
        <v>1083</v>
      </c>
      <c r="AJ13" s="9" t="s">
        <v>1083</v>
      </c>
      <c r="AK13" s="9" t="s">
        <v>2584</v>
      </c>
      <c r="AL13" s="16" t="s">
        <v>2585</v>
      </c>
      <c r="AM13" s="9" t="s">
        <v>2545</v>
      </c>
      <c r="AN13" s="9" t="s">
        <v>2578</v>
      </c>
      <c r="AO13" s="9" t="s">
        <v>2480</v>
      </c>
      <c r="AP13" s="9" t="s">
        <v>626</v>
      </c>
      <c r="AQ13" s="9" t="s">
        <v>287</v>
      </c>
      <c r="AR13" s="9">
        <v>1.1850247329000001</v>
      </c>
      <c r="AS13" s="9"/>
      <c r="AT13" s="9"/>
      <c r="AU13" s="9"/>
      <c r="AV13" s="9">
        <v>1178.0194363097</v>
      </c>
      <c r="AW13" s="9">
        <v>1191.9792579881</v>
      </c>
      <c r="AX13" s="9"/>
      <c r="AY13" s="9">
        <v>71269</v>
      </c>
    </row>
    <row r="14" spans="2:51">
      <c r="B14" s="9">
        <v>81</v>
      </c>
      <c r="C14" s="9" t="s">
        <v>1085</v>
      </c>
      <c r="D14" s="9">
        <v>788</v>
      </c>
      <c r="E14" s="9" t="s">
        <v>1085</v>
      </c>
      <c r="F14" s="9"/>
      <c r="G14" s="9"/>
      <c r="H14" s="9"/>
      <c r="I14" s="9" t="s">
        <v>2585</v>
      </c>
      <c r="J14" s="9" t="s">
        <v>2586</v>
      </c>
      <c r="K14" s="9" t="s">
        <v>2545</v>
      </c>
      <c r="L14" s="9" t="s">
        <v>2578</v>
      </c>
      <c r="M14" s="9" t="s">
        <v>2480</v>
      </c>
      <c r="N14" s="9" t="s">
        <v>626</v>
      </c>
      <c r="O14" s="9" t="s">
        <v>287</v>
      </c>
      <c r="P14" s="9" t="s">
        <v>158</v>
      </c>
      <c r="Q14" s="9" t="s">
        <v>2579</v>
      </c>
      <c r="R14" s="9">
        <v>-0.78114926250000005</v>
      </c>
      <c r="S14" s="9">
        <v>-0.78114926250000005</v>
      </c>
      <c r="T14" s="9"/>
      <c r="U14" s="9"/>
      <c r="V14" s="9"/>
      <c r="W14" s="9"/>
      <c r="X14" s="9" t="s">
        <v>234</v>
      </c>
      <c r="Y14" s="9">
        <v>4322.5229830074004</v>
      </c>
      <c r="Z14" s="9">
        <v>137244583.08000001</v>
      </c>
      <c r="AA14" s="9">
        <v>139174912.59999999</v>
      </c>
      <c r="AB14" s="9">
        <v>71285</v>
      </c>
      <c r="AD14" s="9">
        <v>22</v>
      </c>
      <c r="AE14" s="9" t="s">
        <v>1083</v>
      </c>
      <c r="AF14" s="9">
        <v>269</v>
      </c>
      <c r="AG14" s="9"/>
      <c r="AH14" s="9"/>
      <c r="AI14" s="9" t="s">
        <v>1083</v>
      </c>
      <c r="AJ14" s="9" t="s">
        <v>1083</v>
      </c>
      <c r="AK14" s="9" t="s">
        <v>2585</v>
      </c>
      <c r="AL14" s="9" t="s">
        <v>2586</v>
      </c>
      <c r="AM14" s="9" t="s">
        <v>2545</v>
      </c>
      <c r="AN14" s="9" t="s">
        <v>2578</v>
      </c>
      <c r="AO14" s="9" t="s">
        <v>2480</v>
      </c>
      <c r="AP14" s="9" t="s">
        <v>626</v>
      </c>
      <c r="AQ14" s="9" t="s">
        <v>287</v>
      </c>
      <c r="AR14" s="9">
        <v>0.69480088630000003</v>
      </c>
      <c r="AS14" s="9"/>
      <c r="AT14" s="9"/>
      <c r="AU14" s="9"/>
      <c r="AV14" s="9">
        <v>1191.9792579881</v>
      </c>
      <c r="AW14" s="9">
        <v>1200.2611404376</v>
      </c>
      <c r="AX14" s="9"/>
      <c r="AY14" s="9">
        <v>71291</v>
      </c>
    </row>
    <row r="15" spans="2:51">
      <c r="B15" s="9">
        <v>98</v>
      </c>
      <c r="C15" s="9" t="s">
        <v>1085</v>
      </c>
      <c r="D15" s="9">
        <v>788</v>
      </c>
      <c r="E15" s="9" t="s">
        <v>1085</v>
      </c>
      <c r="F15" s="9"/>
      <c r="G15" s="9"/>
      <c r="H15" s="9"/>
      <c r="I15" s="9" t="s">
        <v>2586</v>
      </c>
      <c r="J15" s="9" t="s">
        <v>2588</v>
      </c>
      <c r="K15" s="9" t="s">
        <v>2545</v>
      </c>
      <c r="L15" s="9" t="s">
        <v>2578</v>
      </c>
      <c r="M15" s="9" t="s">
        <v>2480</v>
      </c>
      <c r="N15" s="9" t="s">
        <v>626</v>
      </c>
      <c r="O15" s="9" t="s">
        <v>287</v>
      </c>
      <c r="P15" s="9" t="s">
        <v>158</v>
      </c>
      <c r="Q15" s="9" t="s">
        <v>2579</v>
      </c>
      <c r="R15" s="9">
        <v>-0.1679099053</v>
      </c>
      <c r="S15" s="9">
        <v>-0.1679099053</v>
      </c>
      <c r="T15" s="9"/>
      <c r="U15" s="9"/>
      <c r="V15" s="9"/>
      <c r="W15" s="9"/>
      <c r="X15" s="9" t="s">
        <v>234</v>
      </c>
      <c r="Y15" s="9">
        <v>4315.2650387592003</v>
      </c>
      <c r="Z15" s="9">
        <v>139174912.59999999</v>
      </c>
      <c r="AA15" s="9">
        <v>143256644.99000001</v>
      </c>
      <c r="AB15" s="9">
        <v>71307</v>
      </c>
      <c r="AD15" s="9">
        <v>27</v>
      </c>
      <c r="AE15" s="9" t="s">
        <v>1083</v>
      </c>
      <c r="AF15" s="9">
        <v>269</v>
      </c>
      <c r="AG15" s="9"/>
      <c r="AH15" s="9"/>
      <c r="AI15" s="9" t="s">
        <v>1083</v>
      </c>
      <c r="AJ15" s="9" t="s">
        <v>1083</v>
      </c>
      <c r="AK15" s="9" t="s">
        <v>2586</v>
      </c>
      <c r="AL15" s="9" t="s">
        <v>2588</v>
      </c>
      <c r="AM15" s="9" t="s">
        <v>2545</v>
      </c>
      <c r="AN15" s="9" t="s">
        <v>2578</v>
      </c>
      <c r="AO15" s="9" t="s">
        <v>2480</v>
      </c>
      <c r="AP15" s="9" t="s">
        <v>626</v>
      </c>
      <c r="AQ15" s="9" t="s">
        <v>287</v>
      </c>
      <c r="AR15" s="9">
        <v>6.9311485199999995E-2</v>
      </c>
      <c r="AS15" s="9"/>
      <c r="AT15" s="9"/>
      <c r="AU15" s="9"/>
      <c r="AV15" s="9">
        <v>1200.2611404376</v>
      </c>
      <c r="AW15" s="9">
        <v>1201.0930592602001</v>
      </c>
      <c r="AX15" s="9"/>
      <c r="AY15" s="9">
        <v>71313</v>
      </c>
    </row>
    <row r="16" spans="2:51">
      <c r="B16" s="9">
        <v>14</v>
      </c>
      <c r="C16" s="9" t="s">
        <v>1086</v>
      </c>
      <c r="D16" s="9">
        <v>789</v>
      </c>
      <c r="E16" s="9" t="s">
        <v>1086</v>
      </c>
      <c r="F16" s="9"/>
      <c r="G16" s="9"/>
      <c r="H16" s="9"/>
      <c r="I16" s="9" t="s">
        <v>2581</v>
      </c>
      <c r="J16" s="9" t="s">
        <v>2582</v>
      </c>
      <c r="K16" s="9" t="s">
        <v>2545</v>
      </c>
      <c r="L16" s="9" t="s">
        <v>2578</v>
      </c>
      <c r="M16" s="9" t="s">
        <v>2480</v>
      </c>
      <c r="N16" s="9" t="s">
        <v>626</v>
      </c>
      <c r="O16" s="9" t="s">
        <v>287</v>
      </c>
      <c r="P16" s="9" t="s">
        <v>158</v>
      </c>
      <c r="Q16" s="9" t="s">
        <v>2579</v>
      </c>
      <c r="R16" s="9">
        <v>1.2174838482999999</v>
      </c>
      <c r="S16" s="9">
        <v>1.2174838482999999</v>
      </c>
      <c r="T16" s="9"/>
      <c r="U16" s="9"/>
      <c r="V16" s="9"/>
      <c r="W16" s="9"/>
      <c r="X16" s="9" t="s">
        <v>234</v>
      </c>
      <c r="Y16" s="9">
        <v>112.59335516519999</v>
      </c>
      <c r="Z16" s="9">
        <v>244527311.31</v>
      </c>
      <c r="AA16" s="9">
        <v>247504391.83000001</v>
      </c>
      <c r="AB16" s="9">
        <v>71198</v>
      </c>
      <c r="AD16" s="9">
        <v>3</v>
      </c>
      <c r="AE16" s="9" t="s">
        <v>1085</v>
      </c>
      <c r="AF16" s="9">
        <v>270</v>
      </c>
      <c r="AG16" s="9"/>
      <c r="AH16" s="9"/>
      <c r="AI16" s="9" t="s">
        <v>1085</v>
      </c>
      <c r="AJ16" s="9" t="s">
        <v>1085</v>
      </c>
      <c r="AK16" s="9" t="s">
        <v>2581</v>
      </c>
      <c r="AL16" s="9" t="s">
        <v>2582</v>
      </c>
      <c r="AM16" s="9" t="s">
        <v>2545</v>
      </c>
      <c r="AN16" s="9" t="s">
        <v>2578</v>
      </c>
      <c r="AO16" s="9" t="s">
        <v>2480</v>
      </c>
      <c r="AP16" s="9" t="s">
        <v>626</v>
      </c>
      <c r="AQ16" s="9" t="s">
        <v>287</v>
      </c>
      <c r="AR16" s="9">
        <v>1.9376379792</v>
      </c>
      <c r="AS16" s="9"/>
      <c r="AT16" s="9"/>
      <c r="AU16" s="9"/>
      <c r="AV16" s="9">
        <v>1161.4637459547</v>
      </c>
      <c r="AW16" s="9">
        <v>1183.9687086105</v>
      </c>
      <c r="AX16" s="9"/>
      <c r="AY16" s="9">
        <v>71204</v>
      </c>
    </row>
    <row r="17" spans="2:51">
      <c r="B17" s="9">
        <v>31</v>
      </c>
      <c r="C17" s="9" t="s">
        <v>1086</v>
      </c>
      <c r="D17" s="9">
        <v>789</v>
      </c>
      <c r="E17" s="9" t="s">
        <v>1086</v>
      </c>
      <c r="F17" s="9"/>
      <c r="G17" s="9"/>
      <c r="H17" s="9"/>
      <c r="I17" s="9" t="s">
        <v>2582</v>
      </c>
      <c r="J17" s="9" t="s">
        <v>2583</v>
      </c>
      <c r="K17" s="9" t="s">
        <v>2545</v>
      </c>
      <c r="L17" s="9" t="s">
        <v>2578</v>
      </c>
      <c r="M17" s="9" t="s">
        <v>2480</v>
      </c>
      <c r="N17" s="9" t="s">
        <v>626</v>
      </c>
      <c r="O17" s="9" t="s">
        <v>287</v>
      </c>
      <c r="P17" s="9" t="s">
        <v>158</v>
      </c>
      <c r="Q17" s="9" t="s">
        <v>2579</v>
      </c>
      <c r="R17" s="9">
        <v>1.2201921762000001</v>
      </c>
      <c r="S17" s="9">
        <v>1.2201921762000001</v>
      </c>
      <c r="T17" s="9"/>
      <c r="U17" s="9"/>
      <c r="V17" s="9"/>
      <c r="W17" s="9"/>
      <c r="X17" s="9" t="s">
        <v>234</v>
      </c>
      <c r="Y17" s="9">
        <v>113.9672104758</v>
      </c>
      <c r="Z17" s="9">
        <v>247504391.83000001</v>
      </c>
      <c r="AA17" s="9">
        <v>254567435.52000001</v>
      </c>
      <c r="AB17" s="9">
        <v>71220</v>
      </c>
      <c r="AD17" s="9">
        <v>8</v>
      </c>
      <c r="AE17" s="9" t="s">
        <v>1085</v>
      </c>
      <c r="AF17" s="9">
        <v>270</v>
      </c>
      <c r="AG17" s="9"/>
      <c r="AH17" s="9"/>
      <c r="AI17" s="9" t="s">
        <v>1085</v>
      </c>
      <c r="AJ17" s="9" t="s">
        <v>1085</v>
      </c>
      <c r="AK17" s="9" t="s">
        <v>2582</v>
      </c>
      <c r="AL17" s="9" t="s">
        <v>2583</v>
      </c>
      <c r="AM17" s="9" t="s">
        <v>2545</v>
      </c>
      <c r="AN17" s="9" t="s">
        <v>2578</v>
      </c>
      <c r="AO17" s="9" t="s">
        <v>2480</v>
      </c>
      <c r="AP17" s="9" t="s">
        <v>626</v>
      </c>
      <c r="AQ17" s="9" t="s">
        <v>287</v>
      </c>
      <c r="AR17" s="9">
        <v>1.7325625101</v>
      </c>
      <c r="AS17" s="9"/>
      <c r="AT17" s="9"/>
      <c r="AU17" s="9"/>
      <c r="AV17" s="9">
        <v>1183.9687086105</v>
      </c>
      <c r="AW17" s="9">
        <v>1204.4817065868001</v>
      </c>
      <c r="AX17" s="9"/>
      <c r="AY17" s="9">
        <v>71226</v>
      </c>
    </row>
    <row r="18" spans="2:51">
      <c r="B18" s="9">
        <v>48</v>
      </c>
      <c r="C18" s="9" t="s">
        <v>1086</v>
      </c>
      <c r="D18" s="9">
        <v>789</v>
      </c>
      <c r="E18" s="9" t="s">
        <v>1086</v>
      </c>
      <c r="F18" s="9"/>
      <c r="G18" s="9"/>
      <c r="H18" s="9"/>
      <c r="I18" s="9" t="s">
        <v>2583</v>
      </c>
      <c r="J18" s="9" t="s">
        <v>2584</v>
      </c>
      <c r="K18" s="9" t="s">
        <v>2545</v>
      </c>
      <c r="L18" s="9" t="s">
        <v>2578</v>
      </c>
      <c r="M18" s="9" t="s">
        <v>2480</v>
      </c>
      <c r="N18" s="9" t="s">
        <v>626</v>
      </c>
      <c r="O18" s="9" t="s">
        <v>287</v>
      </c>
      <c r="P18" s="9" t="s">
        <v>158</v>
      </c>
      <c r="Q18" s="9" t="s">
        <v>2579</v>
      </c>
      <c r="R18" s="9">
        <v>-0.1060493122</v>
      </c>
      <c r="S18" s="9">
        <v>-0.1060493122</v>
      </c>
      <c r="T18" s="9"/>
      <c r="U18" s="9"/>
      <c r="V18" s="9"/>
      <c r="W18" s="9"/>
      <c r="X18" s="9" t="s">
        <v>234</v>
      </c>
      <c r="Y18" s="9">
        <v>113.846349033</v>
      </c>
      <c r="Z18" s="9">
        <v>254567435.52000001</v>
      </c>
      <c r="AA18" s="9">
        <v>265384019.28999999</v>
      </c>
      <c r="AB18" s="9">
        <v>71242</v>
      </c>
      <c r="AD18" s="9">
        <v>13</v>
      </c>
      <c r="AE18" s="9" t="s">
        <v>1085</v>
      </c>
      <c r="AF18" s="9">
        <v>270</v>
      </c>
      <c r="AG18" s="9"/>
      <c r="AH18" s="9"/>
      <c r="AI18" s="9" t="s">
        <v>1085</v>
      </c>
      <c r="AJ18" s="9" t="s">
        <v>1085</v>
      </c>
      <c r="AK18" s="9" t="s">
        <v>2583</v>
      </c>
      <c r="AL18" s="16" t="s">
        <v>2584</v>
      </c>
      <c r="AM18" s="9" t="s">
        <v>2545</v>
      </c>
      <c r="AN18" s="9" t="s">
        <v>2578</v>
      </c>
      <c r="AO18" s="9" t="s">
        <v>2480</v>
      </c>
      <c r="AP18" s="9" t="s">
        <v>626</v>
      </c>
      <c r="AQ18" s="9" t="s">
        <v>287</v>
      </c>
      <c r="AR18" s="9">
        <v>0.33911574799999999</v>
      </c>
      <c r="AS18" s="9"/>
      <c r="AT18" s="9"/>
      <c r="AU18" s="9"/>
      <c r="AV18" s="9">
        <v>1204.4817065868001</v>
      </c>
      <c r="AW18" s="9">
        <v>1208.5662937355</v>
      </c>
      <c r="AX18" s="9"/>
      <c r="AY18" s="9">
        <v>71248</v>
      </c>
    </row>
    <row r="19" spans="2:51">
      <c r="B19" s="9">
        <v>65</v>
      </c>
      <c r="C19" s="9" t="s">
        <v>1086</v>
      </c>
      <c r="D19" s="9">
        <v>789</v>
      </c>
      <c r="E19" s="9" t="s">
        <v>1086</v>
      </c>
      <c r="F19" s="9"/>
      <c r="G19" s="9"/>
      <c r="H19" s="9"/>
      <c r="I19" s="9" t="s">
        <v>2584</v>
      </c>
      <c r="J19" s="9" t="s">
        <v>2585</v>
      </c>
      <c r="K19" s="9" t="s">
        <v>2545</v>
      </c>
      <c r="L19" s="9" t="s">
        <v>2578</v>
      </c>
      <c r="M19" s="9" t="s">
        <v>2480</v>
      </c>
      <c r="N19" s="9" t="s">
        <v>626</v>
      </c>
      <c r="O19" s="9" t="s">
        <v>287</v>
      </c>
      <c r="P19" s="9" t="s">
        <v>158</v>
      </c>
      <c r="Q19" s="9" t="s">
        <v>2579</v>
      </c>
      <c r="R19" s="9">
        <v>1.2694254152</v>
      </c>
      <c r="S19" s="9">
        <v>1.2694254152</v>
      </c>
      <c r="T19" s="9"/>
      <c r="U19" s="9"/>
      <c r="V19" s="9"/>
      <c r="W19" s="9"/>
      <c r="X19" s="9" t="s">
        <v>234</v>
      </c>
      <c r="Y19" s="9">
        <v>115.2915435219</v>
      </c>
      <c r="Z19" s="9">
        <v>265384019.28999999</v>
      </c>
      <c r="AA19" s="9">
        <v>285891878.55000001</v>
      </c>
      <c r="AB19" s="9">
        <v>71264</v>
      </c>
      <c r="AD19" s="9">
        <v>18</v>
      </c>
      <c r="AE19" s="9" t="s">
        <v>1085</v>
      </c>
      <c r="AF19" s="9">
        <v>270</v>
      </c>
      <c r="AG19" s="9"/>
      <c r="AH19" s="9"/>
      <c r="AI19" s="9" t="s">
        <v>1085</v>
      </c>
      <c r="AJ19" s="9" t="s">
        <v>1085</v>
      </c>
      <c r="AK19" s="9" t="s">
        <v>2584</v>
      </c>
      <c r="AL19" s="9" t="s">
        <v>2585</v>
      </c>
      <c r="AM19" s="9" t="s">
        <v>2545</v>
      </c>
      <c r="AN19" s="9" t="s">
        <v>2578</v>
      </c>
      <c r="AO19" s="9" t="s">
        <v>2480</v>
      </c>
      <c r="AP19" s="9" t="s">
        <v>626</v>
      </c>
      <c r="AQ19" s="9" t="s">
        <v>287</v>
      </c>
      <c r="AR19" s="9">
        <v>1.1156066576999999</v>
      </c>
      <c r="AS19" s="9"/>
      <c r="AT19" s="9"/>
      <c r="AU19" s="9"/>
      <c r="AV19" s="9">
        <v>1208.5662937355</v>
      </c>
      <c r="AW19" s="9">
        <v>1222.0491397711</v>
      </c>
      <c r="AX19" s="9"/>
      <c r="AY19" s="9">
        <v>71270</v>
      </c>
    </row>
    <row r="20" spans="2:51">
      <c r="B20" s="9">
        <v>82</v>
      </c>
      <c r="C20" s="9" t="s">
        <v>1086</v>
      </c>
      <c r="D20" s="9">
        <v>789</v>
      </c>
      <c r="E20" s="9" t="s">
        <v>1086</v>
      </c>
      <c r="F20" s="9"/>
      <c r="G20" s="9"/>
      <c r="H20" s="9"/>
      <c r="I20" s="107" t="s">
        <v>2585</v>
      </c>
      <c r="J20" s="107" t="s">
        <v>2586</v>
      </c>
      <c r="K20" s="9" t="s">
        <v>2545</v>
      </c>
      <c r="L20" s="9" t="s">
        <v>2578</v>
      </c>
      <c r="M20" s="9" t="s">
        <v>2480</v>
      </c>
      <c r="N20" s="9" t="s">
        <v>626</v>
      </c>
      <c r="O20" s="9" t="s">
        <v>287</v>
      </c>
      <c r="P20" s="9" t="s">
        <v>158</v>
      </c>
      <c r="Q20" s="9" t="s">
        <v>2579</v>
      </c>
      <c r="R20" s="15">
        <v>0.7433564721</v>
      </c>
      <c r="S20" s="15">
        <v>0.7433564721</v>
      </c>
      <c r="T20" s="14"/>
      <c r="U20" s="15"/>
      <c r="V20" s="15"/>
      <c r="W20" s="9"/>
      <c r="X20" s="15" t="s">
        <v>234</v>
      </c>
      <c r="Y20" s="14">
        <v>116.1485706725</v>
      </c>
      <c r="Z20" s="14">
        <v>285891878.55000001</v>
      </c>
      <c r="AA20" s="9">
        <v>290020631.17000002</v>
      </c>
      <c r="AB20" s="9">
        <v>71286</v>
      </c>
      <c r="AD20" s="9">
        <v>23</v>
      </c>
      <c r="AE20" s="9" t="s">
        <v>1085</v>
      </c>
      <c r="AF20" s="9">
        <v>270</v>
      </c>
      <c r="AG20" s="9"/>
      <c r="AH20" s="9"/>
      <c r="AI20" s="9" t="s">
        <v>1085</v>
      </c>
      <c r="AJ20" s="9" t="s">
        <v>1085</v>
      </c>
      <c r="AK20" s="9" t="s">
        <v>2585</v>
      </c>
      <c r="AL20" s="9" t="s">
        <v>2586</v>
      </c>
      <c r="AM20" s="9" t="s">
        <v>2545</v>
      </c>
      <c r="AN20" s="9" t="s">
        <v>2578</v>
      </c>
      <c r="AO20" s="9" t="s">
        <v>2480</v>
      </c>
      <c r="AP20" s="9" t="s">
        <v>626</v>
      </c>
      <c r="AQ20" s="9" t="s">
        <v>287</v>
      </c>
      <c r="AR20" s="9">
        <v>-0.17514045919999999</v>
      </c>
      <c r="AS20" s="9"/>
      <c r="AT20" s="9"/>
      <c r="AU20" s="9"/>
      <c r="AV20" s="9">
        <v>1222.0491397711</v>
      </c>
      <c r="AW20" s="9">
        <v>1219.9088372962999</v>
      </c>
      <c r="AX20" s="9"/>
      <c r="AY20" s="9">
        <v>71292</v>
      </c>
    </row>
    <row r="21" spans="2:51">
      <c r="B21" s="9">
        <v>99</v>
      </c>
      <c r="C21" s="9" t="s">
        <v>1086</v>
      </c>
      <c r="D21" s="9">
        <v>789</v>
      </c>
      <c r="E21" s="9" t="s">
        <v>1086</v>
      </c>
      <c r="F21" s="9"/>
      <c r="G21" s="9"/>
      <c r="H21" s="9"/>
      <c r="I21" s="9" t="s">
        <v>2586</v>
      </c>
      <c r="J21" s="9" t="s">
        <v>2588</v>
      </c>
      <c r="K21" s="9" t="s">
        <v>2545</v>
      </c>
      <c r="L21" s="9" t="s">
        <v>2578</v>
      </c>
      <c r="M21" s="9" t="s">
        <v>2480</v>
      </c>
      <c r="N21" s="9" t="s">
        <v>626</v>
      </c>
      <c r="O21" s="9" t="s">
        <v>287</v>
      </c>
      <c r="P21" s="9" t="s">
        <v>158</v>
      </c>
      <c r="Q21" s="9" t="s">
        <v>2579</v>
      </c>
      <c r="R21" s="9">
        <v>0.21366107910000001</v>
      </c>
      <c r="S21" s="9">
        <v>0.21366107910000001</v>
      </c>
      <c r="T21" s="9"/>
      <c r="U21" s="9"/>
      <c r="V21" s="9"/>
      <c r="W21" s="9"/>
      <c r="X21" s="9" t="s">
        <v>234</v>
      </c>
      <c r="Y21" s="9">
        <v>116.396734962</v>
      </c>
      <c r="Z21" s="9">
        <v>290020631.17000002</v>
      </c>
      <c r="AA21" s="9">
        <v>289639312.97000003</v>
      </c>
      <c r="AB21" s="9">
        <v>71308</v>
      </c>
      <c r="AD21" s="9">
        <v>28</v>
      </c>
      <c r="AE21" s="9" t="s">
        <v>1085</v>
      </c>
      <c r="AF21" s="9">
        <v>270</v>
      </c>
      <c r="AG21" s="9"/>
      <c r="AH21" s="9"/>
      <c r="AI21" s="9" t="s">
        <v>1085</v>
      </c>
      <c r="AJ21" s="9" t="s">
        <v>1085</v>
      </c>
      <c r="AK21" s="9" t="s">
        <v>2586</v>
      </c>
      <c r="AL21" s="9" t="s">
        <v>2588</v>
      </c>
      <c r="AM21" s="9" t="s">
        <v>2545</v>
      </c>
      <c r="AN21" s="9" t="s">
        <v>2578</v>
      </c>
      <c r="AO21" s="9" t="s">
        <v>2480</v>
      </c>
      <c r="AP21" s="9" t="s">
        <v>626</v>
      </c>
      <c r="AQ21" s="9" t="s">
        <v>287</v>
      </c>
      <c r="AR21" s="9">
        <v>-0.22365243979999999</v>
      </c>
      <c r="AS21" s="9"/>
      <c r="AT21" s="9"/>
      <c r="AU21" s="9"/>
      <c r="AV21" s="9">
        <v>1219.9088372962999</v>
      </c>
      <c r="AW21" s="9">
        <v>1217.1804814187999</v>
      </c>
      <c r="AX21" s="9"/>
      <c r="AY21" s="9">
        <v>71314</v>
      </c>
    </row>
    <row r="22" spans="2:51">
      <c r="B22" s="9">
        <v>7</v>
      </c>
      <c r="C22" s="9" t="s">
        <v>61</v>
      </c>
      <c r="D22" s="9">
        <v>911</v>
      </c>
      <c r="E22" s="9" t="s">
        <v>61</v>
      </c>
      <c r="F22" s="9"/>
      <c r="G22" s="9"/>
      <c r="H22" s="9"/>
      <c r="I22" s="9" t="s">
        <v>2581</v>
      </c>
      <c r="J22" s="9" t="s">
        <v>2582</v>
      </c>
      <c r="K22" s="9" t="s">
        <v>2545</v>
      </c>
      <c r="L22" s="9" t="s">
        <v>2578</v>
      </c>
      <c r="M22" s="9" t="s">
        <v>2480</v>
      </c>
      <c r="N22" s="9" t="s">
        <v>410</v>
      </c>
      <c r="O22" s="9" t="s">
        <v>287</v>
      </c>
      <c r="P22" s="9" t="s">
        <v>158</v>
      </c>
      <c r="Q22" s="9" t="s">
        <v>2579</v>
      </c>
      <c r="R22" s="9">
        <v>-25.772298086100001</v>
      </c>
      <c r="S22" s="9">
        <v>-25.772298086100001</v>
      </c>
      <c r="T22" s="9"/>
      <c r="U22" s="9">
        <v>-6585613.5</v>
      </c>
      <c r="V22" s="9"/>
      <c r="W22" s="9"/>
      <c r="X22" s="9" t="s">
        <v>234</v>
      </c>
      <c r="Y22" s="9">
        <v>15.2013645195</v>
      </c>
      <c r="Z22" s="9">
        <v>24767353.309999999</v>
      </c>
      <c r="AA22" s="9">
        <v>22181745.690000001</v>
      </c>
      <c r="AB22" s="9">
        <v>71191</v>
      </c>
      <c r="AD22" s="9">
        <v>4</v>
      </c>
      <c r="AE22" s="9" t="s">
        <v>1086</v>
      </c>
      <c r="AF22" s="9">
        <v>271</v>
      </c>
      <c r="AG22" s="9"/>
      <c r="AH22" s="9"/>
      <c r="AI22" s="9" t="s">
        <v>1086</v>
      </c>
      <c r="AJ22" s="9" t="s">
        <v>1086</v>
      </c>
      <c r="AK22" s="9" t="s">
        <v>2581</v>
      </c>
      <c r="AL22" s="9" t="s">
        <v>2582</v>
      </c>
      <c r="AM22" s="9" t="s">
        <v>2545</v>
      </c>
      <c r="AN22" s="9" t="s">
        <v>2578</v>
      </c>
      <c r="AO22" s="9" t="s">
        <v>2480</v>
      </c>
      <c r="AP22" s="9" t="s">
        <v>626</v>
      </c>
      <c r="AQ22" s="9" t="s">
        <v>287</v>
      </c>
      <c r="AR22" s="9">
        <v>1.1740789675000001</v>
      </c>
      <c r="AS22" s="9"/>
      <c r="AT22" s="9"/>
      <c r="AU22" s="9"/>
      <c r="AV22" s="9">
        <v>1081.1783459015001</v>
      </c>
      <c r="AW22" s="9">
        <v>1093.8722334621</v>
      </c>
      <c r="AX22" s="9"/>
      <c r="AY22" s="9">
        <v>71205</v>
      </c>
    </row>
    <row r="23" spans="2:51">
      <c r="B23" s="9">
        <v>24</v>
      </c>
      <c r="C23" s="9" t="s">
        <v>61</v>
      </c>
      <c r="D23" s="9">
        <v>911</v>
      </c>
      <c r="E23" s="9" t="s">
        <v>61</v>
      </c>
      <c r="F23" s="9"/>
      <c r="G23" s="9"/>
      <c r="H23" s="9"/>
      <c r="I23" s="9" t="s">
        <v>2582</v>
      </c>
      <c r="J23" s="9" t="s">
        <v>2583</v>
      </c>
      <c r="K23" s="9" t="s">
        <v>2545</v>
      </c>
      <c r="L23" s="9" t="s">
        <v>2578</v>
      </c>
      <c r="M23" s="9" t="s">
        <v>2480</v>
      </c>
      <c r="N23" s="9" t="s">
        <v>410</v>
      </c>
      <c r="O23" s="9" t="s">
        <v>287</v>
      </c>
      <c r="P23" s="9" t="s">
        <v>158</v>
      </c>
      <c r="Q23" s="9" t="s">
        <v>2579</v>
      </c>
      <c r="R23" s="9">
        <v>-26.386222821899999</v>
      </c>
      <c r="S23" s="9">
        <v>-26.386222821899999</v>
      </c>
      <c r="T23" s="9"/>
      <c r="U23" s="9">
        <v>-6017763.3300000001</v>
      </c>
      <c r="V23" s="9"/>
      <c r="W23" s="9"/>
      <c r="X23" s="9" t="s">
        <v>234</v>
      </c>
      <c r="Y23" s="9">
        <v>11.190298605400001</v>
      </c>
      <c r="Z23" s="9">
        <v>22181745.690000001</v>
      </c>
      <c r="AA23" s="9">
        <v>11163982.359999999</v>
      </c>
      <c r="AB23" s="9">
        <v>71213</v>
      </c>
      <c r="AD23" s="9">
        <v>9</v>
      </c>
      <c r="AE23" s="9" t="s">
        <v>1086</v>
      </c>
      <c r="AF23" s="9">
        <v>271</v>
      </c>
      <c r="AG23" s="9"/>
      <c r="AH23" s="9"/>
      <c r="AI23" s="9" t="s">
        <v>1086</v>
      </c>
      <c r="AJ23" s="9" t="s">
        <v>1086</v>
      </c>
      <c r="AK23" s="9" t="s">
        <v>2582</v>
      </c>
      <c r="AL23" s="16" t="s">
        <v>2583</v>
      </c>
      <c r="AM23" s="9" t="s">
        <v>2545</v>
      </c>
      <c r="AN23" s="9" t="s">
        <v>2578</v>
      </c>
      <c r="AO23" s="9" t="s">
        <v>2480</v>
      </c>
      <c r="AP23" s="9" t="s">
        <v>626</v>
      </c>
      <c r="AQ23" s="9" t="s">
        <v>287</v>
      </c>
      <c r="AR23" s="9">
        <v>1.2047314925999999</v>
      </c>
      <c r="AS23" s="9"/>
      <c r="AT23" s="9"/>
      <c r="AU23" s="9"/>
      <c r="AV23" s="9">
        <v>1093.8722334621</v>
      </c>
      <c r="AW23" s="9">
        <v>1107.050456747</v>
      </c>
      <c r="AX23" s="9"/>
      <c r="AY23" s="9">
        <v>71227</v>
      </c>
    </row>
    <row r="24" spans="2:51">
      <c r="B24" s="9">
        <v>41</v>
      </c>
      <c r="C24" s="9" t="s">
        <v>61</v>
      </c>
      <c r="D24" s="9">
        <v>911</v>
      </c>
      <c r="E24" s="9" t="s">
        <v>61</v>
      </c>
      <c r="F24" s="9"/>
      <c r="G24" s="9"/>
      <c r="H24" s="9"/>
      <c r="I24" s="9" t="s">
        <v>2583</v>
      </c>
      <c r="J24" s="9" t="s">
        <v>2584</v>
      </c>
      <c r="K24" s="9" t="s">
        <v>2545</v>
      </c>
      <c r="L24" s="9" t="s">
        <v>2578</v>
      </c>
      <c r="M24" s="9" t="s">
        <v>2480</v>
      </c>
      <c r="N24" s="9" t="s">
        <v>410</v>
      </c>
      <c r="O24" s="9" t="s">
        <v>287</v>
      </c>
      <c r="P24" s="9" t="s">
        <v>158</v>
      </c>
      <c r="Q24" s="9" t="s">
        <v>2579</v>
      </c>
      <c r="R24" s="9">
        <v>-43.715676578999997</v>
      </c>
      <c r="S24" s="9">
        <v>-43.715676578999997</v>
      </c>
      <c r="T24" s="9"/>
      <c r="U24" s="9">
        <v>7490524.5800000001</v>
      </c>
      <c r="V24" s="9"/>
      <c r="W24" s="9"/>
      <c r="X24" s="9" t="s">
        <v>234</v>
      </c>
      <c r="Y24" s="9">
        <v>6.2983838588000003</v>
      </c>
      <c r="Z24" s="9">
        <v>11163982.359999999</v>
      </c>
      <c r="AA24" s="9">
        <v>16221368.970000001</v>
      </c>
      <c r="AB24" s="9">
        <v>71235</v>
      </c>
      <c r="AD24" s="9">
        <v>14</v>
      </c>
      <c r="AE24" s="9" t="s">
        <v>1086</v>
      </c>
      <c r="AF24" s="9">
        <v>271</v>
      </c>
      <c r="AG24" s="9"/>
      <c r="AH24" s="9"/>
      <c r="AI24" s="9" t="s">
        <v>1086</v>
      </c>
      <c r="AJ24" s="9" t="s">
        <v>1086</v>
      </c>
      <c r="AK24" s="9" t="s">
        <v>2583</v>
      </c>
      <c r="AL24" s="9" t="s">
        <v>2584</v>
      </c>
      <c r="AM24" s="9" t="s">
        <v>2545</v>
      </c>
      <c r="AN24" s="9" t="s">
        <v>2578</v>
      </c>
      <c r="AO24" s="9" t="s">
        <v>2480</v>
      </c>
      <c r="AP24" s="9" t="s">
        <v>626</v>
      </c>
      <c r="AQ24" s="9" t="s">
        <v>287</v>
      </c>
      <c r="AR24" s="9">
        <v>-0.161986144</v>
      </c>
      <c r="AS24" s="9"/>
      <c r="AT24" s="9"/>
      <c r="AU24" s="9"/>
      <c r="AV24" s="9">
        <v>1107.050456747</v>
      </c>
      <c r="AW24" s="9">
        <v>1105.2571884004999</v>
      </c>
      <c r="AX24" s="9"/>
      <c r="AY24" s="9">
        <v>71249</v>
      </c>
    </row>
    <row r="25" spans="2:51">
      <c r="B25" s="9">
        <v>58</v>
      </c>
      <c r="C25" s="9" t="s">
        <v>61</v>
      </c>
      <c r="D25" s="9">
        <v>911</v>
      </c>
      <c r="E25" s="9" t="s">
        <v>61</v>
      </c>
      <c r="F25" s="9"/>
      <c r="G25" s="9"/>
      <c r="H25" s="9"/>
      <c r="I25" s="9" t="s">
        <v>2584</v>
      </c>
      <c r="J25" s="9" t="s">
        <v>2585</v>
      </c>
      <c r="K25" s="9" t="s">
        <v>2545</v>
      </c>
      <c r="L25" s="9" t="s">
        <v>2578</v>
      </c>
      <c r="M25" s="9" t="s">
        <v>2480</v>
      </c>
      <c r="N25" s="9" t="s">
        <v>410</v>
      </c>
      <c r="O25" s="9" t="s">
        <v>287</v>
      </c>
      <c r="P25" s="9" t="s">
        <v>158</v>
      </c>
      <c r="Q25" s="9" t="s">
        <v>2579</v>
      </c>
      <c r="R25" s="9">
        <v>-7.8574404474000001</v>
      </c>
      <c r="S25" s="9">
        <v>-7.8574404474000001</v>
      </c>
      <c r="T25" s="9"/>
      <c r="U25" s="9">
        <v>-1470825.89</v>
      </c>
      <c r="V25" s="9"/>
      <c r="W25" s="9"/>
      <c r="X25" s="9" t="s">
        <v>234</v>
      </c>
      <c r="Y25" s="9">
        <v>5.8034920980000004</v>
      </c>
      <c r="Z25" s="9">
        <v>16221368.970000001</v>
      </c>
      <c r="AA25" s="9">
        <v>17711061.350000001</v>
      </c>
      <c r="AB25" s="9">
        <v>71257</v>
      </c>
      <c r="AD25" s="9">
        <v>19</v>
      </c>
      <c r="AE25" s="9" t="s">
        <v>1086</v>
      </c>
      <c r="AF25" s="9">
        <v>271</v>
      </c>
      <c r="AG25" s="9"/>
      <c r="AH25" s="9"/>
      <c r="AI25" s="9" t="s">
        <v>1086</v>
      </c>
      <c r="AJ25" s="9" t="s">
        <v>1086</v>
      </c>
      <c r="AK25" s="9" t="s">
        <v>2584</v>
      </c>
      <c r="AL25" s="9" t="s">
        <v>2585</v>
      </c>
      <c r="AM25" s="9" t="s">
        <v>2545</v>
      </c>
      <c r="AN25" s="9" t="s">
        <v>2578</v>
      </c>
      <c r="AO25" s="9" t="s">
        <v>2480</v>
      </c>
      <c r="AP25" s="9" t="s">
        <v>626</v>
      </c>
      <c r="AQ25" s="9" t="s">
        <v>287</v>
      </c>
      <c r="AR25" s="9">
        <v>1.1762356575999999</v>
      </c>
      <c r="AS25" s="9"/>
      <c r="AT25" s="9"/>
      <c r="AU25" s="9"/>
      <c r="AV25" s="9">
        <v>1105.2571884004999</v>
      </c>
      <c r="AW25" s="9">
        <v>1118.2576175587001</v>
      </c>
      <c r="AX25" s="9"/>
      <c r="AY25" s="9">
        <v>71271</v>
      </c>
    </row>
    <row r="26" spans="2:51">
      <c r="B26" s="9">
        <v>75</v>
      </c>
      <c r="C26" s="9" t="s">
        <v>61</v>
      </c>
      <c r="D26" s="9">
        <v>911</v>
      </c>
      <c r="E26" s="9" t="s">
        <v>61</v>
      </c>
      <c r="F26" s="9"/>
      <c r="G26" s="9"/>
      <c r="H26" s="9"/>
      <c r="I26" s="9" t="s">
        <v>2585</v>
      </c>
      <c r="J26" s="9" t="s">
        <v>2586</v>
      </c>
      <c r="K26" s="9" t="s">
        <v>2545</v>
      </c>
      <c r="L26" s="9" t="s">
        <v>2578</v>
      </c>
      <c r="M26" s="9" t="s">
        <v>2480</v>
      </c>
      <c r="N26" s="9" t="s">
        <v>410</v>
      </c>
      <c r="O26" s="9" t="s">
        <v>287</v>
      </c>
      <c r="P26" s="9" t="s">
        <v>158</v>
      </c>
      <c r="Q26" s="9" t="s">
        <v>2579</v>
      </c>
      <c r="R26" s="9">
        <v>-26.0138529191</v>
      </c>
      <c r="S26" s="9">
        <v>-26.0138529191</v>
      </c>
      <c r="T26" s="9"/>
      <c r="U26" s="9">
        <v>-4607329.45</v>
      </c>
      <c r="V26" s="9"/>
      <c r="W26" s="9"/>
      <c r="X26" s="9" t="s">
        <v>234</v>
      </c>
      <c r="Y26" s="9">
        <v>4.2937801994000004</v>
      </c>
      <c r="Z26" s="9">
        <v>17711061.350000001</v>
      </c>
      <c r="AA26" s="9">
        <v>13103731.9</v>
      </c>
      <c r="AB26" s="9">
        <v>71279</v>
      </c>
      <c r="AD26" s="9">
        <v>24</v>
      </c>
      <c r="AE26" s="9" t="s">
        <v>1086</v>
      </c>
      <c r="AF26" s="9">
        <v>271</v>
      </c>
      <c r="AG26" s="9"/>
      <c r="AH26" s="9"/>
      <c r="AI26" s="9" t="s">
        <v>1086</v>
      </c>
      <c r="AJ26" s="9" t="s">
        <v>1086</v>
      </c>
      <c r="AK26" s="9" t="s">
        <v>2585</v>
      </c>
      <c r="AL26" s="9" t="s">
        <v>2586</v>
      </c>
      <c r="AM26" s="9" t="s">
        <v>2545</v>
      </c>
      <c r="AN26" s="9" t="s">
        <v>2578</v>
      </c>
      <c r="AO26" s="9" t="s">
        <v>2480</v>
      </c>
      <c r="AP26" s="9" t="s">
        <v>626</v>
      </c>
      <c r="AQ26" s="9" t="s">
        <v>287</v>
      </c>
      <c r="AR26" s="9">
        <v>0.73657202070000005</v>
      </c>
      <c r="AS26" s="9"/>
      <c r="AT26" s="9"/>
      <c r="AU26" s="9"/>
      <c r="AV26" s="9">
        <v>1118.2576175587001</v>
      </c>
      <c r="AW26" s="9">
        <v>1126.4943902888001</v>
      </c>
      <c r="AX26" s="9"/>
      <c r="AY26" s="9">
        <v>71293</v>
      </c>
    </row>
    <row r="27" spans="2:51">
      <c r="B27" s="9">
        <v>92</v>
      </c>
      <c r="C27" s="9" t="s">
        <v>61</v>
      </c>
      <c r="D27" s="9">
        <v>911</v>
      </c>
      <c r="E27" s="9" t="s">
        <v>61</v>
      </c>
      <c r="F27" s="9"/>
      <c r="G27" s="9"/>
      <c r="H27" s="9"/>
      <c r="I27" s="9" t="s">
        <v>2586</v>
      </c>
      <c r="J27" s="9" t="s">
        <v>2588</v>
      </c>
      <c r="K27" s="9" t="s">
        <v>2545</v>
      </c>
      <c r="L27" s="9" t="s">
        <v>2578</v>
      </c>
      <c r="M27" s="9" t="s">
        <v>2480</v>
      </c>
      <c r="N27" s="9" t="s">
        <v>410</v>
      </c>
      <c r="O27" s="9" t="s">
        <v>287</v>
      </c>
      <c r="P27" s="9" t="s">
        <v>158</v>
      </c>
      <c r="Q27" s="9" t="s">
        <v>2579</v>
      </c>
      <c r="R27" s="9">
        <v>9.3900284828</v>
      </c>
      <c r="S27" s="9">
        <v>9.3900284828</v>
      </c>
      <c r="T27" s="9"/>
      <c r="U27" s="9">
        <v>11516328.25</v>
      </c>
      <c r="V27" s="9"/>
      <c r="W27" s="9"/>
      <c r="X27" s="9" t="s">
        <v>234</v>
      </c>
      <c r="Y27" s="9">
        <v>4.6969673830999996</v>
      </c>
      <c r="Z27" s="9">
        <v>13103731.9</v>
      </c>
      <c r="AA27" s="9">
        <v>24414221.949999999</v>
      </c>
      <c r="AB27" s="9">
        <v>71301</v>
      </c>
      <c r="AD27" s="9">
        <v>29</v>
      </c>
      <c r="AE27" s="9" t="s">
        <v>1086</v>
      </c>
      <c r="AF27" s="9">
        <v>271</v>
      </c>
      <c r="AG27" s="9"/>
      <c r="AH27" s="9"/>
      <c r="AI27" s="9" t="s">
        <v>1086</v>
      </c>
      <c r="AJ27" s="9" t="s">
        <v>1086</v>
      </c>
      <c r="AK27" s="9" t="s">
        <v>2586</v>
      </c>
      <c r="AL27" s="9" t="s">
        <v>2588</v>
      </c>
      <c r="AM27" s="9" t="s">
        <v>2545</v>
      </c>
      <c r="AN27" s="9" t="s">
        <v>2578</v>
      </c>
      <c r="AO27" s="9" t="s">
        <v>2480</v>
      </c>
      <c r="AP27" s="9" t="s">
        <v>626</v>
      </c>
      <c r="AQ27" s="9" t="s">
        <v>287</v>
      </c>
      <c r="AR27" s="9">
        <v>4.9253710999999999E-2</v>
      </c>
      <c r="AS27" s="9"/>
      <c r="AT27" s="9"/>
      <c r="AU27" s="9"/>
      <c r="AV27" s="9">
        <v>1126.4943902888001</v>
      </c>
      <c r="AW27" s="9">
        <v>1127.0492305805999</v>
      </c>
      <c r="AX27" s="9"/>
      <c r="AY27" s="9">
        <v>71315</v>
      </c>
    </row>
    <row r="28" spans="2:51">
      <c r="B28" s="9">
        <v>3</v>
      </c>
      <c r="C28" s="9" t="s">
        <v>62</v>
      </c>
      <c r="D28" s="9">
        <v>915</v>
      </c>
      <c r="E28" s="9" t="s">
        <v>62</v>
      </c>
      <c r="F28" s="9"/>
      <c r="G28" s="9"/>
      <c r="H28" s="9"/>
      <c r="I28" s="9" t="s">
        <v>2581</v>
      </c>
      <c r="J28" s="9" t="s">
        <v>2582</v>
      </c>
      <c r="K28" s="9" t="s">
        <v>2545</v>
      </c>
      <c r="L28" s="9" t="s">
        <v>2578</v>
      </c>
      <c r="M28" s="9" t="s">
        <v>2480</v>
      </c>
      <c r="N28" s="9" t="s">
        <v>410</v>
      </c>
      <c r="O28" s="9" t="s">
        <v>287</v>
      </c>
      <c r="P28" s="9" t="s">
        <v>158</v>
      </c>
      <c r="Q28" s="9" t="s">
        <v>2579</v>
      </c>
      <c r="R28" s="9">
        <v>1.7251056599999998E-2</v>
      </c>
      <c r="S28" s="9">
        <v>1.7251056599999998E-2</v>
      </c>
      <c r="T28" s="9"/>
      <c r="U28" s="9"/>
      <c r="V28" s="9"/>
      <c r="W28" s="9"/>
      <c r="X28" s="9" t="s">
        <v>234</v>
      </c>
      <c r="Y28" s="9">
        <v>132.82019843739999</v>
      </c>
      <c r="Z28" s="9">
        <v>31782455.379999999</v>
      </c>
      <c r="AA28" s="9">
        <v>31814939.920000002</v>
      </c>
      <c r="AB28" s="9">
        <v>71187</v>
      </c>
      <c r="AD28" s="9">
        <v>5</v>
      </c>
      <c r="AE28" s="9" t="s">
        <v>248</v>
      </c>
      <c r="AF28" s="9">
        <v>272</v>
      </c>
      <c r="AG28" s="9"/>
      <c r="AH28" s="9"/>
      <c r="AI28" s="9" t="s">
        <v>248</v>
      </c>
      <c r="AJ28" s="9" t="s">
        <v>248</v>
      </c>
      <c r="AK28" s="9" t="s">
        <v>2581</v>
      </c>
      <c r="AL28" s="16" t="s">
        <v>2582</v>
      </c>
      <c r="AM28" s="9" t="s">
        <v>2545</v>
      </c>
      <c r="AN28" s="9" t="s">
        <v>2578</v>
      </c>
      <c r="AO28" s="9" t="s">
        <v>2480</v>
      </c>
      <c r="AP28" s="9" t="s">
        <v>626</v>
      </c>
      <c r="AQ28" s="9" t="s">
        <v>287</v>
      </c>
      <c r="AR28" s="9">
        <v>1.2491314201999999</v>
      </c>
      <c r="AS28" s="9"/>
      <c r="AT28" s="9"/>
      <c r="AU28" s="9"/>
      <c r="AV28" s="9">
        <v>1148.9209304061001</v>
      </c>
      <c r="AW28" s="9">
        <v>1163.2724627409</v>
      </c>
      <c r="AX28" s="9"/>
      <c r="AY28" s="9">
        <v>71206</v>
      </c>
    </row>
    <row r="29" spans="2:51">
      <c r="B29" s="9">
        <v>20</v>
      </c>
      <c r="C29" s="9" t="s">
        <v>62</v>
      </c>
      <c r="D29" s="9">
        <v>915</v>
      </c>
      <c r="E29" s="9" t="s">
        <v>62</v>
      </c>
      <c r="F29" s="9"/>
      <c r="G29" s="9"/>
      <c r="H29" s="9"/>
      <c r="I29" s="9" t="s">
        <v>2582</v>
      </c>
      <c r="J29" s="9" t="s">
        <v>2583</v>
      </c>
      <c r="K29" s="9" t="s">
        <v>2545</v>
      </c>
      <c r="L29" s="9" t="s">
        <v>2578</v>
      </c>
      <c r="M29" s="9" t="s">
        <v>2480</v>
      </c>
      <c r="N29" s="9" t="s">
        <v>410</v>
      </c>
      <c r="O29" s="9" t="s">
        <v>287</v>
      </c>
      <c r="P29" s="9" t="s">
        <v>158</v>
      </c>
      <c r="Q29" s="9" t="s">
        <v>2579</v>
      </c>
      <c r="R29" s="9">
        <v>9.1149999999999998E-7</v>
      </c>
      <c r="S29" s="9">
        <v>9.1149999999999998E-7</v>
      </c>
      <c r="T29" s="9"/>
      <c r="U29" s="9"/>
      <c r="V29" s="9"/>
      <c r="W29" s="9"/>
      <c r="X29" s="9" t="s">
        <v>234</v>
      </c>
      <c r="Y29" s="9">
        <v>132.82019964809999</v>
      </c>
      <c r="Z29" s="9">
        <v>31814939.920000002</v>
      </c>
      <c r="AA29" s="9">
        <v>31814940.210000001</v>
      </c>
      <c r="AB29" s="9">
        <v>71209</v>
      </c>
      <c r="AD29" s="9">
        <v>10</v>
      </c>
      <c r="AE29" s="9" t="s">
        <v>248</v>
      </c>
      <c r="AF29" s="9">
        <v>272</v>
      </c>
      <c r="AG29" s="9"/>
      <c r="AH29" s="9"/>
      <c r="AI29" s="9" t="s">
        <v>248</v>
      </c>
      <c r="AJ29" s="9" t="s">
        <v>248</v>
      </c>
      <c r="AK29" s="9" t="s">
        <v>2582</v>
      </c>
      <c r="AL29" s="9" t="s">
        <v>2583</v>
      </c>
      <c r="AM29" s="9" t="s">
        <v>2545</v>
      </c>
      <c r="AN29" s="9" t="s">
        <v>2578</v>
      </c>
      <c r="AO29" s="9" t="s">
        <v>2480</v>
      </c>
      <c r="AP29" s="9" t="s">
        <v>626</v>
      </c>
      <c r="AQ29" s="9" t="s">
        <v>287</v>
      </c>
      <c r="AR29" s="9">
        <v>1.2985013837999999</v>
      </c>
      <c r="AS29" s="9"/>
      <c r="AT29" s="9"/>
      <c r="AU29" s="9"/>
      <c r="AV29" s="9">
        <v>1163.2724627409</v>
      </c>
      <c r="AW29" s="9">
        <v>1178.3775717670001</v>
      </c>
      <c r="AX29" s="9"/>
      <c r="AY29" s="9">
        <v>71228</v>
      </c>
    </row>
    <row r="30" spans="2:51">
      <c r="B30" s="9">
        <v>37</v>
      </c>
      <c r="C30" s="9" t="s">
        <v>62</v>
      </c>
      <c r="D30" s="9">
        <v>915</v>
      </c>
      <c r="E30" s="9" t="s">
        <v>62</v>
      </c>
      <c r="F30" s="9"/>
      <c r="G30" s="9"/>
      <c r="H30" s="9"/>
      <c r="I30" s="9" t="s">
        <v>2583</v>
      </c>
      <c r="J30" s="9" t="s">
        <v>2584</v>
      </c>
      <c r="K30" s="9" t="s">
        <v>2545</v>
      </c>
      <c r="L30" s="9" t="s">
        <v>2578</v>
      </c>
      <c r="M30" s="9" t="s">
        <v>2480</v>
      </c>
      <c r="N30" s="9" t="s">
        <v>410</v>
      </c>
      <c r="O30" s="9" t="s">
        <v>287</v>
      </c>
      <c r="P30" s="9" t="s">
        <v>158</v>
      </c>
      <c r="Q30" s="9" t="s">
        <v>2579</v>
      </c>
      <c r="R30" s="9">
        <v>-1.6985899999999999E-5</v>
      </c>
      <c r="S30" s="9">
        <v>-1.6985899999999999E-5</v>
      </c>
      <c r="T30" s="9"/>
      <c r="U30" s="9"/>
      <c r="V30" s="9"/>
      <c r="W30" s="9"/>
      <c r="X30" s="9" t="s">
        <v>234</v>
      </c>
      <c r="Y30" s="9">
        <v>132.82017708750001</v>
      </c>
      <c r="Z30" s="9">
        <v>31814940.210000001</v>
      </c>
      <c r="AA30" s="9">
        <v>31787937.510000002</v>
      </c>
      <c r="AB30" s="9">
        <v>71231</v>
      </c>
      <c r="AD30" s="9">
        <v>15</v>
      </c>
      <c r="AE30" s="9" t="s">
        <v>248</v>
      </c>
      <c r="AF30" s="9">
        <v>272</v>
      </c>
      <c r="AG30" s="9"/>
      <c r="AH30" s="9"/>
      <c r="AI30" s="9" t="s">
        <v>248</v>
      </c>
      <c r="AJ30" s="9" t="s">
        <v>248</v>
      </c>
      <c r="AK30" s="9" t="s">
        <v>2583</v>
      </c>
      <c r="AL30" s="9" t="s">
        <v>2584</v>
      </c>
      <c r="AM30" s="9" t="s">
        <v>2545</v>
      </c>
      <c r="AN30" s="9" t="s">
        <v>2578</v>
      </c>
      <c r="AO30" s="9" t="s">
        <v>2480</v>
      </c>
      <c r="AP30" s="9" t="s">
        <v>626</v>
      </c>
      <c r="AQ30" s="9" t="s">
        <v>287</v>
      </c>
      <c r="AR30" s="9">
        <v>-3.0392249999999999E-2</v>
      </c>
      <c r="AS30" s="9"/>
      <c r="AT30" s="9"/>
      <c r="AU30" s="9"/>
      <c r="AV30" s="9">
        <v>1178.3775717670001</v>
      </c>
      <c r="AW30" s="9">
        <v>1178.0194363097</v>
      </c>
      <c r="AX30" s="9"/>
      <c r="AY30" s="9">
        <v>71250</v>
      </c>
    </row>
    <row r="31" spans="2:51">
      <c r="B31" s="9">
        <v>54</v>
      </c>
      <c r="C31" s="9" t="s">
        <v>62</v>
      </c>
      <c r="D31" s="9">
        <v>915</v>
      </c>
      <c r="E31" s="9" t="s">
        <v>62</v>
      </c>
      <c r="F31" s="9"/>
      <c r="G31" s="9"/>
      <c r="H31" s="9"/>
      <c r="I31" s="9" t="s">
        <v>2584</v>
      </c>
      <c r="J31" s="9" t="s">
        <v>2585</v>
      </c>
      <c r="K31" s="9" t="s">
        <v>2545</v>
      </c>
      <c r="L31" s="9" t="s">
        <v>2578</v>
      </c>
      <c r="M31" s="9" t="s">
        <v>2480</v>
      </c>
      <c r="N31" s="9" t="s">
        <v>410</v>
      </c>
      <c r="O31" s="9" t="s">
        <v>287</v>
      </c>
      <c r="P31" s="9" t="s">
        <v>158</v>
      </c>
      <c r="Q31" s="9" t="s">
        <v>2579</v>
      </c>
      <c r="R31" s="9">
        <v>9.9989501000000008E-3</v>
      </c>
      <c r="S31" s="9">
        <v>9.9989501000000008E-3</v>
      </c>
      <c r="T31" s="9"/>
      <c r="U31" s="9"/>
      <c r="V31" s="9"/>
      <c r="W31" s="9"/>
      <c r="X31" s="9" t="s">
        <v>234</v>
      </c>
      <c r="Y31" s="9">
        <v>132.83345771059999</v>
      </c>
      <c r="Z31" s="9">
        <v>31787937.510000002</v>
      </c>
      <c r="AA31" s="9">
        <v>31791019.449999999</v>
      </c>
      <c r="AB31" s="9">
        <v>71253</v>
      </c>
      <c r="AD31" s="9">
        <v>20</v>
      </c>
      <c r="AE31" s="9" t="s">
        <v>248</v>
      </c>
      <c r="AF31" s="9">
        <v>272</v>
      </c>
      <c r="AG31" s="9"/>
      <c r="AH31" s="9"/>
      <c r="AI31" s="9" t="s">
        <v>248</v>
      </c>
      <c r="AJ31" s="9" t="s">
        <v>248</v>
      </c>
      <c r="AK31" s="9" t="s">
        <v>2584</v>
      </c>
      <c r="AL31" s="9" t="s">
        <v>2585</v>
      </c>
      <c r="AM31" s="9" t="s">
        <v>2545</v>
      </c>
      <c r="AN31" s="9" t="s">
        <v>2578</v>
      </c>
      <c r="AO31" s="9" t="s">
        <v>2480</v>
      </c>
      <c r="AP31" s="9" t="s">
        <v>626</v>
      </c>
      <c r="AQ31" s="9" t="s">
        <v>287</v>
      </c>
      <c r="AR31" s="9">
        <v>1.1850247329000001</v>
      </c>
      <c r="AS31" s="9"/>
      <c r="AT31" s="9"/>
      <c r="AU31" s="9"/>
      <c r="AV31" s="9">
        <v>1178.0194363097</v>
      </c>
      <c r="AW31" s="9">
        <v>1191.9792579881</v>
      </c>
      <c r="AX31" s="9"/>
      <c r="AY31" s="9">
        <v>71272</v>
      </c>
    </row>
    <row r="32" spans="2:51">
      <c r="B32" s="9">
        <v>71</v>
      </c>
      <c r="C32" s="9" t="s">
        <v>62</v>
      </c>
      <c r="D32" s="9">
        <v>915</v>
      </c>
      <c r="E32" s="9" t="s">
        <v>62</v>
      </c>
      <c r="F32" s="9"/>
      <c r="G32" s="9"/>
      <c r="H32" s="9"/>
      <c r="I32" s="9" t="s">
        <v>2585</v>
      </c>
      <c r="J32" s="9" t="s">
        <v>2586</v>
      </c>
      <c r="K32" s="9" t="s">
        <v>2545</v>
      </c>
      <c r="L32" s="9" t="s">
        <v>2578</v>
      </c>
      <c r="M32" s="9" t="s">
        <v>2480</v>
      </c>
      <c r="N32" s="9" t="s">
        <v>410</v>
      </c>
      <c r="O32" s="9" t="s">
        <v>287</v>
      </c>
      <c r="P32" s="9" t="s">
        <v>158</v>
      </c>
      <c r="Q32" s="9" t="s">
        <v>2579</v>
      </c>
      <c r="R32" s="9">
        <v>9.9980580000000006E-3</v>
      </c>
      <c r="S32" s="9">
        <v>9.9980580000000006E-3</v>
      </c>
      <c r="T32" s="9"/>
      <c r="U32" s="9"/>
      <c r="V32" s="9"/>
      <c r="W32" s="9"/>
      <c r="X32" s="9" t="s">
        <v>234</v>
      </c>
      <c r="Y32" s="9">
        <v>132.8467384768</v>
      </c>
      <c r="Z32" s="9">
        <v>31791019.449999999</v>
      </c>
      <c r="AA32" s="9">
        <v>31794248.43</v>
      </c>
      <c r="AB32" s="9">
        <v>71275</v>
      </c>
      <c r="AD32" s="9">
        <v>25</v>
      </c>
      <c r="AE32" s="9" t="s">
        <v>248</v>
      </c>
      <c r="AF32" s="9">
        <v>272</v>
      </c>
      <c r="AG32" s="9"/>
      <c r="AH32" s="9"/>
      <c r="AI32" s="9" t="s">
        <v>248</v>
      </c>
      <c r="AJ32" s="9" t="s">
        <v>248</v>
      </c>
      <c r="AK32" s="9" t="s">
        <v>2585</v>
      </c>
      <c r="AL32" s="9" t="s">
        <v>2586</v>
      </c>
      <c r="AM32" s="9" t="s">
        <v>2545</v>
      </c>
      <c r="AN32" s="9" t="s">
        <v>2578</v>
      </c>
      <c r="AO32" s="9" t="s">
        <v>2480</v>
      </c>
      <c r="AP32" s="9" t="s">
        <v>626</v>
      </c>
      <c r="AQ32" s="9" t="s">
        <v>287</v>
      </c>
      <c r="AR32" s="9">
        <v>0.69480088630000003</v>
      </c>
      <c r="AS32" s="9"/>
      <c r="AT32" s="9"/>
      <c r="AU32" s="9"/>
      <c r="AV32" s="9">
        <v>1191.9792579881</v>
      </c>
      <c r="AW32" s="9">
        <v>1200.2611404376</v>
      </c>
      <c r="AX32" s="9"/>
      <c r="AY32" s="9">
        <v>71294</v>
      </c>
    </row>
    <row r="33" spans="2:51">
      <c r="B33" s="9">
        <v>88</v>
      </c>
      <c r="C33" s="9" t="s">
        <v>62</v>
      </c>
      <c r="D33" s="9">
        <v>915</v>
      </c>
      <c r="E33" s="9" t="s">
        <v>62</v>
      </c>
      <c r="F33" s="9"/>
      <c r="G33" s="9"/>
      <c r="H33" s="9"/>
      <c r="I33" s="9" t="s">
        <v>2586</v>
      </c>
      <c r="J33" s="9" t="s">
        <v>2588</v>
      </c>
      <c r="K33" s="9" t="s">
        <v>2545</v>
      </c>
      <c r="L33" s="9" t="s">
        <v>2578</v>
      </c>
      <c r="M33" s="9" t="s">
        <v>2480</v>
      </c>
      <c r="N33" s="9" t="s">
        <v>410</v>
      </c>
      <c r="O33" s="9" t="s">
        <v>287</v>
      </c>
      <c r="P33" s="9" t="s">
        <v>158</v>
      </c>
      <c r="Q33" s="9" t="s">
        <v>2579</v>
      </c>
      <c r="R33" s="9">
        <v>-1.9994185000000001E-2</v>
      </c>
      <c r="S33" s="9">
        <v>-1.9994185000000001E-2</v>
      </c>
      <c r="T33" s="9"/>
      <c r="U33" s="9"/>
      <c r="V33" s="9"/>
      <c r="W33" s="9"/>
      <c r="X33" s="9" t="s">
        <v>234</v>
      </c>
      <c r="Y33" s="9">
        <v>132.82017685420001</v>
      </c>
      <c r="Z33" s="9">
        <v>31794248.43</v>
      </c>
      <c r="AA33" s="9">
        <v>31787937.219999999</v>
      </c>
      <c r="AB33" s="9">
        <v>71297</v>
      </c>
      <c r="AD33" s="9">
        <v>30</v>
      </c>
      <c r="AE33" s="9" t="s">
        <v>248</v>
      </c>
      <c r="AF33" s="9">
        <v>272</v>
      </c>
      <c r="AG33" s="9"/>
      <c r="AH33" s="9"/>
      <c r="AI33" s="9" t="s">
        <v>248</v>
      </c>
      <c r="AJ33" s="9" t="s">
        <v>248</v>
      </c>
      <c r="AK33" s="9" t="s">
        <v>2586</v>
      </c>
      <c r="AL33" s="16" t="s">
        <v>2588</v>
      </c>
      <c r="AM33" s="9" t="s">
        <v>2545</v>
      </c>
      <c r="AN33" s="9" t="s">
        <v>2578</v>
      </c>
      <c r="AO33" s="9" t="s">
        <v>2480</v>
      </c>
      <c r="AP33" s="9" t="s">
        <v>626</v>
      </c>
      <c r="AQ33" s="9" t="s">
        <v>287</v>
      </c>
      <c r="AR33" s="9">
        <v>6.9311485199999995E-2</v>
      </c>
      <c r="AS33" s="9"/>
      <c r="AT33" s="9"/>
      <c r="AU33" s="9"/>
      <c r="AV33" s="9">
        <v>1200.2611404376</v>
      </c>
      <c r="AW33" s="9">
        <v>1201.0930592602001</v>
      </c>
      <c r="AX33" s="9"/>
      <c r="AY33" s="9">
        <v>71316</v>
      </c>
    </row>
    <row r="34" spans="2:51">
      <c r="B34" s="9">
        <v>4</v>
      </c>
      <c r="C34" s="9" t="s">
        <v>63</v>
      </c>
      <c r="D34" s="9">
        <v>923</v>
      </c>
      <c r="E34" s="9" t="s">
        <v>63</v>
      </c>
      <c r="F34" s="9"/>
      <c r="G34" s="9"/>
      <c r="H34" s="9"/>
      <c r="I34" s="9" t="s">
        <v>2581</v>
      </c>
      <c r="J34" s="9" t="s">
        <v>2582</v>
      </c>
      <c r="K34" s="9" t="s">
        <v>2545</v>
      </c>
      <c r="L34" s="9" t="s">
        <v>2578</v>
      </c>
      <c r="M34" s="9" t="s">
        <v>2480</v>
      </c>
      <c r="N34" s="9" t="s">
        <v>410</v>
      </c>
      <c r="O34" s="9" t="s">
        <v>287</v>
      </c>
      <c r="P34" s="9" t="s">
        <v>158</v>
      </c>
      <c r="Q34" s="9" t="s">
        <v>2579</v>
      </c>
      <c r="R34" s="9">
        <v>1.7561093717</v>
      </c>
      <c r="S34" s="9">
        <v>1.7561093717</v>
      </c>
      <c r="T34" s="9"/>
      <c r="U34" s="9">
        <v>1658059.97</v>
      </c>
      <c r="V34" s="9"/>
      <c r="W34" s="9"/>
      <c r="X34" s="9" t="s">
        <v>234</v>
      </c>
      <c r="Y34" s="9">
        <v>188.2106554966</v>
      </c>
      <c r="Z34" s="9">
        <v>94416673.400000006</v>
      </c>
      <c r="AA34" s="9">
        <v>96074733.450000003</v>
      </c>
      <c r="AB34" s="9">
        <v>71188</v>
      </c>
    </row>
    <row r="35" spans="2:51">
      <c r="B35" s="9">
        <v>21</v>
      </c>
      <c r="C35" s="9" t="s">
        <v>63</v>
      </c>
      <c r="D35" s="9">
        <v>923</v>
      </c>
      <c r="E35" s="9" t="s">
        <v>63</v>
      </c>
      <c r="F35" s="9"/>
      <c r="G35" s="9"/>
      <c r="H35" s="9"/>
      <c r="I35" s="9" t="s">
        <v>2582</v>
      </c>
      <c r="J35" s="9" t="s">
        <v>2583</v>
      </c>
      <c r="K35" s="9" t="s">
        <v>2545</v>
      </c>
      <c r="L35" s="9" t="s">
        <v>2578</v>
      </c>
      <c r="M35" s="9" t="s">
        <v>2480</v>
      </c>
      <c r="N35" s="9" t="s">
        <v>410</v>
      </c>
      <c r="O35" s="9" t="s">
        <v>287</v>
      </c>
      <c r="P35" s="9" t="s">
        <v>158</v>
      </c>
      <c r="Q35" s="9" t="s">
        <v>2579</v>
      </c>
      <c r="R35" s="9">
        <v>-0.37919687819999998</v>
      </c>
      <c r="S35" s="9">
        <v>-0.37919687819999998</v>
      </c>
      <c r="T35" s="9"/>
      <c r="U35" s="9">
        <v>-364312.48</v>
      </c>
      <c r="V35" s="9"/>
      <c r="W35" s="9"/>
      <c r="X35" s="9" t="s">
        <v>234</v>
      </c>
      <c r="Y35" s="9">
        <v>187.49696656649999</v>
      </c>
      <c r="Z35" s="9">
        <v>96074733.450000003</v>
      </c>
      <c r="AA35" s="9">
        <v>95710421.060000002</v>
      </c>
      <c r="AB35" s="9">
        <v>71210</v>
      </c>
    </row>
    <row r="36" spans="2:51">
      <c r="B36" s="9">
        <v>38</v>
      </c>
      <c r="C36" s="9" t="s">
        <v>63</v>
      </c>
      <c r="D36" s="9">
        <v>923</v>
      </c>
      <c r="E36" s="9" t="s">
        <v>63</v>
      </c>
      <c r="F36" s="9"/>
      <c r="G36" s="9"/>
      <c r="H36" s="9"/>
      <c r="I36" s="9" t="s">
        <v>2583</v>
      </c>
      <c r="J36" s="9" t="s">
        <v>2584</v>
      </c>
      <c r="K36" s="9" t="s">
        <v>2545</v>
      </c>
      <c r="L36" s="9" t="s">
        <v>2578</v>
      </c>
      <c r="M36" s="9" t="s">
        <v>2480</v>
      </c>
      <c r="N36" s="9" t="s">
        <v>410</v>
      </c>
      <c r="O36" s="9" t="s">
        <v>287</v>
      </c>
      <c r="P36" s="9" t="s">
        <v>158</v>
      </c>
      <c r="Q36" s="9" t="s">
        <v>2579</v>
      </c>
      <c r="R36" s="9">
        <v>0.4075291633</v>
      </c>
      <c r="S36" s="9">
        <v>0.4075291633</v>
      </c>
      <c r="T36" s="9"/>
      <c r="U36" s="9">
        <v>390050.91</v>
      </c>
      <c r="V36" s="9"/>
      <c r="W36" s="9"/>
      <c r="X36" s="9" t="s">
        <v>234</v>
      </c>
      <c r="Y36" s="9">
        <v>188.26107138559999</v>
      </c>
      <c r="Z36" s="9">
        <v>95710421.060000002</v>
      </c>
      <c r="AA36" s="9">
        <v>96100471.969999999</v>
      </c>
      <c r="AB36" s="9">
        <v>71232</v>
      </c>
    </row>
    <row r="37" spans="2:51">
      <c r="B37" s="9">
        <v>55</v>
      </c>
      <c r="C37" s="9" t="s">
        <v>63</v>
      </c>
      <c r="D37" s="9">
        <v>923</v>
      </c>
      <c r="E37" s="9" t="s">
        <v>63</v>
      </c>
      <c r="F37" s="9"/>
      <c r="G37" s="9"/>
      <c r="H37" s="9"/>
      <c r="I37" s="107" t="s">
        <v>2584</v>
      </c>
      <c r="J37" s="107" t="s">
        <v>2585</v>
      </c>
      <c r="K37" s="9" t="s">
        <v>2545</v>
      </c>
      <c r="L37" s="9" t="s">
        <v>2578</v>
      </c>
      <c r="M37" s="9" t="s">
        <v>2480</v>
      </c>
      <c r="N37" s="9" t="s">
        <v>410</v>
      </c>
      <c r="O37" s="9" t="s">
        <v>287</v>
      </c>
      <c r="P37" s="9" t="s">
        <v>158</v>
      </c>
      <c r="Q37" s="9" t="s">
        <v>2579</v>
      </c>
      <c r="R37" s="15">
        <v>0.32337536290000002</v>
      </c>
      <c r="S37" s="15">
        <v>0.32337536290000002</v>
      </c>
      <c r="T37" s="14"/>
      <c r="U37" s="15">
        <v>310791.07</v>
      </c>
      <c r="V37" s="15"/>
      <c r="W37" s="9"/>
      <c r="X37" s="15" t="s">
        <v>234</v>
      </c>
      <c r="Y37" s="14">
        <v>188.86986130849999</v>
      </c>
      <c r="Z37" s="14">
        <v>96100471.969999999</v>
      </c>
      <c r="AA37" s="9">
        <v>96411237.219999999</v>
      </c>
      <c r="AB37" s="9">
        <v>71254</v>
      </c>
    </row>
    <row r="38" spans="2:51">
      <c r="B38" s="9">
        <v>72</v>
      </c>
      <c r="C38" s="9" t="s">
        <v>63</v>
      </c>
      <c r="D38" s="9">
        <v>923</v>
      </c>
      <c r="E38" s="9" t="s">
        <v>63</v>
      </c>
      <c r="F38" s="9"/>
      <c r="G38" s="9"/>
      <c r="H38" s="9"/>
      <c r="I38" s="9" t="s">
        <v>2585</v>
      </c>
      <c r="J38" s="9" t="s">
        <v>2586</v>
      </c>
      <c r="K38" s="9" t="s">
        <v>2545</v>
      </c>
      <c r="L38" s="9" t="s">
        <v>2578</v>
      </c>
      <c r="M38" s="9" t="s">
        <v>2480</v>
      </c>
      <c r="N38" s="9" t="s">
        <v>410</v>
      </c>
      <c r="O38" s="9" t="s">
        <v>287</v>
      </c>
      <c r="P38" s="9" t="s">
        <v>158</v>
      </c>
      <c r="Q38" s="9" t="s">
        <v>2579</v>
      </c>
      <c r="R38" s="9">
        <v>4.9351730000999998</v>
      </c>
      <c r="S38" s="9">
        <v>4.9351730000999998</v>
      </c>
      <c r="T38" s="9"/>
      <c r="U38" s="9">
        <v>4476142.2</v>
      </c>
      <c r="V38" s="9"/>
      <c r="W38" s="9"/>
      <c r="X38" s="9" t="s">
        <v>234</v>
      </c>
      <c r="Y38" s="9">
        <v>198.19091570910001</v>
      </c>
      <c r="Z38" s="9">
        <v>96411237.219999999</v>
      </c>
      <c r="AA38" s="9">
        <v>52487434.18</v>
      </c>
      <c r="AB38" s="9">
        <v>71276</v>
      </c>
    </row>
    <row r="39" spans="2:51">
      <c r="B39" s="9">
        <v>89</v>
      </c>
      <c r="C39" s="9" t="s">
        <v>63</v>
      </c>
      <c r="D39" s="9">
        <v>923</v>
      </c>
      <c r="E39" s="9" t="s">
        <v>63</v>
      </c>
      <c r="F39" s="9"/>
      <c r="G39" s="9"/>
      <c r="H39" s="9"/>
      <c r="I39" s="9" t="s">
        <v>2586</v>
      </c>
      <c r="J39" s="9" t="s">
        <v>2588</v>
      </c>
      <c r="K39" s="9" t="s">
        <v>2545</v>
      </c>
      <c r="L39" s="9" t="s">
        <v>2578</v>
      </c>
      <c r="M39" s="9" t="s">
        <v>2480</v>
      </c>
      <c r="N39" s="9" t="s">
        <v>410</v>
      </c>
      <c r="O39" s="9" t="s">
        <v>287</v>
      </c>
      <c r="P39" s="9" t="s">
        <v>158</v>
      </c>
      <c r="Q39" s="9" t="s">
        <v>2579</v>
      </c>
      <c r="R39" s="9">
        <v>0.3459192526</v>
      </c>
      <c r="S39" s="9">
        <v>0.3459192526</v>
      </c>
      <c r="T39" s="9"/>
      <c r="U39" s="9">
        <v>181564.14</v>
      </c>
      <c r="V39" s="9"/>
      <c r="W39" s="9"/>
      <c r="X39" s="9" t="s">
        <v>234</v>
      </c>
      <c r="Y39" s="9">
        <v>198.8764962434</v>
      </c>
      <c r="Z39" s="9">
        <v>52487434.18</v>
      </c>
      <c r="AA39" s="9">
        <v>52668998.32</v>
      </c>
      <c r="AB39" s="9">
        <v>71298</v>
      </c>
    </row>
    <row r="40" spans="2:51">
      <c r="B40" s="9">
        <v>11</v>
      </c>
      <c r="C40" s="9" t="s">
        <v>64</v>
      </c>
      <c r="D40" s="9">
        <v>924</v>
      </c>
      <c r="E40" s="9" t="s">
        <v>64</v>
      </c>
      <c r="F40" s="9"/>
      <c r="G40" s="9"/>
      <c r="H40" s="9"/>
      <c r="I40" s="9" t="s">
        <v>2581</v>
      </c>
      <c r="J40" s="9" t="s">
        <v>2582</v>
      </c>
      <c r="K40" s="9" t="s">
        <v>2545</v>
      </c>
      <c r="L40" s="9" t="s">
        <v>2578</v>
      </c>
      <c r="M40" s="9" t="s">
        <v>2480</v>
      </c>
      <c r="N40" s="9" t="s">
        <v>410</v>
      </c>
      <c r="O40" s="9" t="s">
        <v>287</v>
      </c>
      <c r="P40" s="9" t="s">
        <v>158</v>
      </c>
      <c r="Q40" s="9" t="s">
        <v>2579</v>
      </c>
      <c r="R40" s="9">
        <v>-1.0232254519999999</v>
      </c>
      <c r="S40" s="9">
        <v>-1.0232254519999999</v>
      </c>
      <c r="T40" s="9"/>
      <c r="U40" s="9">
        <v>-1920035.72</v>
      </c>
      <c r="V40" s="9"/>
      <c r="W40" s="9"/>
      <c r="X40" s="9" t="s">
        <v>234</v>
      </c>
      <c r="Y40" s="9">
        <v>133.53177515269999</v>
      </c>
      <c r="Z40" s="9">
        <v>187678452.12</v>
      </c>
      <c r="AA40" s="9">
        <v>185758078.43000001</v>
      </c>
      <c r="AB40" s="9">
        <v>71195</v>
      </c>
    </row>
    <row r="41" spans="2:51">
      <c r="B41" s="9">
        <v>28</v>
      </c>
      <c r="C41" s="9" t="s">
        <v>64</v>
      </c>
      <c r="D41" s="9">
        <v>924</v>
      </c>
      <c r="E41" s="9" t="s">
        <v>64</v>
      </c>
      <c r="F41" s="9"/>
      <c r="G41" s="9"/>
      <c r="H41" s="9"/>
      <c r="I41" s="9" t="s">
        <v>2582</v>
      </c>
      <c r="J41" s="9" t="s">
        <v>2583</v>
      </c>
      <c r="K41" s="9" t="s">
        <v>2545</v>
      </c>
      <c r="L41" s="9" t="s">
        <v>2578</v>
      </c>
      <c r="M41" s="9" t="s">
        <v>2480</v>
      </c>
      <c r="N41" s="9" t="s">
        <v>410</v>
      </c>
      <c r="O41" s="9" t="s">
        <v>287</v>
      </c>
      <c r="P41" s="9" t="s">
        <v>158</v>
      </c>
      <c r="Q41" s="9" t="s">
        <v>2579</v>
      </c>
      <c r="R41" s="9">
        <v>2.8157394229000001</v>
      </c>
      <c r="S41" s="9">
        <v>2.8157394229000001</v>
      </c>
      <c r="T41" s="9"/>
      <c r="U41" s="9">
        <v>5020362.55</v>
      </c>
      <c r="V41" s="9"/>
      <c r="W41" s="9"/>
      <c r="X41" s="9" t="s">
        <v>234</v>
      </c>
      <c r="Y41" s="9">
        <v>137.2916819877</v>
      </c>
      <c r="Z41" s="9">
        <v>185758078.43000001</v>
      </c>
      <c r="AA41" s="9">
        <v>165454648</v>
      </c>
      <c r="AB41" s="9">
        <v>71217</v>
      </c>
    </row>
    <row r="42" spans="2:51">
      <c r="B42" s="9">
        <v>45</v>
      </c>
      <c r="C42" s="9" t="s">
        <v>64</v>
      </c>
      <c r="D42" s="9">
        <v>924</v>
      </c>
      <c r="E42" s="9" t="s">
        <v>64</v>
      </c>
      <c r="F42" s="9"/>
      <c r="G42" s="9"/>
      <c r="H42" s="9"/>
      <c r="I42" s="9" t="s">
        <v>2583</v>
      </c>
      <c r="J42" s="9" t="s">
        <v>2584</v>
      </c>
      <c r="K42" s="9" t="s">
        <v>2545</v>
      </c>
      <c r="L42" s="9" t="s">
        <v>2578</v>
      </c>
      <c r="M42" s="9" t="s">
        <v>2480</v>
      </c>
      <c r="N42" s="9" t="s">
        <v>410</v>
      </c>
      <c r="O42" s="9" t="s">
        <v>287</v>
      </c>
      <c r="P42" s="9" t="s">
        <v>158</v>
      </c>
      <c r="Q42" s="9" t="s">
        <v>2579</v>
      </c>
      <c r="R42" s="9">
        <v>-111.264506864</v>
      </c>
      <c r="S42" s="9">
        <v>-111.264506864</v>
      </c>
      <c r="T42" s="9"/>
      <c r="U42" s="9">
        <v>1298224.98</v>
      </c>
      <c r="V42" s="9"/>
      <c r="W42" s="9"/>
      <c r="X42" s="9" t="s">
        <v>234</v>
      </c>
      <c r="Y42" s="9">
        <v>-15.4652309412</v>
      </c>
      <c r="Z42" s="9">
        <v>165454648</v>
      </c>
      <c r="AA42" s="9">
        <v>99863.67</v>
      </c>
      <c r="AB42" s="9">
        <v>71239</v>
      </c>
    </row>
    <row r="43" spans="2:51">
      <c r="B43" s="9">
        <v>62</v>
      </c>
      <c r="C43" s="9" t="s">
        <v>64</v>
      </c>
      <c r="D43" s="9">
        <v>924</v>
      </c>
      <c r="E43" s="9" t="s">
        <v>64</v>
      </c>
      <c r="F43" s="9"/>
      <c r="G43" s="9"/>
      <c r="H43" s="9"/>
      <c r="I43" s="9" t="s">
        <v>2584</v>
      </c>
      <c r="J43" s="9" t="s">
        <v>2585</v>
      </c>
      <c r="K43" s="9" t="s">
        <v>2545</v>
      </c>
      <c r="L43" s="9" t="s">
        <v>2578</v>
      </c>
      <c r="M43" s="9" t="s">
        <v>2480</v>
      </c>
      <c r="N43" s="9" t="s">
        <v>410</v>
      </c>
      <c r="O43" s="9" t="s">
        <v>287</v>
      </c>
      <c r="P43" s="9" t="s">
        <v>158</v>
      </c>
      <c r="Q43" s="9" t="s">
        <v>2579</v>
      </c>
      <c r="R43" s="9">
        <v>-2.5175291745999999</v>
      </c>
      <c r="S43" s="9">
        <v>-2.5175291745999999</v>
      </c>
      <c r="T43" s="9"/>
      <c r="U43" s="9">
        <v>-2513.64</v>
      </c>
      <c r="V43" s="9"/>
      <c r="W43" s="9"/>
      <c r="X43" s="9" t="s">
        <v>234</v>
      </c>
      <c r="Y43" s="9">
        <v>-15.0758892403</v>
      </c>
      <c r="Z43" s="9">
        <v>99863.67</v>
      </c>
      <c r="AA43" s="9">
        <v>97284.82</v>
      </c>
      <c r="AB43" s="9">
        <v>71261</v>
      </c>
    </row>
    <row r="44" spans="2:51">
      <c r="B44" s="9">
        <v>79</v>
      </c>
      <c r="C44" s="9" t="s">
        <v>64</v>
      </c>
      <c r="D44" s="9">
        <v>924</v>
      </c>
      <c r="E44" s="9" t="s">
        <v>64</v>
      </c>
      <c r="F44" s="9"/>
      <c r="G44" s="9"/>
      <c r="H44" s="9"/>
      <c r="I44" s="9" t="s">
        <v>2585</v>
      </c>
      <c r="J44" s="9" t="s">
        <v>2586</v>
      </c>
      <c r="K44" s="9" t="s">
        <v>2545</v>
      </c>
      <c r="L44" s="9" t="s">
        <v>2578</v>
      </c>
      <c r="M44" s="9" t="s">
        <v>2480</v>
      </c>
      <c r="N44" s="9" t="s">
        <v>410</v>
      </c>
      <c r="O44" s="9" t="s">
        <v>287</v>
      </c>
      <c r="P44" s="9" t="s">
        <v>158</v>
      </c>
      <c r="Q44" s="9" t="s">
        <v>2579</v>
      </c>
      <c r="R44" s="9">
        <v>0.52993560500000003</v>
      </c>
      <c r="S44" s="9">
        <v>0.52993560500000003</v>
      </c>
      <c r="T44" s="9"/>
      <c r="U44" s="9">
        <v>340.95</v>
      </c>
      <c r="V44" s="9"/>
      <c r="W44" s="9"/>
      <c r="X44" s="9" t="s">
        <v>234</v>
      </c>
      <c r="Y44" s="9">
        <v>-15.155781745200001</v>
      </c>
      <c r="Z44" s="9">
        <v>97284.82</v>
      </c>
      <c r="AA44" s="9">
        <v>27417.52</v>
      </c>
      <c r="AB44" s="9">
        <v>71283</v>
      </c>
    </row>
    <row r="45" spans="2:51">
      <c r="B45" s="9">
        <v>96</v>
      </c>
      <c r="C45" s="9" t="s">
        <v>64</v>
      </c>
      <c r="D45" s="9">
        <v>924</v>
      </c>
      <c r="E45" s="9" t="s">
        <v>64</v>
      </c>
      <c r="F45" s="9"/>
      <c r="G45" s="9"/>
      <c r="H45" s="9"/>
      <c r="I45" s="9" t="s">
        <v>2586</v>
      </c>
      <c r="J45" s="9" t="s">
        <v>2588</v>
      </c>
      <c r="K45" s="9" t="s">
        <v>2545</v>
      </c>
      <c r="L45" s="9" t="s">
        <v>2578</v>
      </c>
      <c r="M45" s="9" t="s">
        <v>2480</v>
      </c>
      <c r="N45" s="9" t="s">
        <v>410</v>
      </c>
      <c r="O45" s="9" t="s">
        <v>287</v>
      </c>
      <c r="P45" s="9" t="s">
        <v>158</v>
      </c>
      <c r="Q45" s="9" t="s">
        <v>2579</v>
      </c>
      <c r="R45" s="9">
        <v>-6.6871699300000004E-2</v>
      </c>
      <c r="S45" s="9">
        <v>-6.6871699300000004E-2</v>
      </c>
      <c r="T45" s="9"/>
      <c r="U45" s="9">
        <v>-17.399999999999999</v>
      </c>
      <c r="V45" s="9"/>
      <c r="W45" s="9"/>
      <c r="X45" s="9" t="s">
        <v>234</v>
      </c>
      <c r="Y45" s="9">
        <v>-15.145646816399999</v>
      </c>
      <c r="Z45" s="9">
        <v>27417.52</v>
      </c>
      <c r="AA45" s="9">
        <v>26453.49</v>
      </c>
      <c r="AB45" s="9">
        <v>71305</v>
      </c>
    </row>
    <row r="46" spans="2:51">
      <c r="B46" s="9">
        <v>1</v>
      </c>
      <c r="C46" s="9" t="s">
        <v>65</v>
      </c>
      <c r="D46" s="9">
        <v>925</v>
      </c>
      <c r="E46" s="9" t="s">
        <v>65</v>
      </c>
      <c r="F46" s="9"/>
      <c r="G46" s="9"/>
      <c r="H46" s="9"/>
      <c r="I46" s="9" t="s">
        <v>2581</v>
      </c>
      <c r="J46" s="9" t="s">
        <v>2582</v>
      </c>
      <c r="K46" s="9" t="s">
        <v>2545</v>
      </c>
      <c r="L46" s="9" t="s">
        <v>2578</v>
      </c>
      <c r="M46" s="9" t="s">
        <v>2480</v>
      </c>
      <c r="N46" s="9" t="s">
        <v>410</v>
      </c>
      <c r="O46" s="9" t="s">
        <v>287</v>
      </c>
      <c r="P46" s="9" t="s">
        <v>158</v>
      </c>
      <c r="Q46" s="9" t="s">
        <v>2579</v>
      </c>
      <c r="R46" s="9">
        <v>-2.0779138304</v>
      </c>
      <c r="S46" s="9">
        <v>-2.0779138304</v>
      </c>
      <c r="T46" s="9"/>
      <c r="U46" s="9"/>
      <c r="V46" s="9"/>
      <c r="W46" s="9"/>
      <c r="X46" s="9" t="s">
        <v>234</v>
      </c>
      <c r="Y46" s="9">
        <v>262.64076465009998</v>
      </c>
      <c r="Z46" s="9">
        <v>445398764.11000001</v>
      </c>
      <c r="AA46" s="9">
        <v>436143761.58999997</v>
      </c>
      <c r="AB46" s="9">
        <v>71185</v>
      </c>
    </row>
    <row r="47" spans="2:51">
      <c r="B47" s="9">
        <v>18</v>
      </c>
      <c r="C47" s="9" t="s">
        <v>65</v>
      </c>
      <c r="D47" s="9">
        <v>925</v>
      </c>
      <c r="E47" s="9" t="s">
        <v>65</v>
      </c>
      <c r="F47" s="9"/>
      <c r="G47" s="9"/>
      <c r="H47" s="9"/>
      <c r="I47" s="9" t="s">
        <v>2582</v>
      </c>
      <c r="J47" s="9" t="s">
        <v>2583</v>
      </c>
      <c r="K47" s="9" t="s">
        <v>2545</v>
      </c>
      <c r="L47" s="9" t="s">
        <v>2578</v>
      </c>
      <c r="M47" s="9" t="s">
        <v>2480</v>
      </c>
      <c r="N47" s="9" t="s">
        <v>410</v>
      </c>
      <c r="O47" s="9" t="s">
        <v>287</v>
      </c>
      <c r="P47" s="9" t="s">
        <v>158</v>
      </c>
      <c r="Q47" s="9" t="s">
        <v>2579</v>
      </c>
      <c r="R47" s="9">
        <v>3.7309278392</v>
      </c>
      <c r="S47" s="9">
        <v>3.7309278392</v>
      </c>
      <c r="T47" s="9"/>
      <c r="U47" s="9"/>
      <c r="V47" s="9"/>
      <c r="W47" s="9"/>
      <c r="X47" s="9" t="s">
        <v>234</v>
      </c>
      <c r="Y47" s="9">
        <v>272.43970205540001</v>
      </c>
      <c r="Z47" s="9">
        <v>436143761.58999997</v>
      </c>
      <c r="AA47" s="9">
        <v>452415970.61000001</v>
      </c>
      <c r="AB47" s="9">
        <v>71207</v>
      </c>
    </row>
    <row r="48" spans="2:51">
      <c r="B48" s="9">
        <v>35</v>
      </c>
      <c r="C48" s="9" t="s">
        <v>65</v>
      </c>
      <c r="D48" s="9">
        <v>925</v>
      </c>
      <c r="E48" s="9" t="s">
        <v>65</v>
      </c>
      <c r="F48" s="9"/>
      <c r="G48" s="9"/>
      <c r="H48" s="9"/>
      <c r="I48" s="9" t="s">
        <v>2583</v>
      </c>
      <c r="J48" s="9" t="s">
        <v>2584</v>
      </c>
      <c r="K48" s="9" t="s">
        <v>2545</v>
      </c>
      <c r="L48" s="9" t="s">
        <v>2578</v>
      </c>
      <c r="M48" s="9" t="s">
        <v>2480</v>
      </c>
      <c r="N48" s="9" t="s">
        <v>410</v>
      </c>
      <c r="O48" s="9" t="s">
        <v>287</v>
      </c>
      <c r="P48" s="9" t="s">
        <v>158</v>
      </c>
      <c r="Q48" s="9" t="s">
        <v>2579</v>
      </c>
      <c r="R48" s="9">
        <v>0.37974942789999999</v>
      </c>
      <c r="S48" s="9">
        <v>0.37974942789999999</v>
      </c>
      <c r="T48" s="9"/>
      <c r="U48" s="9"/>
      <c r="V48" s="9"/>
      <c r="W48" s="9"/>
      <c r="X48" s="9" t="s">
        <v>234</v>
      </c>
      <c r="Y48" s="9">
        <v>273.4742902653</v>
      </c>
      <c r="Z48" s="9">
        <v>452415970.61000001</v>
      </c>
      <c r="AA48" s="9">
        <v>454134017.67000002</v>
      </c>
      <c r="AB48" s="9">
        <v>71229</v>
      </c>
    </row>
    <row r="49" spans="2:28">
      <c r="B49" s="9">
        <v>52</v>
      </c>
      <c r="C49" s="9" t="s">
        <v>65</v>
      </c>
      <c r="D49" s="9">
        <v>925</v>
      </c>
      <c r="E49" s="9" t="s">
        <v>65</v>
      </c>
      <c r="F49" s="9"/>
      <c r="G49" s="9"/>
      <c r="H49" s="9"/>
      <c r="I49" s="9" t="s">
        <v>2584</v>
      </c>
      <c r="J49" s="9" t="s">
        <v>2585</v>
      </c>
      <c r="K49" s="9" t="s">
        <v>2545</v>
      </c>
      <c r="L49" s="9" t="s">
        <v>2578</v>
      </c>
      <c r="M49" s="9" t="s">
        <v>2480</v>
      </c>
      <c r="N49" s="9" t="s">
        <v>410</v>
      </c>
      <c r="O49" s="9" t="s">
        <v>287</v>
      </c>
      <c r="P49" s="9" t="s">
        <v>158</v>
      </c>
      <c r="Q49" s="9" t="s">
        <v>2579</v>
      </c>
      <c r="R49" s="9">
        <v>0.38254598670000001</v>
      </c>
      <c r="S49" s="9">
        <v>0.38254598670000001</v>
      </c>
      <c r="T49" s="9"/>
      <c r="U49" s="9"/>
      <c r="V49" s="9"/>
      <c r="W49" s="9"/>
      <c r="X49" s="9" t="s">
        <v>234</v>
      </c>
      <c r="Y49" s="9">
        <v>274.52045518749998</v>
      </c>
      <c r="Z49" s="9">
        <v>454134017.67000002</v>
      </c>
      <c r="AA49" s="9">
        <v>455868576.38</v>
      </c>
      <c r="AB49" s="9">
        <v>71251</v>
      </c>
    </row>
    <row r="50" spans="2:28">
      <c r="B50" s="9">
        <v>69</v>
      </c>
      <c r="C50" s="9" t="s">
        <v>65</v>
      </c>
      <c r="D50" s="9">
        <v>925</v>
      </c>
      <c r="E50" s="9" t="s">
        <v>65</v>
      </c>
      <c r="F50" s="9"/>
      <c r="G50" s="9"/>
      <c r="H50" s="9"/>
      <c r="I50" s="9" t="s">
        <v>2585</v>
      </c>
      <c r="J50" s="9" t="s">
        <v>2586</v>
      </c>
      <c r="K50" s="9" t="s">
        <v>2545</v>
      </c>
      <c r="L50" s="9" t="s">
        <v>2578</v>
      </c>
      <c r="M50" s="9" t="s">
        <v>2480</v>
      </c>
      <c r="N50" s="9" t="s">
        <v>410</v>
      </c>
      <c r="O50" s="9" t="s">
        <v>287</v>
      </c>
      <c r="P50" s="9" t="s">
        <v>158</v>
      </c>
      <c r="Q50" s="9" t="s">
        <v>2579</v>
      </c>
      <c r="R50" s="9">
        <v>0.93751489109999997</v>
      </c>
      <c r="S50" s="9">
        <v>0.93751489109999997</v>
      </c>
      <c r="T50" s="9"/>
      <c r="U50" s="9"/>
      <c r="V50" s="9"/>
      <c r="W50" s="9"/>
      <c r="X50" s="9" t="s">
        <v>234</v>
      </c>
      <c r="Y50" s="9">
        <v>277.09412533400001</v>
      </c>
      <c r="Z50" s="9">
        <v>455868576.38</v>
      </c>
      <c r="AA50" s="9">
        <v>460141179.33999997</v>
      </c>
      <c r="AB50" s="9">
        <v>71273</v>
      </c>
    </row>
    <row r="51" spans="2:28">
      <c r="B51" s="9">
        <v>86</v>
      </c>
      <c r="C51" s="9" t="s">
        <v>65</v>
      </c>
      <c r="D51" s="9">
        <v>925</v>
      </c>
      <c r="E51" s="9" t="s">
        <v>65</v>
      </c>
      <c r="F51" s="9"/>
      <c r="G51" s="9"/>
      <c r="H51" s="9"/>
      <c r="I51" s="9" t="s">
        <v>2586</v>
      </c>
      <c r="J51" s="9" t="s">
        <v>2588</v>
      </c>
      <c r="K51" s="9" t="s">
        <v>2545</v>
      </c>
      <c r="L51" s="9" t="s">
        <v>2578</v>
      </c>
      <c r="M51" s="9" t="s">
        <v>2480</v>
      </c>
      <c r="N51" s="9" t="s">
        <v>410</v>
      </c>
      <c r="O51" s="9" t="s">
        <v>287</v>
      </c>
      <c r="P51" s="9" t="s">
        <v>158</v>
      </c>
      <c r="Q51" s="9" t="s">
        <v>2579</v>
      </c>
      <c r="R51" s="9">
        <v>-2.0876104098999999</v>
      </c>
      <c r="S51" s="9">
        <v>-2.0876104098999999</v>
      </c>
      <c r="T51" s="9"/>
      <c r="U51" s="9"/>
      <c r="V51" s="9"/>
      <c r="W51" s="9"/>
      <c r="X51" s="9" t="s">
        <v>234</v>
      </c>
      <c r="Y51" s="9">
        <v>271.30947952830002</v>
      </c>
      <c r="Z51" s="9">
        <v>460141179.33999997</v>
      </c>
      <c r="AA51" s="9">
        <v>450532585.33999997</v>
      </c>
      <c r="AB51" s="9">
        <v>71295</v>
      </c>
    </row>
    <row r="52" spans="2:28">
      <c r="B52" s="9">
        <v>5</v>
      </c>
      <c r="C52" s="9" t="s">
        <v>66</v>
      </c>
      <c r="D52" s="9">
        <v>926</v>
      </c>
      <c r="E52" s="9" t="s">
        <v>66</v>
      </c>
      <c r="F52" s="9"/>
      <c r="G52" s="9"/>
      <c r="H52" s="9"/>
      <c r="I52" s="9" t="s">
        <v>2581</v>
      </c>
      <c r="J52" s="9" t="s">
        <v>2582</v>
      </c>
      <c r="K52" s="9" t="s">
        <v>2545</v>
      </c>
      <c r="L52" s="9" t="s">
        <v>2578</v>
      </c>
      <c r="M52" s="9" t="s">
        <v>2480</v>
      </c>
      <c r="N52" s="9" t="s">
        <v>410</v>
      </c>
      <c r="O52" s="9" t="s">
        <v>287</v>
      </c>
      <c r="P52" s="9" t="s">
        <v>158</v>
      </c>
      <c r="Q52" s="9" t="s">
        <v>2579</v>
      </c>
      <c r="R52" s="9">
        <v>4.8486475699999997E-2</v>
      </c>
      <c r="S52" s="9">
        <v>4.8486475699999997E-2</v>
      </c>
      <c r="T52" s="9"/>
      <c r="U52" s="9">
        <v>188087.31</v>
      </c>
      <c r="V52" s="9"/>
      <c r="W52" s="9"/>
      <c r="X52" s="9" t="s">
        <v>234</v>
      </c>
      <c r="Y52" s="9">
        <v>174.75210124949999</v>
      </c>
      <c r="Z52" s="9">
        <v>387917057.98000002</v>
      </c>
      <c r="AA52" s="9">
        <v>388105145.29000002</v>
      </c>
      <c r="AB52" s="9">
        <v>71189</v>
      </c>
    </row>
    <row r="53" spans="2:28">
      <c r="B53" s="9">
        <v>22</v>
      </c>
      <c r="C53" s="9" t="s">
        <v>66</v>
      </c>
      <c r="D53" s="9">
        <v>926</v>
      </c>
      <c r="E53" s="9" t="s">
        <v>66</v>
      </c>
      <c r="F53" s="9"/>
      <c r="G53" s="9"/>
      <c r="H53" s="9"/>
      <c r="I53" s="9" t="s">
        <v>2582</v>
      </c>
      <c r="J53" s="9" t="s">
        <v>2583</v>
      </c>
      <c r="K53" s="9" t="s">
        <v>2545</v>
      </c>
      <c r="L53" s="9" t="s">
        <v>2578</v>
      </c>
      <c r="M53" s="9" t="s">
        <v>2480</v>
      </c>
      <c r="N53" s="9" t="s">
        <v>410</v>
      </c>
      <c r="O53" s="9" t="s">
        <v>287</v>
      </c>
      <c r="P53" s="9" t="s">
        <v>158</v>
      </c>
      <c r="Q53" s="9" t="s">
        <v>2579</v>
      </c>
      <c r="R53" s="9">
        <v>1.1409022048999999</v>
      </c>
      <c r="S53" s="9">
        <v>1.1409022048999999</v>
      </c>
      <c r="T53" s="9"/>
      <c r="U53" s="9">
        <v>4427900.16</v>
      </c>
      <c r="V53" s="9"/>
      <c r="W53" s="9"/>
      <c r="X53" s="9" t="s">
        <v>234</v>
      </c>
      <c r="Y53" s="9">
        <v>176.7458518258</v>
      </c>
      <c r="Z53" s="9">
        <v>388105145.29000002</v>
      </c>
      <c r="AA53" s="9">
        <v>392533045.44999999</v>
      </c>
      <c r="AB53" s="9">
        <v>71211</v>
      </c>
    </row>
    <row r="54" spans="2:28">
      <c r="B54" s="9">
        <v>39</v>
      </c>
      <c r="C54" s="9" t="s">
        <v>66</v>
      </c>
      <c r="D54" s="9">
        <v>926</v>
      </c>
      <c r="E54" s="9" t="s">
        <v>66</v>
      </c>
      <c r="F54" s="9"/>
      <c r="G54" s="9"/>
      <c r="H54" s="9"/>
      <c r="I54" s="107" t="s">
        <v>2583</v>
      </c>
      <c r="J54" s="107" t="s">
        <v>2584</v>
      </c>
      <c r="K54" s="9" t="s">
        <v>2545</v>
      </c>
      <c r="L54" s="9" t="s">
        <v>2578</v>
      </c>
      <c r="M54" s="9" t="s">
        <v>2480</v>
      </c>
      <c r="N54" s="9" t="s">
        <v>410</v>
      </c>
      <c r="O54" s="9" t="s">
        <v>287</v>
      </c>
      <c r="P54" s="9" t="s">
        <v>158</v>
      </c>
      <c r="Q54" s="9" t="s">
        <v>2579</v>
      </c>
      <c r="R54" s="15">
        <v>0.2085297988</v>
      </c>
      <c r="S54" s="15">
        <v>0.2085297988</v>
      </c>
      <c r="T54" s="14"/>
      <c r="U54" s="15">
        <v>818548.37</v>
      </c>
      <c r="V54" s="15"/>
      <c r="W54" s="9"/>
      <c r="X54" s="15" t="s">
        <v>234</v>
      </c>
      <c r="Y54" s="14">
        <v>177.11441959499999</v>
      </c>
      <c r="Z54" s="14">
        <v>392533045.44999999</v>
      </c>
      <c r="AA54" s="9">
        <v>393351593.81999999</v>
      </c>
      <c r="AB54" s="9">
        <v>71233</v>
      </c>
    </row>
    <row r="55" spans="2:28">
      <c r="B55" s="9">
        <v>56</v>
      </c>
      <c r="C55" s="9" t="s">
        <v>66</v>
      </c>
      <c r="D55" s="9">
        <v>926</v>
      </c>
      <c r="E55" s="9" t="s">
        <v>66</v>
      </c>
      <c r="F55" s="9"/>
      <c r="G55" s="9"/>
      <c r="H55" s="9"/>
      <c r="I55" s="9" t="s">
        <v>2584</v>
      </c>
      <c r="J55" s="9" t="s">
        <v>2585</v>
      </c>
      <c r="K55" s="9" t="s">
        <v>2545</v>
      </c>
      <c r="L55" s="9" t="s">
        <v>2578</v>
      </c>
      <c r="M55" s="9" t="s">
        <v>2480</v>
      </c>
      <c r="N55" s="9" t="s">
        <v>410</v>
      </c>
      <c r="O55" s="9" t="s">
        <v>287</v>
      </c>
      <c r="P55" s="9" t="s">
        <v>158</v>
      </c>
      <c r="Q55" s="9" t="s">
        <v>2579</v>
      </c>
      <c r="R55" s="9">
        <v>1.5094001225</v>
      </c>
      <c r="S55" s="9">
        <v>1.5094001225</v>
      </c>
      <c r="T55" s="9"/>
      <c r="U55" s="9">
        <v>5937246.8799999999</v>
      </c>
      <c r="V55" s="9"/>
      <c r="W55" s="9"/>
      <c r="X55" s="9" t="s">
        <v>234</v>
      </c>
      <c r="Y55" s="9">
        <v>179.7877848613</v>
      </c>
      <c r="Z55" s="9">
        <v>393351593.81999999</v>
      </c>
      <c r="AA55" s="9">
        <v>399287614.87</v>
      </c>
      <c r="AB55" s="9">
        <v>71255</v>
      </c>
    </row>
    <row r="56" spans="2:28">
      <c r="B56" s="9">
        <v>73</v>
      </c>
      <c r="C56" s="9" t="s">
        <v>66</v>
      </c>
      <c r="D56" s="9">
        <v>926</v>
      </c>
      <c r="E56" s="9" t="s">
        <v>66</v>
      </c>
      <c r="F56" s="9"/>
      <c r="G56" s="9"/>
      <c r="H56" s="9"/>
      <c r="I56" s="9" t="s">
        <v>2585</v>
      </c>
      <c r="J56" s="9" t="s">
        <v>2586</v>
      </c>
      <c r="K56" s="9" t="s">
        <v>2545</v>
      </c>
      <c r="L56" s="9" t="s">
        <v>2578</v>
      </c>
      <c r="M56" s="9" t="s">
        <v>2480</v>
      </c>
      <c r="N56" s="9" t="s">
        <v>410</v>
      </c>
      <c r="O56" s="9" t="s">
        <v>287</v>
      </c>
      <c r="P56" s="9" t="s">
        <v>158</v>
      </c>
      <c r="Q56" s="9" t="s">
        <v>2579</v>
      </c>
      <c r="R56" s="9">
        <v>-0.65998299500000002</v>
      </c>
      <c r="S56" s="9">
        <v>-0.65998299500000002</v>
      </c>
      <c r="T56" s="9"/>
      <c r="U56" s="9">
        <v>-2635228.09</v>
      </c>
      <c r="V56" s="9"/>
      <c r="W56" s="9"/>
      <c r="X56" s="9" t="s">
        <v>234</v>
      </c>
      <c r="Y56" s="9">
        <v>178.60121605419999</v>
      </c>
      <c r="Z56" s="9">
        <v>399287614.87</v>
      </c>
      <c r="AA56" s="9">
        <v>396652009.97000003</v>
      </c>
      <c r="AB56" s="9">
        <v>71277</v>
      </c>
    </row>
    <row r="57" spans="2:28">
      <c r="B57" s="9">
        <v>90</v>
      </c>
      <c r="C57" s="9" t="s">
        <v>66</v>
      </c>
      <c r="D57" s="9">
        <v>926</v>
      </c>
      <c r="E57" s="9" t="s">
        <v>66</v>
      </c>
      <c r="F57" s="9"/>
      <c r="G57" s="9"/>
      <c r="H57" s="9"/>
      <c r="I57" s="9" t="s">
        <v>2586</v>
      </c>
      <c r="J57" s="9" t="s">
        <v>2588</v>
      </c>
      <c r="K57" s="9" t="s">
        <v>2545</v>
      </c>
      <c r="L57" s="9" t="s">
        <v>2578</v>
      </c>
      <c r="M57" s="9" t="s">
        <v>2480</v>
      </c>
      <c r="N57" s="9" t="s">
        <v>410</v>
      </c>
      <c r="O57" s="9" t="s">
        <v>287</v>
      </c>
      <c r="P57" s="9" t="s">
        <v>158</v>
      </c>
      <c r="Q57" s="9" t="s">
        <v>2579</v>
      </c>
      <c r="R57" s="9">
        <v>-2.0067145839</v>
      </c>
      <c r="S57" s="9">
        <v>-2.0067145839</v>
      </c>
      <c r="T57" s="9"/>
      <c r="U57" s="9">
        <v>-7959655.96</v>
      </c>
      <c r="V57" s="9"/>
      <c r="W57" s="9"/>
      <c r="X57" s="9" t="s">
        <v>234</v>
      </c>
      <c r="Y57" s="9">
        <v>175.01719940460001</v>
      </c>
      <c r="Z57" s="9">
        <v>396652009.97000003</v>
      </c>
      <c r="AA57" s="9">
        <v>388691521.89999998</v>
      </c>
      <c r="AB57" s="9">
        <v>71299</v>
      </c>
    </row>
    <row r="58" spans="2:28">
      <c r="B58" s="9">
        <v>10</v>
      </c>
      <c r="C58" s="9" t="s">
        <v>67</v>
      </c>
      <c r="D58" s="9">
        <v>928</v>
      </c>
      <c r="E58" s="9" t="s">
        <v>67</v>
      </c>
      <c r="F58" s="9"/>
      <c r="G58" s="9"/>
      <c r="H58" s="9"/>
      <c r="I58" s="9" t="s">
        <v>2581</v>
      </c>
      <c r="J58" s="9" t="s">
        <v>2582</v>
      </c>
      <c r="K58" s="9" t="s">
        <v>2545</v>
      </c>
      <c r="L58" s="9" t="s">
        <v>2578</v>
      </c>
      <c r="M58" s="9" t="s">
        <v>2480</v>
      </c>
      <c r="N58" s="9" t="s">
        <v>410</v>
      </c>
      <c r="O58" s="9" t="s">
        <v>287</v>
      </c>
      <c r="P58" s="9" t="s">
        <v>158</v>
      </c>
      <c r="Q58" s="9" t="s">
        <v>2579</v>
      </c>
      <c r="R58" s="9">
        <v>0.18158126960000001</v>
      </c>
      <c r="S58" s="9">
        <v>0.18158126960000001</v>
      </c>
      <c r="T58" s="9"/>
      <c r="U58" s="9">
        <v>25252.81</v>
      </c>
      <c r="V58" s="9"/>
      <c r="W58" s="9"/>
      <c r="X58" s="9" t="s">
        <v>234</v>
      </c>
      <c r="Y58" s="9">
        <v>120.4941551606</v>
      </c>
      <c r="Z58" s="9">
        <v>13903686.24</v>
      </c>
      <c r="AA58" s="9">
        <v>13928932.73</v>
      </c>
      <c r="AB58" s="9">
        <v>71194</v>
      </c>
    </row>
    <row r="59" spans="2:28">
      <c r="B59" s="9">
        <v>27</v>
      </c>
      <c r="C59" s="9" t="s">
        <v>67</v>
      </c>
      <c r="D59" s="9">
        <v>928</v>
      </c>
      <c r="E59" s="9" t="s">
        <v>67</v>
      </c>
      <c r="F59" s="9"/>
      <c r="G59" s="9"/>
      <c r="H59" s="9"/>
      <c r="I59" s="9" t="s">
        <v>2582</v>
      </c>
      <c r="J59" s="9" t="s">
        <v>2583</v>
      </c>
      <c r="K59" s="9" t="s">
        <v>2545</v>
      </c>
      <c r="L59" s="9" t="s">
        <v>2578</v>
      </c>
      <c r="M59" s="9" t="s">
        <v>2480</v>
      </c>
      <c r="N59" s="9" t="s">
        <v>410</v>
      </c>
      <c r="O59" s="9" t="s">
        <v>287</v>
      </c>
      <c r="P59" s="9" t="s">
        <v>158</v>
      </c>
      <c r="Q59" s="9" t="s">
        <v>2579</v>
      </c>
      <c r="R59" s="9">
        <v>1.0103136595</v>
      </c>
      <c r="S59" s="9">
        <v>1.0103136595</v>
      </c>
      <c r="T59" s="9"/>
      <c r="U59" s="9">
        <v>140725.91</v>
      </c>
      <c r="V59" s="9"/>
      <c r="W59" s="9"/>
      <c r="X59" s="9" t="s">
        <v>234</v>
      </c>
      <c r="Y59" s="9">
        <v>121.71152406909999</v>
      </c>
      <c r="Z59" s="9">
        <v>13928932.73</v>
      </c>
      <c r="AA59" s="9">
        <v>14069658.640000001</v>
      </c>
      <c r="AB59" s="9">
        <v>71216</v>
      </c>
    </row>
    <row r="60" spans="2:28">
      <c r="B60" s="9">
        <v>44</v>
      </c>
      <c r="C60" s="9" t="s">
        <v>67</v>
      </c>
      <c r="D60" s="9">
        <v>928</v>
      </c>
      <c r="E60" s="9" t="s">
        <v>67</v>
      </c>
      <c r="F60" s="9"/>
      <c r="G60" s="9"/>
      <c r="H60" s="9"/>
      <c r="I60" s="9" t="s">
        <v>2583</v>
      </c>
      <c r="J60" s="9" t="s">
        <v>2584</v>
      </c>
      <c r="K60" s="9" t="s">
        <v>2545</v>
      </c>
      <c r="L60" s="9" t="s">
        <v>2578</v>
      </c>
      <c r="M60" s="9" t="s">
        <v>2480</v>
      </c>
      <c r="N60" s="9" t="s">
        <v>410</v>
      </c>
      <c r="O60" s="9" t="s">
        <v>287</v>
      </c>
      <c r="P60" s="9" t="s">
        <v>158</v>
      </c>
      <c r="Q60" s="9" t="s">
        <v>2579</v>
      </c>
      <c r="R60" s="9">
        <v>-1.0804490279000001</v>
      </c>
      <c r="S60" s="9">
        <v>-1.0804490279000001</v>
      </c>
      <c r="T60" s="9"/>
      <c r="U60" s="9">
        <v>-152015.49</v>
      </c>
      <c r="V60" s="9"/>
      <c r="W60" s="9"/>
      <c r="X60" s="9" t="s">
        <v>234</v>
      </c>
      <c r="Y60" s="9">
        <v>120.3964930905</v>
      </c>
      <c r="Z60" s="9">
        <v>14069658.640000001</v>
      </c>
      <c r="AA60" s="9">
        <v>13917643.15</v>
      </c>
      <c r="AB60" s="9">
        <v>71238</v>
      </c>
    </row>
    <row r="61" spans="2:28">
      <c r="B61" s="9">
        <v>61</v>
      </c>
      <c r="C61" s="9" t="s">
        <v>67</v>
      </c>
      <c r="D61" s="9">
        <v>928</v>
      </c>
      <c r="E61" s="9" t="s">
        <v>67</v>
      </c>
      <c r="F61" s="9"/>
      <c r="G61" s="9"/>
      <c r="H61" s="9"/>
      <c r="I61" s="9" t="s">
        <v>2584</v>
      </c>
      <c r="J61" s="9" t="s">
        <v>2585</v>
      </c>
      <c r="K61" s="9" t="s">
        <v>2545</v>
      </c>
      <c r="L61" s="9" t="s">
        <v>2578</v>
      </c>
      <c r="M61" s="9" t="s">
        <v>2480</v>
      </c>
      <c r="N61" s="9" t="s">
        <v>410</v>
      </c>
      <c r="O61" s="9" t="s">
        <v>287</v>
      </c>
      <c r="P61" s="9" t="s">
        <v>158</v>
      </c>
      <c r="Q61" s="9" t="s">
        <v>2579</v>
      </c>
      <c r="R61" s="9">
        <v>0.39050900649999998</v>
      </c>
      <c r="S61" s="9">
        <v>0.39050900649999998</v>
      </c>
      <c r="T61" s="9"/>
      <c r="U61" s="9">
        <v>54344.36</v>
      </c>
      <c r="V61" s="9"/>
      <c r="W61" s="9"/>
      <c r="X61" s="9" t="s">
        <v>234</v>
      </c>
      <c r="Y61" s="9">
        <v>120.8666522396</v>
      </c>
      <c r="Z61" s="9">
        <v>13917643.15</v>
      </c>
      <c r="AA61" s="9">
        <v>13971992.800000001</v>
      </c>
      <c r="AB61" s="9">
        <v>71260</v>
      </c>
    </row>
    <row r="62" spans="2:28">
      <c r="B62" s="9">
        <v>78</v>
      </c>
      <c r="C62" s="9" t="s">
        <v>67</v>
      </c>
      <c r="D62" s="9">
        <v>928</v>
      </c>
      <c r="E62" s="9" t="s">
        <v>67</v>
      </c>
      <c r="F62" s="9"/>
      <c r="G62" s="9"/>
      <c r="H62" s="9"/>
      <c r="I62" s="9" t="s">
        <v>2585</v>
      </c>
      <c r="J62" s="9" t="s">
        <v>2586</v>
      </c>
      <c r="K62" s="9" t="s">
        <v>2545</v>
      </c>
      <c r="L62" s="9" t="s">
        <v>2578</v>
      </c>
      <c r="M62" s="9" t="s">
        <v>2480</v>
      </c>
      <c r="N62" s="9" t="s">
        <v>410</v>
      </c>
      <c r="O62" s="9" t="s">
        <v>287</v>
      </c>
      <c r="P62" s="9" t="s">
        <v>158</v>
      </c>
      <c r="Q62" s="9" t="s">
        <v>2579</v>
      </c>
      <c r="R62" s="9">
        <v>0.84506904090000001</v>
      </c>
      <c r="S62" s="9">
        <v>0.84506904090000001</v>
      </c>
      <c r="T62" s="9"/>
      <c r="U62" s="9">
        <v>119462.04</v>
      </c>
      <c r="V62" s="9"/>
      <c r="W62" s="9"/>
      <c r="X62" s="9" t="s">
        <v>234</v>
      </c>
      <c r="Y62" s="9">
        <v>121.8880588984</v>
      </c>
      <c r="Z62" s="9">
        <v>13971992.800000001</v>
      </c>
      <c r="AA62" s="9">
        <v>14190104.52</v>
      </c>
      <c r="AB62" s="9">
        <v>71282</v>
      </c>
    </row>
    <row r="63" spans="2:28">
      <c r="B63" s="9">
        <v>95</v>
      </c>
      <c r="C63" s="9" t="s">
        <v>67</v>
      </c>
      <c r="D63" s="9">
        <v>928</v>
      </c>
      <c r="E63" s="9" t="s">
        <v>67</v>
      </c>
      <c r="F63" s="9"/>
      <c r="G63" s="9"/>
      <c r="H63" s="9"/>
      <c r="I63" s="9" t="s">
        <v>2586</v>
      </c>
      <c r="J63" s="9" t="s">
        <v>2588</v>
      </c>
      <c r="K63" s="9" t="s">
        <v>2545</v>
      </c>
      <c r="L63" s="9" t="s">
        <v>2578</v>
      </c>
      <c r="M63" s="9" t="s">
        <v>2480</v>
      </c>
      <c r="N63" s="9" t="s">
        <v>410</v>
      </c>
      <c r="O63" s="9" t="s">
        <v>287</v>
      </c>
      <c r="P63" s="9" t="s">
        <v>158</v>
      </c>
      <c r="Q63" s="9" t="s">
        <v>2579</v>
      </c>
      <c r="R63" s="9">
        <v>-4.7368267728999998</v>
      </c>
      <c r="S63" s="9">
        <v>-4.7368267728999998</v>
      </c>
      <c r="T63" s="9"/>
      <c r="U63" s="9">
        <v>-672160.67</v>
      </c>
      <c r="V63" s="9"/>
      <c r="W63" s="9"/>
      <c r="X63" s="9" t="s">
        <v>234</v>
      </c>
      <c r="Y63" s="9">
        <v>116.1144326916</v>
      </c>
      <c r="Z63" s="9">
        <v>14190104.52</v>
      </c>
      <c r="AA63" s="9">
        <v>13517943.85</v>
      </c>
      <c r="AB63" s="9">
        <v>71304</v>
      </c>
    </row>
    <row r="64" spans="2:28">
      <c r="B64" s="9">
        <v>6</v>
      </c>
      <c r="C64" s="9" t="s">
        <v>68</v>
      </c>
      <c r="D64" s="9">
        <v>929</v>
      </c>
      <c r="E64" s="9" t="s">
        <v>68</v>
      </c>
      <c r="F64" s="9"/>
      <c r="G64" s="9"/>
      <c r="H64" s="9"/>
      <c r="I64" s="9" t="s">
        <v>2581</v>
      </c>
      <c r="J64" s="9" t="s">
        <v>2582</v>
      </c>
      <c r="K64" s="9" t="s">
        <v>2545</v>
      </c>
      <c r="L64" s="9" t="s">
        <v>2578</v>
      </c>
      <c r="M64" s="9" t="s">
        <v>2480</v>
      </c>
      <c r="N64" s="9" t="s">
        <v>410</v>
      </c>
      <c r="O64" s="9" t="s">
        <v>287</v>
      </c>
      <c r="P64" s="9" t="s">
        <v>158</v>
      </c>
      <c r="Q64" s="9" t="s">
        <v>2579</v>
      </c>
      <c r="R64" s="9">
        <v>-2.3597975665000002</v>
      </c>
      <c r="S64" s="9">
        <v>-2.3597975665000002</v>
      </c>
      <c r="T64" s="9"/>
      <c r="U64" s="9">
        <v>-5872389.1799999997</v>
      </c>
      <c r="V64" s="9"/>
      <c r="W64" s="9"/>
      <c r="X64" s="9" t="s">
        <v>234</v>
      </c>
      <c r="Y64" s="9">
        <v>191.94792027310001</v>
      </c>
      <c r="Z64" s="9">
        <v>248851395.69999999</v>
      </c>
      <c r="AA64" s="9">
        <v>242979006.52000001</v>
      </c>
      <c r="AB64" s="9">
        <v>71190</v>
      </c>
    </row>
    <row r="65" spans="2:28">
      <c r="B65" s="9">
        <v>23</v>
      </c>
      <c r="C65" s="9" t="s">
        <v>68</v>
      </c>
      <c r="D65" s="9">
        <v>929</v>
      </c>
      <c r="E65" s="9" t="s">
        <v>68</v>
      </c>
      <c r="F65" s="9"/>
      <c r="G65" s="9"/>
      <c r="H65" s="9"/>
      <c r="I65" s="9" t="s">
        <v>2582</v>
      </c>
      <c r="J65" s="9" t="s">
        <v>2583</v>
      </c>
      <c r="K65" s="9" t="s">
        <v>2545</v>
      </c>
      <c r="L65" s="9" t="s">
        <v>2578</v>
      </c>
      <c r="M65" s="9" t="s">
        <v>2480</v>
      </c>
      <c r="N65" s="9" t="s">
        <v>410</v>
      </c>
      <c r="O65" s="9" t="s">
        <v>287</v>
      </c>
      <c r="P65" s="9" t="s">
        <v>158</v>
      </c>
      <c r="Q65" s="9" t="s">
        <v>2579</v>
      </c>
      <c r="R65" s="9">
        <v>4.2837079338999997</v>
      </c>
      <c r="S65" s="9">
        <v>4.2837079338999997</v>
      </c>
      <c r="T65" s="9"/>
      <c r="U65" s="9">
        <v>10408510.98</v>
      </c>
      <c r="V65" s="9"/>
      <c r="W65" s="9"/>
      <c r="X65" s="9" t="s">
        <v>234</v>
      </c>
      <c r="Y65" s="9">
        <v>200.17040856279999</v>
      </c>
      <c r="Z65" s="9">
        <v>242979006.52000001</v>
      </c>
      <c r="AA65" s="9">
        <v>253387517.5</v>
      </c>
      <c r="AB65" s="9">
        <v>71212</v>
      </c>
    </row>
    <row r="66" spans="2:28">
      <c r="B66" s="9">
        <v>40</v>
      </c>
      <c r="C66" s="9" t="s">
        <v>68</v>
      </c>
      <c r="D66" s="9">
        <v>929</v>
      </c>
      <c r="E66" s="9" t="s">
        <v>68</v>
      </c>
      <c r="F66" s="9"/>
      <c r="G66" s="9"/>
      <c r="H66" s="9"/>
      <c r="I66" s="9" t="s">
        <v>2583</v>
      </c>
      <c r="J66" s="9" t="s">
        <v>2584</v>
      </c>
      <c r="K66" s="9" t="s">
        <v>2545</v>
      </c>
      <c r="L66" s="9" t="s">
        <v>2578</v>
      </c>
      <c r="M66" s="9" t="s">
        <v>2480</v>
      </c>
      <c r="N66" s="9" t="s">
        <v>410</v>
      </c>
      <c r="O66" s="9" t="s">
        <v>287</v>
      </c>
      <c r="P66" s="9" t="s">
        <v>158</v>
      </c>
      <c r="Q66" s="9" t="s">
        <v>2579</v>
      </c>
      <c r="R66" s="9">
        <v>0.52238719550000001</v>
      </c>
      <c r="S66" s="9">
        <v>0.52238719550000001</v>
      </c>
      <c r="T66" s="9"/>
      <c r="U66" s="9">
        <v>1146038.81</v>
      </c>
      <c r="V66" s="9"/>
      <c r="W66" s="9"/>
      <c r="X66" s="9" t="s">
        <v>234</v>
      </c>
      <c r="Y66" s="9">
        <v>201.21607314639999</v>
      </c>
      <c r="Z66" s="9">
        <v>253387517.5</v>
      </c>
      <c r="AA66" s="9">
        <v>218533556.31</v>
      </c>
      <c r="AB66" s="9">
        <v>71234</v>
      </c>
    </row>
    <row r="67" spans="2:28">
      <c r="B67" s="9">
        <v>57</v>
      </c>
      <c r="C67" s="9" t="s">
        <v>68</v>
      </c>
      <c r="D67" s="9">
        <v>929</v>
      </c>
      <c r="E67" s="9" t="s">
        <v>68</v>
      </c>
      <c r="F67" s="9"/>
      <c r="G67" s="9"/>
      <c r="H67" s="9"/>
      <c r="I67" s="9" t="s">
        <v>2584</v>
      </c>
      <c r="J67" s="9" t="s">
        <v>2585</v>
      </c>
      <c r="K67" s="9" t="s">
        <v>2545</v>
      </c>
      <c r="L67" s="9" t="s">
        <v>2578</v>
      </c>
      <c r="M67" s="9" t="s">
        <v>2480</v>
      </c>
      <c r="N67" s="9" t="s">
        <v>410</v>
      </c>
      <c r="O67" s="9" t="s">
        <v>287</v>
      </c>
      <c r="P67" s="9" t="s">
        <v>158</v>
      </c>
      <c r="Q67" s="9" t="s">
        <v>2579</v>
      </c>
      <c r="R67" s="9">
        <v>0.2821956008</v>
      </c>
      <c r="S67" s="9">
        <v>0.2821956008</v>
      </c>
      <c r="T67" s="9"/>
      <c r="U67" s="9">
        <v>616696.57999999996</v>
      </c>
      <c r="V67" s="9"/>
      <c r="W67" s="9"/>
      <c r="X67" s="9" t="s">
        <v>234</v>
      </c>
      <c r="Y67" s="9">
        <v>201.7838960528</v>
      </c>
      <c r="Z67" s="9">
        <v>218533556.31</v>
      </c>
      <c r="AA67" s="9">
        <v>219149334.34999999</v>
      </c>
      <c r="AB67" s="9">
        <v>71256</v>
      </c>
    </row>
    <row r="68" spans="2:28">
      <c r="B68" s="9">
        <v>74</v>
      </c>
      <c r="C68" s="9" t="s">
        <v>68</v>
      </c>
      <c r="D68" s="9">
        <v>929</v>
      </c>
      <c r="E68" s="9" t="s">
        <v>68</v>
      </c>
      <c r="F68" s="9"/>
      <c r="G68" s="9"/>
      <c r="H68" s="9"/>
      <c r="I68" s="9" t="s">
        <v>2585</v>
      </c>
      <c r="J68" s="9" t="s">
        <v>2586</v>
      </c>
      <c r="K68" s="9" t="s">
        <v>2545</v>
      </c>
      <c r="L68" s="9" t="s">
        <v>2578</v>
      </c>
      <c r="M68" s="9" t="s">
        <v>2480</v>
      </c>
      <c r="N68" s="9" t="s">
        <v>410</v>
      </c>
      <c r="O68" s="9" t="s">
        <v>287</v>
      </c>
      <c r="P68" s="9" t="s">
        <v>158</v>
      </c>
      <c r="Q68" s="9" t="s">
        <v>2579</v>
      </c>
      <c r="R68" s="9">
        <v>0.72178040899999996</v>
      </c>
      <c r="S68" s="9">
        <v>0.72178040899999996</v>
      </c>
      <c r="T68" s="9"/>
      <c r="U68" s="9">
        <v>1581778.02</v>
      </c>
      <c r="V68" s="9"/>
      <c r="W68" s="9"/>
      <c r="X68" s="9" t="s">
        <v>234</v>
      </c>
      <c r="Y68" s="9">
        <v>203.24033268299999</v>
      </c>
      <c r="Z68" s="9">
        <v>219149334.34999999</v>
      </c>
      <c r="AA68" s="9">
        <v>220730813.93000001</v>
      </c>
      <c r="AB68" s="9">
        <v>71278</v>
      </c>
    </row>
    <row r="69" spans="2:28">
      <c r="B69" s="9">
        <v>91</v>
      </c>
      <c r="C69" s="9" t="s">
        <v>68</v>
      </c>
      <c r="D69" s="9">
        <v>929</v>
      </c>
      <c r="E69" s="9" t="s">
        <v>68</v>
      </c>
      <c r="F69" s="9"/>
      <c r="G69" s="9"/>
      <c r="H69" s="9"/>
      <c r="I69" s="9" t="s">
        <v>2586</v>
      </c>
      <c r="J69" s="9" t="s">
        <v>2588</v>
      </c>
      <c r="K69" s="9" t="s">
        <v>2545</v>
      </c>
      <c r="L69" s="9" t="s">
        <v>2578</v>
      </c>
      <c r="M69" s="9" t="s">
        <v>2480</v>
      </c>
      <c r="N69" s="9" t="s">
        <v>410</v>
      </c>
      <c r="O69" s="9" t="s">
        <v>287</v>
      </c>
      <c r="P69" s="9" t="s">
        <v>158</v>
      </c>
      <c r="Q69" s="9" t="s">
        <v>2579</v>
      </c>
      <c r="R69" s="9">
        <v>-2.6683501419</v>
      </c>
      <c r="S69" s="9">
        <v>-2.6683501419</v>
      </c>
      <c r="T69" s="9"/>
      <c r="U69" s="9">
        <v>-5765426.7699999996</v>
      </c>
      <c r="V69" s="9"/>
      <c r="W69" s="9"/>
      <c r="X69" s="9" t="s">
        <v>234</v>
      </c>
      <c r="Y69" s="9">
        <v>197.8171689774</v>
      </c>
      <c r="Z69" s="9">
        <v>220730813.93000001</v>
      </c>
      <c r="AA69" s="9">
        <v>205964791.52000001</v>
      </c>
      <c r="AB69" s="9">
        <v>71300</v>
      </c>
    </row>
    <row r="70" spans="2:28">
      <c r="B70" s="9">
        <v>9</v>
      </c>
      <c r="C70" s="9" t="s">
        <v>69</v>
      </c>
      <c r="D70" s="9">
        <v>930</v>
      </c>
      <c r="E70" s="9" t="s">
        <v>69</v>
      </c>
      <c r="F70" s="9"/>
      <c r="G70" s="9"/>
      <c r="H70" s="9"/>
      <c r="I70" s="9" t="s">
        <v>2581</v>
      </c>
      <c r="J70" s="9" t="s">
        <v>2582</v>
      </c>
      <c r="K70" s="9" t="s">
        <v>2545</v>
      </c>
      <c r="L70" s="9" t="s">
        <v>2578</v>
      </c>
      <c r="M70" s="9" t="s">
        <v>2480</v>
      </c>
      <c r="N70" s="9" t="s">
        <v>410</v>
      </c>
      <c r="O70" s="9" t="s">
        <v>287</v>
      </c>
      <c r="P70" s="9" t="s">
        <v>158</v>
      </c>
      <c r="Q70" s="9" t="s">
        <v>2579</v>
      </c>
      <c r="R70" s="9">
        <v>-2.6243744186</v>
      </c>
      <c r="S70" s="9">
        <v>-2.6243744186</v>
      </c>
      <c r="T70" s="9"/>
      <c r="U70" s="9"/>
      <c r="V70" s="9"/>
      <c r="W70" s="9"/>
      <c r="X70" s="9" t="s">
        <v>234</v>
      </c>
      <c r="Y70" s="9">
        <v>130.13196231000001</v>
      </c>
      <c r="Z70" s="9">
        <v>95327101.280000001</v>
      </c>
      <c r="AA70" s="9">
        <v>92825361.219999999</v>
      </c>
      <c r="AB70" s="9">
        <v>71193</v>
      </c>
    </row>
    <row r="71" spans="2:28">
      <c r="B71" s="9">
        <v>26</v>
      </c>
      <c r="C71" s="9" t="s">
        <v>69</v>
      </c>
      <c r="D71" s="9">
        <v>930</v>
      </c>
      <c r="E71" s="9" t="s">
        <v>69</v>
      </c>
      <c r="F71" s="9"/>
      <c r="G71" s="9"/>
      <c r="H71" s="9"/>
      <c r="I71" s="107" t="s">
        <v>2582</v>
      </c>
      <c r="J71" s="107" t="s">
        <v>2583</v>
      </c>
      <c r="K71" s="9" t="s">
        <v>2545</v>
      </c>
      <c r="L71" s="9" t="s">
        <v>2578</v>
      </c>
      <c r="M71" s="9" t="s">
        <v>2480</v>
      </c>
      <c r="N71" s="9" t="s">
        <v>410</v>
      </c>
      <c r="O71" s="9" t="s">
        <v>287</v>
      </c>
      <c r="P71" s="9" t="s">
        <v>158</v>
      </c>
      <c r="Q71" s="9" t="s">
        <v>2579</v>
      </c>
      <c r="R71" s="15">
        <v>4.5115086059999996</v>
      </c>
      <c r="S71" s="15">
        <v>4.5115086059999996</v>
      </c>
      <c r="T71" s="14"/>
      <c r="U71" s="15"/>
      <c r="V71" s="15"/>
      <c r="W71" s="9"/>
      <c r="X71" s="15" t="s">
        <v>234</v>
      </c>
      <c r="Y71" s="14">
        <v>136.0028769887</v>
      </c>
      <c r="Z71" s="14">
        <v>92825361.219999999</v>
      </c>
      <c r="AA71" s="9">
        <v>97013185.379999995</v>
      </c>
      <c r="AB71" s="9">
        <v>71215</v>
      </c>
    </row>
    <row r="72" spans="2:28">
      <c r="B72" s="9">
        <v>43</v>
      </c>
      <c r="C72" s="9" t="s">
        <v>69</v>
      </c>
      <c r="D72" s="9">
        <v>930</v>
      </c>
      <c r="E72" s="9" t="s">
        <v>69</v>
      </c>
      <c r="F72" s="9"/>
      <c r="G72" s="9"/>
      <c r="H72" s="9"/>
      <c r="I72" s="9" t="s">
        <v>2583</v>
      </c>
      <c r="J72" s="9" t="s">
        <v>2584</v>
      </c>
      <c r="K72" s="9" t="s">
        <v>2545</v>
      </c>
      <c r="L72" s="9" t="s">
        <v>2578</v>
      </c>
      <c r="M72" s="9" t="s">
        <v>2480</v>
      </c>
      <c r="N72" s="9" t="s">
        <v>410</v>
      </c>
      <c r="O72" s="9" t="s">
        <v>287</v>
      </c>
      <c r="P72" s="9" t="s">
        <v>158</v>
      </c>
      <c r="Q72" s="9" t="s">
        <v>2579</v>
      </c>
      <c r="R72" s="9">
        <v>0.53991885529999994</v>
      </c>
      <c r="S72" s="9">
        <v>0.53991885529999994</v>
      </c>
      <c r="T72" s="9"/>
      <c r="U72" s="9"/>
      <c r="V72" s="9"/>
      <c r="W72" s="9"/>
      <c r="X72" s="9" t="s">
        <v>234</v>
      </c>
      <c r="Y72" s="9">
        <v>136.73718216539999</v>
      </c>
      <c r="Z72" s="9">
        <v>97013185.379999995</v>
      </c>
      <c r="AA72" s="9">
        <v>97536977.859999999</v>
      </c>
      <c r="AB72" s="9">
        <v>71237</v>
      </c>
    </row>
    <row r="73" spans="2:28">
      <c r="B73" s="9">
        <v>60</v>
      </c>
      <c r="C73" s="9" t="s">
        <v>69</v>
      </c>
      <c r="D73" s="9">
        <v>930</v>
      </c>
      <c r="E73" s="9" t="s">
        <v>69</v>
      </c>
      <c r="F73" s="9"/>
      <c r="G73" s="9"/>
      <c r="H73" s="9"/>
      <c r="I73" s="9" t="s">
        <v>2584</v>
      </c>
      <c r="J73" s="9" t="s">
        <v>2585</v>
      </c>
      <c r="K73" s="9" t="s">
        <v>2545</v>
      </c>
      <c r="L73" s="9" t="s">
        <v>2578</v>
      </c>
      <c r="M73" s="9" t="s">
        <v>2480</v>
      </c>
      <c r="N73" s="9" t="s">
        <v>410</v>
      </c>
      <c r="O73" s="9" t="s">
        <v>287</v>
      </c>
      <c r="P73" s="9" t="s">
        <v>158</v>
      </c>
      <c r="Q73" s="9" t="s">
        <v>2579</v>
      </c>
      <c r="R73" s="9">
        <v>0.27241772440000001</v>
      </c>
      <c r="S73" s="9">
        <v>0.27241772440000001</v>
      </c>
      <c r="T73" s="9"/>
      <c r="U73" s="9"/>
      <c r="V73" s="9"/>
      <c r="W73" s="9"/>
      <c r="X73" s="9" t="s">
        <v>234</v>
      </c>
      <c r="Y73" s="9">
        <v>137.10967848550001</v>
      </c>
      <c r="Z73" s="9">
        <v>97536977.859999999</v>
      </c>
      <c r="AA73" s="9">
        <v>97802262.430000007</v>
      </c>
      <c r="AB73" s="9">
        <v>71259</v>
      </c>
    </row>
    <row r="74" spans="2:28">
      <c r="B74" s="9">
        <v>77</v>
      </c>
      <c r="C74" s="9" t="s">
        <v>69</v>
      </c>
      <c r="D74" s="9">
        <v>930</v>
      </c>
      <c r="E74" s="9" t="s">
        <v>69</v>
      </c>
      <c r="F74" s="9"/>
      <c r="G74" s="9"/>
      <c r="H74" s="9"/>
      <c r="I74" s="9" t="s">
        <v>2585</v>
      </c>
      <c r="J74" s="9" t="s">
        <v>2586</v>
      </c>
      <c r="K74" s="9" t="s">
        <v>2545</v>
      </c>
      <c r="L74" s="9" t="s">
        <v>2578</v>
      </c>
      <c r="M74" s="9" t="s">
        <v>2480</v>
      </c>
      <c r="N74" s="9" t="s">
        <v>410</v>
      </c>
      <c r="O74" s="9" t="s">
        <v>287</v>
      </c>
      <c r="P74" s="9" t="s">
        <v>158</v>
      </c>
      <c r="Q74" s="9" t="s">
        <v>2579</v>
      </c>
      <c r="R74" s="9">
        <v>0.71006725920000002</v>
      </c>
      <c r="S74" s="9">
        <v>0.71006725920000002</v>
      </c>
      <c r="T74" s="9"/>
      <c r="U74" s="9"/>
      <c r="V74" s="9"/>
      <c r="W74" s="9"/>
      <c r="X74" s="9" t="s">
        <v>234</v>
      </c>
      <c r="Y74" s="9">
        <v>138.08324942159999</v>
      </c>
      <c r="Z74" s="9">
        <v>97802262.430000007</v>
      </c>
      <c r="AA74" s="9">
        <v>98496610.75</v>
      </c>
      <c r="AB74" s="9">
        <v>71281</v>
      </c>
    </row>
    <row r="75" spans="2:28">
      <c r="B75" s="9">
        <v>94</v>
      </c>
      <c r="C75" s="9" t="s">
        <v>69</v>
      </c>
      <c r="D75" s="9">
        <v>930</v>
      </c>
      <c r="E75" s="9" t="s">
        <v>69</v>
      </c>
      <c r="F75" s="9"/>
      <c r="G75" s="9"/>
      <c r="H75" s="9"/>
      <c r="I75" s="9" t="s">
        <v>2586</v>
      </c>
      <c r="J75" s="9" t="s">
        <v>2588</v>
      </c>
      <c r="K75" s="9" t="s">
        <v>2545</v>
      </c>
      <c r="L75" s="9" t="s">
        <v>2578</v>
      </c>
      <c r="M75" s="9" t="s">
        <v>2480</v>
      </c>
      <c r="N75" s="9" t="s">
        <v>410</v>
      </c>
      <c r="O75" s="9" t="s">
        <v>287</v>
      </c>
      <c r="P75" s="9" t="s">
        <v>158</v>
      </c>
      <c r="Q75" s="9" t="s">
        <v>2579</v>
      </c>
      <c r="R75" s="9">
        <v>-2.7642838144000001</v>
      </c>
      <c r="S75" s="9">
        <v>-2.7642838144000001</v>
      </c>
      <c r="T75" s="9"/>
      <c r="U75" s="9"/>
      <c r="V75" s="9"/>
      <c r="W75" s="9"/>
      <c r="X75" s="9" t="s">
        <v>234</v>
      </c>
      <c r="Y75" s="9">
        <v>134.26623650740001</v>
      </c>
      <c r="Z75" s="9">
        <v>98496610.75</v>
      </c>
      <c r="AA75" s="9">
        <v>99769944.840000004</v>
      </c>
      <c r="AB75" s="9">
        <v>71303</v>
      </c>
    </row>
    <row r="76" spans="2:28">
      <c r="B76" s="9">
        <v>17</v>
      </c>
      <c r="C76" s="9" t="s">
        <v>70</v>
      </c>
      <c r="D76" s="9">
        <v>941</v>
      </c>
      <c r="E76" s="9" t="s">
        <v>70</v>
      </c>
      <c r="F76" s="9"/>
      <c r="G76" s="9"/>
      <c r="H76" s="9"/>
      <c r="I76" s="9" t="s">
        <v>2581</v>
      </c>
      <c r="J76" s="9" t="s">
        <v>2582</v>
      </c>
      <c r="K76" s="9" t="s">
        <v>2545</v>
      </c>
      <c r="L76" s="9" t="s">
        <v>2578</v>
      </c>
      <c r="M76" s="9" t="s">
        <v>2480</v>
      </c>
      <c r="N76" s="9" t="s">
        <v>410</v>
      </c>
      <c r="O76" s="9" t="s">
        <v>287</v>
      </c>
      <c r="P76" s="9" t="s">
        <v>158</v>
      </c>
      <c r="Q76" s="9" t="s">
        <v>2579</v>
      </c>
      <c r="R76" s="9">
        <v>1.1762709416999999</v>
      </c>
      <c r="S76" s="9">
        <v>1.1762709416999999</v>
      </c>
      <c r="T76" s="9"/>
      <c r="U76" s="9">
        <v>1265356.71</v>
      </c>
      <c r="V76" s="9"/>
      <c r="W76" s="9"/>
      <c r="X76" s="9" t="s">
        <v>234</v>
      </c>
      <c r="Y76" s="9">
        <v>113.3708534519</v>
      </c>
      <c r="Z76" s="9">
        <v>112345746.42</v>
      </c>
      <c r="AA76" s="9">
        <v>112823652.3</v>
      </c>
      <c r="AB76" s="9">
        <v>71201</v>
      </c>
    </row>
    <row r="77" spans="2:28">
      <c r="B77" s="9">
        <v>34</v>
      </c>
      <c r="C77" s="9" t="s">
        <v>70</v>
      </c>
      <c r="D77" s="9">
        <v>941</v>
      </c>
      <c r="E77" s="9" t="s">
        <v>70</v>
      </c>
      <c r="F77" s="9"/>
      <c r="G77" s="9"/>
      <c r="H77" s="9"/>
      <c r="I77" s="9" t="s">
        <v>2582</v>
      </c>
      <c r="J77" s="9" t="s">
        <v>2583</v>
      </c>
      <c r="K77" s="9" t="s">
        <v>2545</v>
      </c>
      <c r="L77" s="9" t="s">
        <v>2578</v>
      </c>
      <c r="M77" s="9" t="s">
        <v>2480</v>
      </c>
      <c r="N77" s="9" t="s">
        <v>410</v>
      </c>
      <c r="O77" s="9" t="s">
        <v>287</v>
      </c>
      <c r="P77" s="9" t="s">
        <v>158</v>
      </c>
      <c r="Q77" s="9" t="s">
        <v>2579</v>
      </c>
      <c r="R77" s="9">
        <v>-8.4599211300000005E-2</v>
      </c>
      <c r="S77" s="9">
        <v>-8.4599211300000005E-2</v>
      </c>
      <c r="T77" s="9"/>
      <c r="U77" s="9">
        <v>-95447.92</v>
      </c>
      <c r="V77" s="9"/>
      <c r="W77" s="9"/>
      <c r="X77" s="9" t="s">
        <v>234</v>
      </c>
      <c r="Y77" s="9">
        <v>113.274942604</v>
      </c>
      <c r="Z77" s="9">
        <v>112823652.3</v>
      </c>
      <c r="AA77" s="9">
        <v>112728204.38</v>
      </c>
      <c r="AB77" s="9">
        <v>71223</v>
      </c>
    </row>
    <row r="78" spans="2:28">
      <c r="B78" s="9">
        <v>51</v>
      </c>
      <c r="C78" s="9" t="s">
        <v>70</v>
      </c>
      <c r="D78" s="9">
        <v>941</v>
      </c>
      <c r="E78" s="9" t="s">
        <v>70</v>
      </c>
      <c r="F78" s="9"/>
      <c r="G78" s="9"/>
      <c r="H78" s="9"/>
      <c r="I78" s="9" t="s">
        <v>2583</v>
      </c>
      <c r="J78" s="9" t="s">
        <v>2584</v>
      </c>
      <c r="K78" s="9" t="s">
        <v>2545</v>
      </c>
      <c r="L78" s="9" t="s">
        <v>2578</v>
      </c>
      <c r="M78" s="9" t="s">
        <v>2480</v>
      </c>
      <c r="N78" s="9" t="s">
        <v>410</v>
      </c>
      <c r="O78" s="9" t="s">
        <v>287</v>
      </c>
      <c r="P78" s="9" t="s">
        <v>158</v>
      </c>
      <c r="Q78" s="9" t="s">
        <v>2579</v>
      </c>
      <c r="R78" s="9">
        <v>1.6494971582</v>
      </c>
      <c r="S78" s="9">
        <v>1.6494971582</v>
      </c>
      <c r="T78" s="9"/>
      <c r="U78" s="9">
        <v>1859448.7</v>
      </c>
      <c r="V78" s="9"/>
      <c r="W78" s="9"/>
      <c r="X78" s="9" t="s">
        <v>234</v>
      </c>
      <c r="Y78" s="9">
        <v>115.1434095632</v>
      </c>
      <c r="Z78" s="9">
        <v>112728204.38</v>
      </c>
      <c r="AA78" s="9">
        <v>114587632.08</v>
      </c>
      <c r="AB78" s="9">
        <v>71245</v>
      </c>
    </row>
    <row r="79" spans="2:28">
      <c r="B79" s="9">
        <v>68</v>
      </c>
      <c r="C79" s="9" t="s">
        <v>70</v>
      </c>
      <c r="D79" s="9">
        <v>941</v>
      </c>
      <c r="E79" s="9" t="s">
        <v>70</v>
      </c>
      <c r="F79" s="9"/>
      <c r="G79" s="9"/>
      <c r="H79" s="9"/>
      <c r="I79" s="9" t="s">
        <v>2584</v>
      </c>
      <c r="J79" s="9" t="s">
        <v>2585</v>
      </c>
      <c r="K79" s="9" t="s">
        <v>2545</v>
      </c>
      <c r="L79" s="9" t="s">
        <v>2578</v>
      </c>
      <c r="M79" s="9" t="s">
        <v>2480</v>
      </c>
      <c r="N79" s="9" t="s">
        <v>410</v>
      </c>
      <c r="O79" s="9" t="s">
        <v>287</v>
      </c>
      <c r="P79" s="9" t="s">
        <v>158</v>
      </c>
      <c r="Q79" s="9" t="s">
        <v>2579</v>
      </c>
      <c r="R79" s="9">
        <v>3.5250586781000002</v>
      </c>
      <c r="S79" s="9">
        <v>3.5250586781000002</v>
      </c>
      <c r="T79" s="9"/>
      <c r="U79" s="9">
        <v>4146389.82</v>
      </c>
      <c r="V79" s="9"/>
      <c r="W79" s="9"/>
      <c r="X79" s="9" t="s">
        <v>234</v>
      </c>
      <c r="Y79" s="9">
        <v>119.2022823142</v>
      </c>
      <c r="Z79" s="9">
        <v>114587632.08</v>
      </c>
      <c r="AA79" s="9">
        <v>123171476.05</v>
      </c>
      <c r="AB79" s="9">
        <v>71267</v>
      </c>
    </row>
    <row r="80" spans="2:28">
      <c r="B80" s="9">
        <v>85</v>
      </c>
      <c r="C80" s="9" t="s">
        <v>70</v>
      </c>
      <c r="D80" s="9">
        <v>941</v>
      </c>
      <c r="E80" s="9" t="s">
        <v>70</v>
      </c>
      <c r="F80" s="9"/>
      <c r="G80" s="9"/>
      <c r="H80" s="9"/>
      <c r="I80" s="9" t="s">
        <v>2585</v>
      </c>
      <c r="J80" s="9" t="s">
        <v>2586</v>
      </c>
      <c r="K80" s="9" t="s">
        <v>2545</v>
      </c>
      <c r="L80" s="9" t="s">
        <v>2578</v>
      </c>
      <c r="M80" s="9" t="s">
        <v>2480</v>
      </c>
      <c r="N80" s="9" t="s">
        <v>410</v>
      </c>
      <c r="O80" s="9" t="s">
        <v>287</v>
      </c>
      <c r="P80" s="9" t="s">
        <v>158</v>
      </c>
      <c r="Q80" s="9" t="s">
        <v>2579</v>
      </c>
      <c r="R80" s="9">
        <v>-0.1526134157</v>
      </c>
      <c r="S80" s="9">
        <v>-0.1526134157</v>
      </c>
      <c r="T80" s="9"/>
      <c r="U80" s="9">
        <v>-281519.59999999998</v>
      </c>
      <c r="V80" s="9"/>
      <c r="W80" s="9"/>
      <c r="X80" s="9" t="s">
        <v>234</v>
      </c>
      <c r="Y80" s="9">
        <v>119.02036363960001</v>
      </c>
      <c r="Z80" s="9">
        <v>123171476.05</v>
      </c>
      <c r="AA80" s="9">
        <v>127883705.2</v>
      </c>
      <c r="AB80" s="9">
        <v>71289</v>
      </c>
    </row>
    <row r="81" spans="2:28">
      <c r="B81" s="9">
        <v>102</v>
      </c>
      <c r="C81" s="9" t="s">
        <v>70</v>
      </c>
      <c r="D81" s="9">
        <v>941</v>
      </c>
      <c r="E81" s="9" t="s">
        <v>70</v>
      </c>
      <c r="F81" s="9"/>
      <c r="G81" s="9"/>
      <c r="H81" s="9"/>
      <c r="I81" s="9" t="s">
        <v>2586</v>
      </c>
      <c r="J81" s="9" t="s">
        <v>2588</v>
      </c>
      <c r="K81" s="9" t="s">
        <v>2545</v>
      </c>
      <c r="L81" s="9" t="s">
        <v>2578</v>
      </c>
      <c r="M81" s="9" t="s">
        <v>2480</v>
      </c>
      <c r="N81" s="9" t="s">
        <v>410</v>
      </c>
      <c r="O81" s="9" t="s">
        <v>287</v>
      </c>
      <c r="P81" s="9" t="s">
        <v>158</v>
      </c>
      <c r="Q81" s="9" t="s">
        <v>2579</v>
      </c>
      <c r="R81" s="9">
        <v>-0.13644279370000001</v>
      </c>
      <c r="S81" s="9">
        <v>-0.13644279370000001</v>
      </c>
      <c r="T81" s="9"/>
      <c r="U81" s="9">
        <v>-174488.1</v>
      </c>
      <c r="V81" s="9"/>
      <c r="W81" s="9"/>
      <c r="X81" s="9" t="s">
        <v>234</v>
      </c>
      <c r="Y81" s="9">
        <v>118.85796893040001</v>
      </c>
      <c r="Z81" s="9">
        <v>127883705.2</v>
      </c>
      <c r="AA81" s="9">
        <v>127709217.09999999</v>
      </c>
      <c r="AB81" s="9">
        <v>71311</v>
      </c>
    </row>
    <row r="82" spans="2:28">
      <c r="B82" s="9">
        <v>2</v>
      </c>
      <c r="C82" s="9" t="s">
        <v>71</v>
      </c>
      <c r="D82" s="9">
        <v>970</v>
      </c>
      <c r="E82" s="9" t="s">
        <v>71</v>
      </c>
      <c r="F82" s="9"/>
      <c r="G82" s="9"/>
      <c r="H82" s="9"/>
      <c r="I82" s="9" t="s">
        <v>2581</v>
      </c>
      <c r="J82" s="9" t="s">
        <v>2582</v>
      </c>
      <c r="K82" s="9" t="s">
        <v>2545</v>
      </c>
      <c r="L82" s="9" t="s">
        <v>2578</v>
      </c>
      <c r="M82" s="9" t="s">
        <v>2480</v>
      </c>
      <c r="N82" s="9" t="s">
        <v>410</v>
      </c>
      <c r="O82" s="9" t="s">
        <v>287</v>
      </c>
      <c r="P82" s="9" t="s">
        <v>158</v>
      </c>
      <c r="Q82" s="9" t="s">
        <v>2579</v>
      </c>
      <c r="R82" s="9">
        <v>-1.3412106571</v>
      </c>
      <c r="S82" s="9">
        <v>-1.3412106571</v>
      </c>
      <c r="T82" s="9"/>
      <c r="U82" s="9"/>
      <c r="V82" s="9"/>
      <c r="W82" s="9"/>
      <c r="X82" s="9" t="s">
        <v>234</v>
      </c>
      <c r="Y82" s="9">
        <v>196.4929946666</v>
      </c>
      <c r="Z82" s="9">
        <v>1063554155.14</v>
      </c>
      <c r="AA82" s="9">
        <v>1049786902.8099999</v>
      </c>
      <c r="AB82" s="9">
        <v>71186</v>
      </c>
    </row>
    <row r="83" spans="2:28">
      <c r="B83" s="9">
        <v>19</v>
      </c>
      <c r="C83" s="9" t="s">
        <v>71</v>
      </c>
      <c r="D83" s="9">
        <v>970</v>
      </c>
      <c r="E83" s="9" t="s">
        <v>71</v>
      </c>
      <c r="F83" s="9"/>
      <c r="G83" s="9"/>
      <c r="H83" s="9"/>
      <c r="I83" s="9" t="s">
        <v>2582</v>
      </c>
      <c r="J83" s="9" t="s">
        <v>2583</v>
      </c>
      <c r="K83" s="9" t="s">
        <v>2545</v>
      </c>
      <c r="L83" s="9" t="s">
        <v>2578</v>
      </c>
      <c r="M83" s="9" t="s">
        <v>2480</v>
      </c>
      <c r="N83" s="9" t="s">
        <v>410</v>
      </c>
      <c r="O83" s="9" t="s">
        <v>287</v>
      </c>
      <c r="P83" s="9" t="s">
        <v>158</v>
      </c>
      <c r="Q83" s="9" t="s">
        <v>2579</v>
      </c>
      <c r="R83" s="9">
        <v>2.6704349049</v>
      </c>
      <c r="S83" s="9">
        <v>2.6704349049</v>
      </c>
      <c r="T83" s="9"/>
      <c r="U83" s="9"/>
      <c r="V83" s="9"/>
      <c r="W83" s="9"/>
      <c r="X83" s="9" t="s">
        <v>234</v>
      </c>
      <c r="Y83" s="9">
        <v>201.74021218190001</v>
      </c>
      <c r="Z83" s="9">
        <v>1049786902.8099999</v>
      </c>
      <c r="AA83" s="9">
        <v>1077820778.6900001</v>
      </c>
      <c r="AB83" s="9">
        <v>71208</v>
      </c>
    </row>
    <row r="84" spans="2:28">
      <c r="B84" s="9">
        <v>36</v>
      </c>
      <c r="C84" s="9" t="s">
        <v>71</v>
      </c>
      <c r="D84" s="9">
        <v>970</v>
      </c>
      <c r="E84" s="9" t="s">
        <v>71</v>
      </c>
      <c r="F84" s="9"/>
      <c r="G84" s="9"/>
      <c r="H84" s="9"/>
      <c r="I84" s="9" t="s">
        <v>2583</v>
      </c>
      <c r="J84" s="9" t="s">
        <v>2584</v>
      </c>
      <c r="K84" s="9" t="s">
        <v>2545</v>
      </c>
      <c r="L84" s="9" t="s">
        <v>2578</v>
      </c>
      <c r="M84" s="9" t="s">
        <v>2480</v>
      </c>
      <c r="N84" s="9" t="s">
        <v>410</v>
      </c>
      <c r="O84" s="9" t="s">
        <v>287</v>
      </c>
      <c r="P84" s="9" t="s">
        <v>158</v>
      </c>
      <c r="Q84" s="9" t="s">
        <v>2579</v>
      </c>
      <c r="R84" s="9">
        <v>0.17549792149999999</v>
      </c>
      <c r="S84" s="9">
        <v>0.17549792149999999</v>
      </c>
      <c r="T84" s="9"/>
      <c r="U84" s="9"/>
      <c r="V84" s="9"/>
      <c r="W84" s="9"/>
      <c r="X84" s="9" t="s">
        <v>234</v>
      </c>
      <c r="Y84" s="9">
        <v>202.0942620612</v>
      </c>
      <c r="Z84" s="9">
        <v>1077820778.6900001</v>
      </c>
      <c r="AA84" s="9">
        <v>986395658.64999998</v>
      </c>
      <c r="AB84" s="9">
        <v>71230</v>
      </c>
    </row>
    <row r="85" spans="2:28">
      <c r="B85" s="9">
        <v>53</v>
      </c>
      <c r="C85" s="9" t="s">
        <v>71</v>
      </c>
      <c r="D85" s="9">
        <v>970</v>
      </c>
      <c r="E85" s="9" t="s">
        <v>71</v>
      </c>
      <c r="F85" s="9"/>
      <c r="G85" s="9"/>
      <c r="H85" s="9"/>
      <c r="I85" s="9" t="s">
        <v>2584</v>
      </c>
      <c r="J85" s="9" t="s">
        <v>2585</v>
      </c>
      <c r="K85" s="9" t="s">
        <v>2545</v>
      </c>
      <c r="L85" s="9" t="s">
        <v>2578</v>
      </c>
      <c r="M85" s="9" t="s">
        <v>2480</v>
      </c>
      <c r="N85" s="9" t="s">
        <v>410</v>
      </c>
      <c r="O85" s="9" t="s">
        <v>287</v>
      </c>
      <c r="P85" s="9" t="s">
        <v>158</v>
      </c>
      <c r="Q85" s="9" t="s">
        <v>2579</v>
      </c>
      <c r="R85" s="9">
        <v>0.30933210620000001</v>
      </c>
      <c r="S85" s="9">
        <v>0.30933210620000001</v>
      </c>
      <c r="T85" s="9"/>
      <c r="U85" s="9"/>
      <c r="V85" s="9"/>
      <c r="W85" s="9"/>
      <c r="X85" s="9" t="s">
        <v>234</v>
      </c>
      <c r="Y85" s="9">
        <v>202.7194044984</v>
      </c>
      <c r="Z85" s="9">
        <v>986395658.64999998</v>
      </c>
      <c r="AA85" s="9">
        <v>989442821.5</v>
      </c>
      <c r="AB85" s="9">
        <v>71252</v>
      </c>
    </row>
    <row r="86" spans="2:28">
      <c r="B86" s="9">
        <v>70</v>
      </c>
      <c r="C86" s="9" t="s">
        <v>71</v>
      </c>
      <c r="D86" s="9">
        <v>970</v>
      </c>
      <c r="E86" s="9" t="s">
        <v>71</v>
      </c>
      <c r="F86" s="9"/>
      <c r="G86" s="9"/>
      <c r="H86" s="9"/>
      <c r="I86" s="9" t="s">
        <v>2585</v>
      </c>
      <c r="J86" s="9" t="s">
        <v>2586</v>
      </c>
      <c r="K86" s="9" t="s">
        <v>2545</v>
      </c>
      <c r="L86" s="9" t="s">
        <v>2578</v>
      </c>
      <c r="M86" s="9" t="s">
        <v>2480</v>
      </c>
      <c r="N86" s="9" t="s">
        <v>410</v>
      </c>
      <c r="O86" s="9" t="s">
        <v>287</v>
      </c>
      <c r="P86" s="9" t="s">
        <v>158</v>
      </c>
      <c r="Q86" s="9" t="s">
        <v>2579</v>
      </c>
      <c r="R86" s="9">
        <v>0.4347235451</v>
      </c>
      <c r="S86" s="9">
        <v>0.4347235451</v>
      </c>
      <c r="T86" s="9"/>
      <c r="U86" s="9"/>
      <c r="V86" s="9"/>
      <c r="W86" s="9"/>
      <c r="X86" s="9" t="s">
        <v>234</v>
      </c>
      <c r="Y86" s="9">
        <v>203.6006734803</v>
      </c>
      <c r="Z86" s="9">
        <v>989442821.5</v>
      </c>
      <c r="AA86" s="9">
        <v>989705431.20000005</v>
      </c>
      <c r="AB86" s="9">
        <v>71274</v>
      </c>
    </row>
    <row r="87" spans="2:28">
      <c r="B87" s="9">
        <v>87</v>
      </c>
      <c r="C87" s="9" t="s">
        <v>71</v>
      </c>
      <c r="D87" s="9">
        <v>970</v>
      </c>
      <c r="E87" s="9" t="s">
        <v>71</v>
      </c>
      <c r="F87" s="9"/>
      <c r="G87" s="9"/>
      <c r="H87" s="9"/>
      <c r="I87" s="9" t="s">
        <v>2586</v>
      </c>
      <c r="J87" s="9" t="s">
        <v>2588</v>
      </c>
      <c r="K87" s="9" t="s">
        <v>2545</v>
      </c>
      <c r="L87" s="9" t="s">
        <v>2578</v>
      </c>
      <c r="M87" s="9" t="s">
        <v>2480</v>
      </c>
      <c r="N87" s="9" t="s">
        <v>410</v>
      </c>
      <c r="O87" s="9" t="s">
        <v>287</v>
      </c>
      <c r="P87" s="9" t="s">
        <v>158</v>
      </c>
      <c r="Q87" s="9" t="s">
        <v>2579</v>
      </c>
      <c r="R87" s="9">
        <v>-1.7048241985000001</v>
      </c>
      <c r="S87" s="9">
        <v>-1.7048241985000001</v>
      </c>
      <c r="T87" s="9"/>
      <c r="U87" s="9"/>
      <c r="V87" s="9"/>
      <c r="W87" s="9"/>
      <c r="X87" s="9" t="s">
        <v>234</v>
      </c>
      <c r="Y87" s="9">
        <v>200.12963993049999</v>
      </c>
      <c r="Z87" s="9">
        <v>989705431.20000005</v>
      </c>
      <c r="AA87" s="9">
        <v>958085925.73000002</v>
      </c>
      <c r="AB87" s="9">
        <v>71296</v>
      </c>
    </row>
    <row r="88" spans="2:28">
      <c r="B88" s="9">
        <v>8</v>
      </c>
      <c r="C88" s="9" t="s">
        <v>72</v>
      </c>
      <c r="D88" s="9">
        <v>976</v>
      </c>
      <c r="E88" s="9" t="s">
        <v>72</v>
      </c>
      <c r="F88" s="9"/>
      <c r="G88" s="9"/>
      <c r="H88" s="9"/>
      <c r="I88" s="107" t="s">
        <v>2581</v>
      </c>
      <c r="J88" s="107" t="s">
        <v>2582</v>
      </c>
      <c r="K88" s="9" t="s">
        <v>2545</v>
      </c>
      <c r="L88" s="9" t="s">
        <v>2578</v>
      </c>
      <c r="M88" s="9" t="s">
        <v>2480</v>
      </c>
      <c r="N88" s="9" t="s">
        <v>410</v>
      </c>
      <c r="O88" s="9" t="s">
        <v>287</v>
      </c>
      <c r="P88" s="9" t="s">
        <v>158</v>
      </c>
      <c r="Q88" s="9" t="s">
        <v>2579</v>
      </c>
      <c r="R88" s="15">
        <v>-0.18623299169999999</v>
      </c>
      <c r="S88" s="15">
        <v>-0.18623299169999999</v>
      </c>
      <c r="T88" s="14"/>
      <c r="U88" s="15">
        <v>-512928.33</v>
      </c>
      <c r="V88" s="15"/>
      <c r="W88" s="9"/>
      <c r="X88" s="15" t="s">
        <v>234</v>
      </c>
      <c r="Y88" s="14">
        <v>105.7305056915</v>
      </c>
      <c r="Z88" s="14">
        <v>275483104.63999999</v>
      </c>
      <c r="AA88" s="9">
        <v>274470176.31</v>
      </c>
      <c r="AB88" s="9">
        <v>71192</v>
      </c>
    </row>
    <row r="89" spans="2:28">
      <c r="B89" s="9">
        <v>25</v>
      </c>
      <c r="C89" s="9" t="s">
        <v>72</v>
      </c>
      <c r="D89" s="9">
        <v>976</v>
      </c>
      <c r="E89" s="9" t="s">
        <v>72</v>
      </c>
      <c r="F89" s="9"/>
      <c r="G89" s="9"/>
      <c r="H89" s="9"/>
      <c r="I89" s="9" t="s">
        <v>2582</v>
      </c>
      <c r="J89" s="9" t="s">
        <v>2583</v>
      </c>
      <c r="K89" s="9" t="s">
        <v>2545</v>
      </c>
      <c r="L89" s="9" t="s">
        <v>2578</v>
      </c>
      <c r="M89" s="9" t="s">
        <v>2480</v>
      </c>
      <c r="N89" s="9" t="s">
        <v>410</v>
      </c>
      <c r="O89" s="9" t="s">
        <v>287</v>
      </c>
      <c r="P89" s="9" t="s">
        <v>158</v>
      </c>
      <c r="Q89" s="9" t="s">
        <v>2579</v>
      </c>
      <c r="R89" s="9">
        <v>0.47676987990000003</v>
      </c>
      <c r="S89" s="9">
        <v>0.47676987990000003</v>
      </c>
      <c r="T89" s="9"/>
      <c r="U89" s="9">
        <v>1308591.1299999999</v>
      </c>
      <c r="V89" s="9"/>
      <c r="W89" s="9"/>
      <c r="X89" s="9" t="s">
        <v>234</v>
      </c>
      <c r="Y89" s="9">
        <v>106.2345968966</v>
      </c>
      <c r="Z89" s="9">
        <v>274470176.31</v>
      </c>
      <c r="AA89" s="9">
        <v>275778767.44</v>
      </c>
      <c r="AB89" s="9">
        <v>71214</v>
      </c>
    </row>
    <row r="90" spans="2:28">
      <c r="B90" s="9">
        <v>42</v>
      </c>
      <c r="C90" s="9" t="s">
        <v>72</v>
      </c>
      <c r="D90" s="9">
        <v>976</v>
      </c>
      <c r="E90" s="9" t="s">
        <v>72</v>
      </c>
      <c r="F90" s="9"/>
      <c r="G90" s="9"/>
      <c r="H90" s="9"/>
      <c r="I90" s="9" t="s">
        <v>2583</v>
      </c>
      <c r="J90" s="9" t="s">
        <v>2584</v>
      </c>
      <c r="K90" s="9" t="s">
        <v>2545</v>
      </c>
      <c r="L90" s="9" t="s">
        <v>2578</v>
      </c>
      <c r="M90" s="9" t="s">
        <v>2480</v>
      </c>
      <c r="N90" s="9" t="s">
        <v>410</v>
      </c>
      <c r="O90" s="9" t="s">
        <v>287</v>
      </c>
      <c r="P90" s="9" t="s">
        <v>158</v>
      </c>
      <c r="Q90" s="9" t="s">
        <v>2579</v>
      </c>
      <c r="R90" s="9">
        <v>1.14749624E-2</v>
      </c>
      <c r="S90" s="9">
        <v>1.14749624E-2</v>
      </c>
      <c r="T90" s="9"/>
      <c r="U90" s="9">
        <v>31645.51</v>
      </c>
      <c r="V90" s="9"/>
      <c r="W90" s="9"/>
      <c r="X90" s="9" t="s">
        <v>234</v>
      </c>
      <c r="Y90" s="9">
        <v>106.2467872767</v>
      </c>
      <c r="Z90" s="9">
        <v>275778767.44</v>
      </c>
      <c r="AA90" s="9">
        <v>275810412.94999999</v>
      </c>
      <c r="AB90" s="9">
        <v>71236</v>
      </c>
    </row>
    <row r="91" spans="2:28">
      <c r="B91" s="9">
        <v>59</v>
      </c>
      <c r="C91" s="9" t="s">
        <v>72</v>
      </c>
      <c r="D91" s="9">
        <v>976</v>
      </c>
      <c r="E91" s="9" t="s">
        <v>72</v>
      </c>
      <c r="F91" s="9"/>
      <c r="G91" s="9"/>
      <c r="H91" s="9"/>
      <c r="I91" s="9" t="s">
        <v>2584</v>
      </c>
      <c r="J91" s="9" t="s">
        <v>2585</v>
      </c>
      <c r="K91" s="9" t="s">
        <v>2545</v>
      </c>
      <c r="L91" s="9" t="s">
        <v>2578</v>
      </c>
      <c r="M91" s="9" t="s">
        <v>2480</v>
      </c>
      <c r="N91" s="9" t="s">
        <v>410</v>
      </c>
      <c r="O91" s="9" t="s">
        <v>287</v>
      </c>
      <c r="P91" s="9" t="s">
        <v>158</v>
      </c>
      <c r="Q91" s="9" t="s">
        <v>2579</v>
      </c>
      <c r="R91" s="9">
        <v>0.14830727990000001</v>
      </c>
      <c r="S91" s="9">
        <v>0.14830727990000001</v>
      </c>
      <c r="T91" s="9"/>
      <c r="U91" s="9">
        <v>409046.51</v>
      </c>
      <c r="V91" s="9"/>
      <c r="W91" s="9"/>
      <c r="X91" s="9" t="s">
        <v>234</v>
      </c>
      <c r="Y91" s="9">
        <v>106.4043589968</v>
      </c>
      <c r="Z91" s="9">
        <v>275810412.94999999</v>
      </c>
      <c r="AA91" s="9">
        <v>276216935.42000002</v>
      </c>
      <c r="AB91" s="9">
        <v>71258</v>
      </c>
    </row>
    <row r="92" spans="2:28">
      <c r="B92" s="9">
        <v>76</v>
      </c>
      <c r="C92" s="9" t="s">
        <v>72</v>
      </c>
      <c r="D92" s="9">
        <v>976</v>
      </c>
      <c r="E92" s="9" t="s">
        <v>72</v>
      </c>
      <c r="F92" s="9"/>
      <c r="G92" s="9"/>
      <c r="H92" s="9"/>
      <c r="I92" s="9" t="s">
        <v>2585</v>
      </c>
      <c r="J92" s="9" t="s">
        <v>2586</v>
      </c>
      <c r="K92" s="9" t="s">
        <v>2545</v>
      </c>
      <c r="L92" s="9" t="s">
        <v>2578</v>
      </c>
      <c r="M92" s="9" t="s">
        <v>2480</v>
      </c>
      <c r="N92" s="9" t="s">
        <v>410</v>
      </c>
      <c r="O92" s="9" t="s">
        <v>287</v>
      </c>
      <c r="P92" s="9" t="s">
        <v>158</v>
      </c>
      <c r="Q92" s="9" t="s">
        <v>2579</v>
      </c>
      <c r="R92" s="9">
        <v>0.13456931429999999</v>
      </c>
      <c r="S92" s="9">
        <v>0.13456931429999999</v>
      </c>
      <c r="T92" s="9"/>
      <c r="U92" s="9">
        <v>373288.35</v>
      </c>
      <c r="V92" s="9"/>
      <c r="W92" s="9"/>
      <c r="X92" s="9" t="s">
        <v>234</v>
      </c>
      <c r="Y92" s="9">
        <v>106.5475466131</v>
      </c>
      <c r="Z92" s="9">
        <v>276216935.42000002</v>
      </c>
      <c r="AA92" s="9">
        <v>273589456.07999998</v>
      </c>
      <c r="AB92" s="9">
        <v>71280</v>
      </c>
    </row>
    <row r="93" spans="2:28">
      <c r="B93" s="9">
        <v>93</v>
      </c>
      <c r="C93" s="9" t="s">
        <v>72</v>
      </c>
      <c r="D93" s="9">
        <v>976</v>
      </c>
      <c r="E93" s="9" t="s">
        <v>72</v>
      </c>
      <c r="F93" s="9"/>
      <c r="G93" s="9"/>
      <c r="H93" s="9"/>
      <c r="I93" s="9" t="s">
        <v>2586</v>
      </c>
      <c r="J93" s="9" t="s">
        <v>2588</v>
      </c>
      <c r="K93" s="9" t="s">
        <v>2545</v>
      </c>
      <c r="L93" s="9" t="s">
        <v>2578</v>
      </c>
      <c r="M93" s="9" t="s">
        <v>2480</v>
      </c>
      <c r="N93" s="9" t="s">
        <v>410</v>
      </c>
      <c r="O93" s="9" t="s">
        <v>287</v>
      </c>
      <c r="P93" s="9" t="s">
        <v>158</v>
      </c>
      <c r="Q93" s="9" t="s">
        <v>2579</v>
      </c>
      <c r="R93" s="9">
        <v>-0.28666471199999999</v>
      </c>
      <c r="S93" s="9">
        <v>-0.28666471199999999</v>
      </c>
      <c r="T93" s="9"/>
      <c r="U93" s="9">
        <v>-784234.54</v>
      </c>
      <c r="V93" s="9"/>
      <c r="W93" s="9"/>
      <c r="X93" s="9" t="s">
        <v>234</v>
      </c>
      <c r="Y93" s="9">
        <v>106.2421123954</v>
      </c>
      <c r="Z93" s="9">
        <v>273589456.07999998</v>
      </c>
      <c r="AA93" s="9">
        <v>270303555.85000002</v>
      </c>
      <c r="AB93" s="9">
        <v>71302</v>
      </c>
    </row>
    <row r="94" spans="2:28">
      <c r="B94" s="9">
        <v>16</v>
      </c>
      <c r="C94" s="9" t="s">
        <v>73</v>
      </c>
      <c r="D94" s="9">
        <v>977</v>
      </c>
      <c r="E94" s="9" t="s">
        <v>73</v>
      </c>
      <c r="F94" s="9"/>
      <c r="G94" s="9"/>
      <c r="H94" s="9"/>
      <c r="I94" s="9" t="s">
        <v>2581</v>
      </c>
      <c r="J94" s="9" t="s">
        <v>2582</v>
      </c>
      <c r="K94" s="9" t="s">
        <v>2545</v>
      </c>
      <c r="L94" s="9" t="s">
        <v>2578</v>
      </c>
      <c r="M94" s="9" t="s">
        <v>2480</v>
      </c>
      <c r="N94" s="9" t="s">
        <v>410</v>
      </c>
      <c r="O94" s="9" t="s">
        <v>287</v>
      </c>
      <c r="P94" s="9" t="s">
        <v>158</v>
      </c>
      <c r="Q94" s="9" t="s">
        <v>2579</v>
      </c>
      <c r="R94" s="9">
        <v>-1.3749531784</v>
      </c>
      <c r="S94" s="9">
        <v>-1.3749531784</v>
      </c>
      <c r="T94" s="9"/>
      <c r="U94" s="9">
        <v>-352587.43</v>
      </c>
      <c r="V94" s="9"/>
      <c r="W94" s="9"/>
      <c r="X94" s="9" t="s">
        <v>234</v>
      </c>
      <c r="Y94" s="9">
        <v>106.2219462055</v>
      </c>
      <c r="Z94" s="9">
        <v>25643595.399999999</v>
      </c>
      <c r="AA94" s="9">
        <v>25291007.969999999</v>
      </c>
      <c r="AB94" s="9">
        <v>71200</v>
      </c>
    </row>
    <row r="95" spans="2:28">
      <c r="B95" s="9">
        <v>33</v>
      </c>
      <c r="C95" s="9" t="s">
        <v>73</v>
      </c>
      <c r="D95" s="9">
        <v>977</v>
      </c>
      <c r="E95" s="9" t="s">
        <v>73</v>
      </c>
      <c r="F95" s="9"/>
      <c r="G95" s="9"/>
      <c r="H95" s="9"/>
      <c r="I95" s="9" t="s">
        <v>2582</v>
      </c>
      <c r="J95" s="9" t="s">
        <v>2583</v>
      </c>
      <c r="K95" s="9" t="s">
        <v>2545</v>
      </c>
      <c r="L95" s="9" t="s">
        <v>2578</v>
      </c>
      <c r="M95" s="9" t="s">
        <v>2480</v>
      </c>
      <c r="N95" s="9" t="s">
        <v>410</v>
      </c>
      <c r="O95" s="9" t="s">
        <v>287</v>
      </c>
      <c r="P95" s="9" t="s">
        <v>158</v>
      </c>
      <c r="Q95" s="9" t="s">
        <v>2579</v>
      </c>
      <c r="R95" s="9">
        <v>3.0266572644999998</v>
      </c>
      <c r="S95" s="9">
        <v>3.0266572644999998</v>
      </c>
      <c r="T95" s="9"/>
      <c r="U95" s="9">
        <v>765472.13</v>
      </c>
      <c r="V95" s="9"/>
      <c r="W95" s="9"/>
      <c r="X95" s="9" t="s">
        <v>234</v>
      </c>
      <c r="Y95" s="9">
        <v>109.4369204569</v>
      </c>
      <c r="Z95" s="9">
        <v>25291007.969999999</v>
      </c>
      <c r="AA95" s="9">
        <v>26056480.100000001</v>
      </c>
      <c r="AB95" s="9">
        <v>71222</v>
      </c>
    </row>
    <row r="96" spans="2:28">
      <c r="B96" s="9">
        <v>50</v>
      </c>
      <c r="C96" s="9" t="s">
        <v>73</v>
      </c>
      <c r="D96" s="9">
        <v>977</v>
      </c>
      <c r="E96" s="9" t="s">
        <v>73</v>
      </c>
      <c r="F96" s="9"/>
      <c r="G96" s="9"/>
      <c r="H96" s="9"/>
      <c r="I96" s="9" t="s">
        <v>2583</v>
      </c>
      <c r="J96" s="9" t="s">
        <v>2584</v>
      </c>
      <c r="K96" s="9" t="s">
        <v>2545</v>
      </c>
      <c r="L96" s="9" t="s">
        <v>2578</v>
      </c>
      <c r="M96" s="9" t="s">
        <v>2480</v>
      </c>
      <c r="N96" s="9" t="s">
        <v>410</v>
      </c>
      <c r="O96" s="9" t="s">
        <v>287</v>
      </c>
      <c r="P96" s="9" t="s">
        <v>158</v>
      </c>
      <c r="Q96" s="9" t="s">
        <v>2579</v>
      </c>
      <c r="R96" s="9">
        <v>0.1135551573</v>
      </c>
      <c r="S96" s="9">
        <v>0.1135551573</v>
      </c>
      <c r="T96" s="9"/>
      <c r="U96" s="9">
        <v>31861.39</v>
      </c>
      <c r="V96" s="9"/>
      <c r="W96" s="9"/>
      <c r="X96" s="9" t="s">
        <v>234</v>
      </c>
      <c r="Y96" s="9">
        <v>109.561191724</v>
      </c>
      <c r="Z96" s="9">
        <v>26056480.100000001</v>
      </c>
      <c r="AA96" s="9">
        <v>27088341.489999998</v>
      </c>
      <c r="AB96" s="9">
        <v>71244</v>
      </c>
    </row>
    <row r="97" spans="2:28">
      <c r="B97" s="9">
        <v>67</v>
      </c>
      <c r="C97" s="9" t="s">
        <v>73</v>
      </c>
      <c r="D97" s="9">
        <v>977</v>
      </c>
      <c r="E97" s="9" t="s">
        <v>73</v>
      </c>
      <c r="F97" s="9"/>
      <c r="G97" s="9"/>
      <c r="H97" s="9"/>
      <c r="I97" s="9" t="s">
        <v>2584</v>
      </c>
      <c r="J97" s="9" t="s">
        <v>2585</v>
      </c>
      <c r="K97" s="9" t="s">
        <v>2545</v>
      </c>
      <c r="L97" s="9" t="s">
        <v>2578</v>
      </c>
      <c r="M97" s="9" t="s">
        <v>2480</v>
      </c>
      <c r="N97" s="9" t="s">
        <v>410</v>
      </c>
      <c r="O97" s="9" t="s">
        <v>287</v>
      </c>
      <c r="P97" s="9" t="s">
        <v>158</v>
      </c>
      <c r="Q97" s="9" t="s">
        <v>2579</v>
      </c>
      <c r="R97" s="9">
        <v>0.4148971555</v>
      </c>
      <c r="S97" s="9">
        <v>0.4148971555</v>
      </c>
      <c r="T97" s="9"/>
      <c r="U97" s="9">
        <v>112389.04</v>
      </c>
      <c r="V97" s="9"/>
      <c r="W97" s="9"/>
      <c r="X97" s="9" t="s">
        <v>234</v>
      </c>
      <c r="Y97" s="9">
        <v>110.015757992</v>
      </c>
      <c r="Z97" s="9">
        <v>27088341.489999998</v>
      </c>
      <c r="AA97" s="9">
        <v>27200611.640000001</v>
      </c>
      <c r="AB97" s="9">
        <v>71266</v>
      </c>
    </row>
    <row r="98" spans="2:28">
      <c r="B98" s="9">
        <v>84</v>
      </c>
      <c r="C98" s="9" t="s">
        <v>73</v>
      </c>
      <c r="D98" s="9">
        <v>977</v>
      </c>
      <c r="E98" s="9" t="s">
        <v>73</v>
      </c>
      <c r="F98" s="9"/>
      <c r="G98" s="9"/>
      <c r="H98" s="9"/>
      <c r="I98" s="9" t="s">
        <v>2585</v>
      </c>
      <c r="J98" s="9" t="s">
        <v>2586</v>
      </c>
      <c r="K98" s="9" t="s">
        <v>2545</v>
      </c>
      <c r="L98" s="9" t="s">
        <v>2578</v>
      </c>
      <c r="M98" s="9" t="s">
        <v>2480</v>
      </c>
      <c r="N98" s="9" t="s">
        <v>410</v>
      </c>
      <c r="O98" s="9" t="s">
        <v>287</v>
      </c>
      <c r="P98" s="9" t="s">
        <v>158</v>
      </c>
      <c r="Q98" s="9" t="s">
        <v>2579</v>
      </c>
      <c r="R98" s="9">
        <v>0.45222021439999999</v>
      </c>
      <c r="S98" s="9">
        <v>0.45222021439999999</v>
      </c>
      <c r="T98" s="9"/>
      <c r="U98" s="9">
        <v>123006.7</v>
      </c>
      <c r="V98" s="9"/>
      <c r="W98" s="9"/>
      <c r="X98" s="9" t="s">
        <v>234</v>
      </c>
      <c r="Y98" s="9">
        <v>110.5132714886</v>
      </c>
      <c r="Z98" s="9">
        <v>27200611.640000001</v>
      </c>
      <c r="AA98" s="9">
        <v>27323587.739999998</v>
      </c>
      <c r="AB98" s="9">
        <v>71288</v>
      </c>
    </row>
    <row r="99" spans="2:28">
      <c r="B99" s="9">
        <v>101</v>
      </c>
      <c r="C99" s="9" t="s">
        <v>73</v>
      </c>
      <c r="D99" s="9">
        <v>977</v>
      </c>
      <c r="E99" s="9" t="s">
        <v>73</v>
      </c>
      <c r="F99" s="9"/>
      <c r="G99" s="9"/>
      <c r="H99" s="9"/>
      <c r="I99" s="9" t="s">
        <v>2586</v>
      </c>
      <c r="J99" s="9" t="s">
        <v>2588</v>
      </c>
      <c r="K99" s="9" t="s">
        <v>2545</v>
      </c>
      <c r="L99" s="9" t="s">
        <v>2578</v>
      </c>
      <c r="M99" s="9" t="s">
        <v>2480</v>
      </c>
      <c r="N99" s="9" t="s">
        <v>410</v>
      </c>
      <c r="O99" s="9" t="s">
        <v>287</v>
      </c>
      <c r="P99" s="9" t="s">
        <v>158</v>
      </c>
      <c r="Q99" s="9" t="s">
        <v>2579</v>
      </c>
      <c r="R99" s="9">
        <v>-1.7408887835</v>
      </c>
      <c r="S99" s="9">
        <v>-1.7408887835</v>
      </c>
      <c r="T99" s="9"/>
      <c r="U99" s="9">
        <v>-428324.25</v>
      </c>
      <c r="V99" s="9"/>
      <c r="W99" s="9"/>
      <c r="X99" s="9" t="s">
        <v>234</v>
      </c>
      <c r="Y99" s="9">
        <v>108.58935834099999</v>
      </c>
      <c r="Z99" s="9">
        <v>27323587.739999998</v>
      </c>
      <c r="AA99" s="9">
        <v>20895167.550000001</v>
      </c>
      <c r="AB99" s="9">
        <v>71310</v>
      </c>
    </row>
    <row r="100" spans="2:28">
      <c r="B100" s="9">
        <v>15</v>
      </c>
      <c r="C100" s="9" t="s">
        <v>248</v>
      </c>
      <c r="D100" s="9">
        <v>1126</v>
      </c>
      <c r="E100" s="9" t="s">
        <v>248</v>
      </c>
      <c r="F100" s="9"/>
      <c r="G100" s="9"/>
      <c r="H100" s="9"/>
      <c r="I100" s="9" t="s">
        <v>2581</v>
      </c>
      <c r="J100" s="9" t="s">
        <v>2582</v>
      </c>
      <c r="K100" s="9" t="s">
        <v>2545</v>
      </c>
      <c r="L100" s="9" t="s">
        <v>2578</v>
      </c>
      <c r="M100" s="9" t="s">
        <v>2480</v>
      </c>
      <c r="N100" s="9" t="s">
        <v>626</v>
      </c>
      <c r="O100" s="9" t="s">
        <v>287</v>
      </c>
      <c r="P100" s="9" t="s">
        <v>158</v>
      </c>
      <c r="Q100" s="9" t="s">
        <v>2579</v>
      </c>
      <c r="R100" s="9">
        <v>1.7096262609999999</v>
      </c>
      <c r="S100" s="9">
        <v>1.709515688</v>
      </c>
      <c r="T100" s="9"/>
      <c r="U100" s="9"/>
      <c r="V100" s="9"/>
      <c r="W100" s="9"/>
      <c r="X100" s="9" t="s">
        <v>234</v>
      </c>
      <c r="Y100" s="9">
        <v>115.5497257825</v>
      </c>
      <c r="Z100" s="9">
        <v>552747450.25999999</v>
      </c>
      <c r="AA100" s="9">
        <v>566921647.71000004</v>
      </c>
      <c r="AB100" s="9">
        <v>71199</v>
      </c>
    </row>
    <row r="101" spans="2:28">
      <c r="B101" s="9">
        <v>32</v>
      </c>
      <c r="C101" s="9" t="s">
        <v>248</v>
      </c>
      <c r="D101" s="9">
        <v>1126</v>
      </c>
      <c r="E101" s="9" t="s">
        <v>248</v>
      </c>
      <c r="F101" s="9"/>
      <c r="G101" s="9"/>
      <c r="H101" s="9"/>
      <c r="I101" s="9" t="s">
        <v>2582</v>
      </c>
      <c r="J101" s="9" t="s">
        <v>2583</v>
      </c>
      <c r="K101" s="9" t="s">
        <v>2545</v>
      </c>
      <c r="L101" s="9" t="s">
        <v>2578</v>
      </c>
      <c r="M101" s="9" t="s">
        <v>2480</v>
      </c>
      <c r="N101" s="9" t="s">
        <v>626</v>
      </c>
      <c r="O101" s="9" t="s">
        <v>287</v>
      </c>
      <c r="P101" s="9" t="s">
        <v>158</v>
      </c>
      <c r="Q101" s="9" t="s">
        <v>2579</v>
      </c>
      <c r="R101" s="9">
        <v>1.5554836676999999</v>
      </c>
      <c r="S101" s="9">
        <v>1.5549005967</v>
      </c>
      <c r="T101" s="9"/>
      <c r="U101" s="9"/>
      <c r="V101" s="9"/>
      <c r="W101" s="9"/>
      <c r="X101" s="9" t="s">
        <v>234</v>
      </c>
      <c r="Y101" s="9">
        <v>117.3464091582</v>
      </c>
      <c r="Z101" s="9">
        <v>566921647.71000004</v>
      </c>
      <c r="AA101" s="9">
        <v>582146863.61000001</v>
      </c>
      <c r="AB101" s="9">
        <v>71221</v>
      </c>
    </row>
    <row r="102" spans="2:28">
      <c r="B102" s="9">
        <v>49</v>
      </c>
      <c r="C102" s="9" t="s">
        <v>248</v>
      </c>
      <c r="D102" s="9">
        <v>1126</v>
      </c>
      <c r="E102" s="9" t="s">
        <v>248</v>
      </c>
      <c r="F102" s="9"/>
      <c r="G102" s="9"/>
      <c r="H102" s="9"/>
      <c r="I102" s="9" t="s">
        <v>2583</v>
      </c>
      <c r="J102" s="9" t="s">
        <v>2584</v>
      </c>
      <c r="K102" s="9" t="s">
        <v>2545</v>
      </c>
      <c r="L102" s="9" t="s">
        <v>2578</v>
      </c>
      <c r="M102" s="9" t="s">
        <v>2480</v>
      </c>
      <c r="N102" s="9" t="s">
        <v>626</v>
      </c>
      <c r="O102" s="9" t="s">
        <v>287</v>
      </c>
      <c r="P102" s="9" t="s">
        <v>158</v>
      </c>
      <c r="Q102" s="9" t="s">
        <v>2579</v>
      </c>
      <c r="R102" s="9">
        <v>0.32753678060000002</v>
      </c>
      <c r="S102" s="9">
        <v>0.32712637030000002</v>
      </c>
      <c r="T102" s="9"/>
      <c r="U102" s="9"/>
      <c r="V102" s="9"/>
      <c r="W102" s="9"/>
      <c r="X102" s="9" t="s">
        <v>234</v>
      </c>
      <c r="Y102" s="9">
        <v>117.7302802072</v>
      </c>
      <c r="Z102" s="9">
        <v>582146863.61000001</v>
      </c>
      <c r="AA102" s="9">
        <v>607147003.58000004</v>
      </c>
      <c r="AB102" s="9">
        <v>71243</v>
      </c>
    </row>
    <row r="103" spans="2:28">
      <c r="B103" s="9">
        <v>66</v>
      </c>
      <c r="C103" s="9" t="s">
        <v>248</v>
      </c>
      <c r="D103" s="9">
        <v>1126</v>
      </c>
      <c r="E103" s="9" t="s">
        <v>248</v>
      </c>
      <c r="F103" s="9"/>
      <c r="G103" s="9"/>
      <c r="H103" s="9"/>
      <c r="I103" s="9" t="s">
        <v>2584</v>
      </c>
      <c r="J103" s="9" t="s">
        <v>2585</v>
      </c>
      <c r="K103" s="9" t="s">
        <v>2545</v>
      </c>
      <c r="L103" s="9" t="s">
        <v>2578</v>
      </c>
      <c r="M103" s="9" t="s">
        <v>2480</v>
      </c>
      <c r="N103" s="9" t="s">
        <v>626</v>
      </c>
      <c r="O103" s="9" t="s">
        <v>287</v>
      </c>
      <c r="P103" s="9" t="s">
        <v>158</v>
      </c>
      <c r="Q103" s="9" t="s">
        <v>2579</v>
      </c>
      <c r="R103" s="9">
        <v>1.2241868826</v>
      </c>
      <c r="S103" s="9">
        <v>1.2188573356000001</v>
      </c>
      <c r="T103" s="9"/>
      <c r="U103" s="9"/>
      <c r="V103" s="9"/>
      <c r="W103" s="9"/>
      <c r="X103" s="9" t="s">
        <v>234</v>
      </c>
      <c r="Y103" s="9">
        <v>119.1652443637</v>
      </c>
      <c r="Z103" s="9">
        <v>607147003.58000004</v>
      </c>
      <c r="AA103" s="9">
        <v>669270790.70000005</v>
      </c>
      <c r="AB103" s="9">
        <v>71265</v>
      </c>
    </row>
    <row r="104" spans="2:28">
      <c r="B104" s="9">
        <v>83</v>
      </c>
      <c r="C104" s="9" t="s">
        <v>248</v>
      </c>
      <c r="D104" s="9">
        <v>1126</v>
      </c>
      <c r="E104" s="9" t="s">
        <v>248</v>
      </c>
      <c r="F104" s="9"/>
      <c r="G104" s="9"/>
      <c r="H104" s="9"/>
      <c r="I104" s="9" t="s">
        <v>2585</v>
      </c>
      <c r="J104" s="9" t="s">
        <v>2586</v>
      </c>
      <c r="K104" s="9" t="s">
        <v>2545</v>
      </c>
      <c r="L104" s="9" t="s">
        <v>2578</v>
      </c>
      <c r="M104" s="9" t="s">
        <v>2480</v>
      </c>
      <c r="N104" s="9" t="s">
        <v>626</v>
      </c>
      <c r="O104" s="9" t="s">
        <v>287</v>
      </c>
      <c r="P104" s="9" t="s">
        <v>158</v>
      </c>
      <c r="Q104" s="9" t="s">
        <v>2579</v>
      </c>
      <c r="R104" s="9">
        <v>1.4626048919000001</v>
      </c>
      <c r="S104" s="9">
        <v>1.4607993036</v>
      </c>
      <c r="T104" s="9"/>
      <c r="U104" s="9"/>
      <c r="V104" s="9"/>
      <c r="W104" s="9"/>
      <c r="X104" s="9" t="s">
        <v>234</v>
      </c>
      <c r="Y104" s="9">
        <v>120.9060094235</v>
      </c>
      <c r="Z104" s="9">
        <v>669270790.70000005</v>
      </c>
      <c r="AA104" s="9">
        <v>672513120.59000003</v>
      </c>
      <c r="AB104" s="9">
        <v>71287</v>
      </c>
    </row>
    <row r="105" spans="2:28">
      <c r="B105" s="9">
        <v>100</v>
      </c>
      <c r="C105" s="9" t="s">
        <v>248</v>
      </c>
      <c r="D105" s="9">
        <v>1126</v>
      </c>
      <c r="E105" s="9" t="s">
        <v>248</v>
      </c>
      <c r="F105" s="9"/>
      <c r="G105" s="9"/>
      <c r="H105" s="9"/>
      <c r="I105" s="107" t="s">
        <v>2586</v>
      </c>
      <c r="J105" s="107" t="s">
        <v>2588</v>
      </c>
      <c r="K105" s="9" t="s">
        <v>2545</v>
      </c>
      <c r="L105" s="9" t="s">
        <v>2578</v>
      </c>
      <c r="M105" s="9" t="s">
        <v>2480</v>
      </c>
      <c r="N105" s="9" t="s">
        <v>626</v>
      </c>
      <c r="O105" s="9" t="s">
        <v>287</v>
      </c>
      <c r="P105" s="9" t="s">
        <v>158</v>
      </c>
      <c r="Q105" s="9" t="s">
        <v>2579</v>
      </c>
      <c r="R105" s="15">
        <v>-8.9806140100000001E-2</v>
      </c>
      <c r="S105" s="15">
        <v>-8.9806140100000001E-2</v>
      </c>
      <c r="T105" s="14"/>
      <c r="U105" s="15"/>
      <c r="V105" s="15"/>
      <c r="W105" s="9"/>
      <c r="X105" s="15" t="s">
        <v>234</v>
      </c>
      <c r="Y105" s="14">
        <v>120.7974284033</v>
      </c>
      <c r="Z105" s="14">
        <v>672513120.59000003</v>
      </c>
      <c r="AA105" s="9">
        <v>683527583.50999999</v>
      </c>
      <c r="AB105" s="9">
        <v>71309</v>
      </c>
    </row>
  </sheetData>
  <mergeCells count="2">
    <mergeCell ref="C2:AA2"/>
    <mergeCell ref="AD2:AY2"/>
  </mergeCells>
  <dataValidations count="8">
    <dataValidation type="list" allowBlank="1" showInputMessage="1" showErrorMessage="1" sqref="L4:L105 Q4:Q105 AN4:AN33">
      <formula1>"Yes,No"</formula1>
    </dataValidation>
    <dataValidation type="date" operator="greaterThan" allowBlank="1" showInputMessage="1" showErrorMessage="1" sqref="I4:I105 AK4:AL33">
      <formula1>1</formula1>
    </dataValidation>
    <dataValidation type="list" allowBlank="1" showInputMessage="1" showErrorMessage="1" sqref="K4:K105 AM4:AM33">
      <formula1>INDIRECT("trk.tblReturnFrequency[ReturnFrequency]")</formula1>
    </dataValidation>
    <dataValidation type="list" allowBlank="1" showInputMessage="1" showErrorMessage="1" sqref="M4:M105 AO4:AO33">
      <formula1>INDIRECT("trk.tblReturnType[ReturnType]")</formula1>
    </dataValidation>
    <dataValidation type="list" allowBlank="1" showInputMessage="1" showErrorMessage="1" sqref="N4:N105 AP4:AP33">
      <formula1>INDIRECT("tblCurrency[CurrencyCode]")</formula1>
    </dataValidation>
    <dataValidation type="list" allowBlank="1" showInputMessage="1" showErrorMessage="1" sqref="O4:O105 AQ4:AQ33">
      <formula1>INDIRECT("trk.tblReturnSource[ReturnSource]")</formula1>
    </dataValidation>
    <dataValidation type="list" allowBlank="1" showInputMessage="1" showErrorMessage="1" sqref="P4:P105">
      <formula1>INDIRECT("trk.tblReturnStatus[ReturnStatus]")</formula1>
    </dataValidation>
    <dataValidation type="date" operator="greaterThanOrEqual" allowBlank="1" showInputMessage="1" showErrorMessage="1" sqref="J4:J105">
      <formula1>F4</formula1>
    </dataValidation>
  </dataValidation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verPageComment">
    <tabColor theme="3" tint="0.59999389629810485"/>
  </sheetPr>
  <dimension ref="B1:C4"/>
  <sheetViews>
    <sheetView showGridLines="0" showRowColHeaders="0" workbookViewId="0">
      <pane ySplit="3" topLeftCell="A4" activePane="bottomLeft" state="frozen"/>
      <selection pane="bottomLeft"/>
    </sheetView>
  </sheetViews>
  <sheetFormatPr defaultRowHeight="15"/>
  <cols>
    <col min="2" max="2" width="17.28515625" style="10" customWidth="1"/>
    <col min="3" max="3" width="12" customWidth="1"/>
    <col min="4" max="4" width="17.28515625" customWidth="1"/>
    <col min="5" max="5" width="12" customWidth="1"/>
  </cols>
  <sheetData>
    <row r="1" spans="2:3">
      <c r="B1" t="str">
        <f t="array" ref="B1">IFERROR(INDEX(trk.tblReturnCoverPageComment[BOneFundCode],MIN(IF(IF(trk.tblReturnCoverPageComment[BOneFundCode]="",0,COUNTIF(trk.tblReturnCoverPageComment[BOneFundCode],trk.tblReturnCoverPageComment[BOneFundCode]))&lt;=1,10000000,ROW(trk.tblReturnCoverPageComment[BOneFundCode])-3))),"")</f>
        <v/>
      </c>
    </row>
    <row r="2" spans="2:3">
      <c r="B2" s="157" t="s">
        <v>76</v>
      </c>
      <c r="C2" s="157"/>
    </row>
    <row r="3" spans="2:3">
      <c r="B3" s="10" t="s">
        <v>54</v>
      </c>
      <c r="C3" t="s">
        <v>75</v>
      </c>
    </row>
    <row r="4" spans="2:3">
      <c r="B4" s="141"/>
      <c r="C4" s="142"/>
    </row>
  </sheetData>
  <mergeCells count="1">
    <mergeCell ref="B2:C2"/>
  </mergeCells>
  <conditionalFormatting sqref="B1">
    <cfRule type="notContainsBlanks" dxfId="24" priority="2">
      <formula>LEN(TRIM(B1))&gt;0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nfigTables">
    <tabColor theme="3" tint="0.59999389629810485"/>
  </sheetPr>
  <dimension ref="A1:Z69"/>
  <sheetViews>
    <sheetView showGridLines="0" showRowColHeaders="0" workbookViewId="0">
      <pane ySplit="4" topLeftCell="A5" activePane="bottomLeft" state="frozen"/>
      <selection pane="bottomLeft"/>
    </sheetView>
  </sheetViews>
  <sheetFormatPr defaultRowHeight="15" outlineLevelCol="1"/>
  <cols>
    <col min="1" max="1" width="6" bestFit="1" customWidth="1"/>
    <col min="2" max="2" width="5" hidden="1" customWidth="1"/>
    <col min="3" max="3" width="47.140625" customWidth="1"/>
    <col min="4" max="4" width="9.7109375" customWidth="1"/>
    <col min="5" max="5" width="5" hidden="1" customWidth="1"/>
    <col min="6" max="6" width="18.7109375" customWidth="1"/>
    <col min="7" max="7" width="9.140625" customWidth="1"/>
    <col min="8" max="8" width="5" hidden="1" customWidth="1"/>
    <col min="9" max="9" width="19.28515625" customWidth="1"/>
    <col min="10" max="10" width="9.140625" customWidth="1"/>
    <col min="11" max="11" width="10.7109375" hidden="1" customWidth="1"/>
    <col min="12" max="12" width="15" customWidth="1"/>
    <col min="13" max="13" width="19.28515625" hidden="1" customWidth="1" outlineLevel="1"/>
    <col min="14" max="14" width="4.5703125" hidden="1" customWidth="1" outlineLevel="1"/>
    <col min="15" max="15" width="19.85546875" hidden="1" customWidth="1" outlineLevel="1"/>
    <col min="16" max="16" width="26.85546875" hidden="1" customWidth="1" outlineLevel="1"/>
    <col min="17" max="17" width="18.140625" hidden="1" customWidth="1" outlineLevel="1"/>
    <col min="18" max="18" width="20" hidden="1" customWidth="1" outlineLevel="1"/>
    <col min="19" max="21" width="14.85546875" hidden="1" customWidth="1" outlineLevel="1"/>
    <col min="22" max="22" width="9.140625" collapsed="1"/>
    <col min="23" max="23" width="5" hidden="1" customWidth="1"/>
    <col min="24" max="24" width="24.85546875" customWidth="1"/>
    <col min="25" max="25" width="26.28515625" customWidth="1"/>
    <col min="26" max="26" width="9.85546875" customWidth="1"/>
  </cols>
  <sheetData>
    <row r="1" spans="1:26">
      <c r="A1" s="152">
        <v>71184</v>
      </c>
    </row>
    <row r="2" spans="1:26">
      <c r="L2" t="str">
        <f t="array" ref="L2">IFERROR(INDEX(trk.tblReturnTolerance[BOneFundCode],MIN(IF(IF(trk.tblReturnTolerance[BOneFundCode]="",0,COUNTIF(trk.tblReturnTolerance[BOneFundCode],trk.tblReturnTolerance[BOneFundCode]))&lt;=1,10000000,ROW(trk.tblReturnTolerance[BOneFundCode])-3))),"")</f>
        <v/>
      </c>
    </row>
    <row r="3" spans="1:26">
      <c r="B3" s="157" t="s">
        <v>74</v>
      </c>
      <c r="C3" s="157"/>
      <c r="E3" s="12" t="s">
        <v>157</v>
      </c>
      <c r="F3" s="12" t="s">
        <v>256</v>
      </c>
      <c r="H3" s="157" t="s">
        <v>49</v>
      </c>
      <c r="I3" s="157"/>
      <c r="K3" s="158" t="s">
        <v>154</v>
      </c>
      <c r="L3" s="158"/>
      <c r="M3" s="158"/>
      <c r="N3" s="158"/>
      <c r="O3" s="158"/>
      <c r="P3" s="158"/>
      <c r="Q3" s="158"/>
      <c r="R3" s="158"/>
      <c r="S3" s="158"/>
      <c r="T3" s="158"/>
      <c r="U3" s="37"/>
      <c r="W3" s="158" t="s">
        <v>255</v>
      </c>
      <c r="X3" s="158"/>
      <c r="Y3" s="158"/>
      <c r="Z3" s="158"/>
    </row>
    <row r="4" spans="1:26">
      <c r="B4" t="s">
        <v>46</v>
      </c>
      <c r="C4" t="s">
        <v>30</v>
      </c>
      <c r="E4" t="s">
        <v>46</v>
      </c>
      <c r="F4" t="s">
        <v>157</v>
      </c>
      <c r="H4" t="s">
        <v>46</v>
      </c>
      <c r="I4" t="s">
        <v>49</v>
      </c>
      <c r="K4" t="s">
        <v>146</v>
      </c>
      <c r="L4" t="s">
        <v>54</v>
      </c>
      <c r="M4" t="s">
        <v>127</v>
      </c>
      <c r="N4" t="s">
        <v>126</v>
      </c>
      <c r="O4" t="s">
        <v>147</v>
      </c>
      <c r="P4" t="s">
        <v>148</v>
      </c>
      <c r="Q4" t="s">
        <v>149</v>
      </c>
      <c r="R4" t="s">
        <v>150</v>
      </c>
      <c r="S4" t="s">
        <v>151</v>
      </c>
      <c r="T4" t="s">
        <v>152</v>
      </c>
      <c r="U4" t="s">
        <v>153</v>
      </c>
      <c r="W4" t="s">
        <v>46</v>
      </c>
      <c r="X4" t="s">
        <v>252</v>
      </c>
      <c r="Y4" t="s">
        <v>253</v>
      </c>
      <c r="Z4" t="s">
        <v>254</v>
      </c>
    </row>
    <row r="5" spans="1:26">
      <c r="B5" s="9">
        <v>1</v>
      </c>
      <c r="C5" s="9" t="s">
        <v>2480</v>
      </c>
      <c r="E5" s="9">
        <v>1</v>
      </c>
      <c r="F5" s="9" t="s">
        <v>2545</v>
      </c>
      <c r="H5" s="9">
        <v>1</v>
      </c>
      <c r="I5" s="9" t="s">
        <v>2477</v>
      </c>
      <c r="K5" s="9"/>
      <c r="L5" s="150"/>
      <c r="M5" s="9"/>
      <c r="N5" s="9"/>
      <c r="O5" s="9"/>
      <c r="P5" s="9"/>
      <c r="Q5" s="9"/>
      <c r="R5" s="9"/>
      <c r="S5" s="9"/>
      <c r="T5" s="9"/>
      <c r="U5" s="9"/>
      <c r="W5" s="9"/>
      <c r="X5" s="19"/>
      <c r="Y5" s="9"/>
      <c r="Z5" s="9"/>
    </row>
    <row r="6" spans="1:26">
      <c r="B6" s="199">
        <v>2</v>
      </c>
      <c r="C6" s="199" t="s">
        <v>2481</v>
      </c>
      <c r="E6" s="199">
        <v>2</v>
      </c>
      <c r="F6" s="199" t="s">
        <v>2546</v>
      </c>
      <c r="H6" s="199">
        <v>2</v>
      </c>
      <c r="I6" s="199" t="s">
        <v>158</v>
      </c>
    </row>
    <row r="7" spans="1:26">
      <c r="B7" s="199">
        <v>3</v>
      </c>
      <c r="C7" s="199" t="s">
        <v>2482</v>
      </c>
      <c r="E7" s="199">
        <v>3</v>
      </c>
      <c r="F7" s="199" t="s">
        <v>2547</v>
      </c>
      <c r="H7" s="199">
        <v>3</v>
      </c>
      <c r="I7" s="199" t="s">
        <v>2478</v>
      </c>
      <c r="L7" s="10"/>
    </row>
    <row r="8" spans="1:26">
      <c r="B8" s="199">
        <v>4</v>
      </c>
      <c r="C8" s="199" t="s">
        <v>2483</v>
      </c>
      <c r="E8" s="199">
        <v>4</v>
      </c>
      <c r="F8" s="199" t="s">
        <v>2548</v>
      </c>
      <c r="H8" s="199">
        <v>4</v>
      </c>
      <c r="I8" s="199" t="s">
        <v>2479</v>
      </c>
    </row>
    <row r="9" spans="1:26">
      <c r="B9" s="199">
        <v>5</v>
      </c>
      <c r="C9" s="199" t="s">
        <v>2484</v>
      </c>
      <c r="E9" s="199">
        <v>5</v>
      </c>
      <c r="F9" s="199" t="s">
        <v>2549</v>
      </c>
    </row>
    <row r="10" spans="1:26">
      <c r="B10" s="199">
        <v>6</v>
      </c>
      <c r="C10" s="199" t="s">
        <v>2485</v>
      </c>
      <c r="E10" s="199">
        <v>6</v>
      </c>
      <c r="F10" s="199" t="s">
        <v>2550</v>
      </c>
      <c r="L10" s="153"/>
    </row>
    <row r="11" spans="1:26">
      <c r="B11" s="199">
        <v>7</v>
      </c>
      <c r="C11" s="199" t="s">
        <v>2486</v>
      </c>
      <c r="E11" s="199">
        <v>7</v>
      </c>
      <c r="F11" s="199" t="s">
        <v>2551</v>
      </c>
    </row>
    <row r="12" spans="1:26">
      <c r="B12" s="199">
        <v>8</v>
      </c>
      <c r="C12" s="199" t="s">
        <v>2487</v>
      </c>
      <c r="E12" s="199">
        <v>8</v>
      </c>
      <c r="F12" s="199" t="s">
        <v>159</v>
      </c>
    </row>
    <row r="13" spans="1:26">
      <c r="B13" s="199">
        <v>9</v>
      </c>
      <c r="C13" s="199" t="s">
        <v>2488</v>
      </c>
      <c r="E13" s="199">
        <v>9</v>
      </c>
      <c r="F13" s="199" t="s">
        <v>160</v>
      </c>
    </row>
    <row r="14" spans="1:26">
      <c r="B14" s="199">
        <v>10</v>
      </c>
      <c r="C14" s="199" t="s">
        <v>2489</v>
      </c>
      <c r="E14" s="199">
        <v>10</v>
      </c>
      <c r="F14" s="199" t="s">
        <v>161</v>
      </c>
    </row>
    <row r="15" spans="1:26">
      <c r="B15" s="199">
        <v>11</v>
      </c>
      <c r="C15" s="199" t="s">
        <v>2490</v>
      </c>
      <c r="E15" s="199">
        <v>11</v>
      </c>
      <c r="F15" s="199" t="s">
        <v>2552</v>
      </c>
    </row>
    <row r="16" spans="1:26">
      <c r="B16" s="199">
        <v>12</v>
      </c>
      <c r="C16" s="199" t="s">
        <v>2491</v>
      </c>
      <c r="E16" s="199">
        <v>12</v>
      </c>
      <c r="F16" s="199" t="s">
        <v>2553</v>
      </c>
    </row>
    <row r="17" spans="2:6">
      <c r="B17" s="199">
        <v>13</v>
      </c>
      <c r="C17" s="199" t="s">
        <v>2492</v>
      </c>
      <c r="E17" s="199">
        <v>13</v>
      </c>
      <c r="F17" s="199" t="s">
        <v>2554</v>
      </c>
    </row>
    <row r="18" spans="2:6">
      <c r="B18" s="199">
        <v>14</v>
      </c>
      <c r="C18" s="199" t="s">
        <v>2493</v>
      </c>
      <c r="E18" s="199">
        <v>14</v>
      </c>
      <c r="F18" s="199" t="s">
        <v>2555</v>
      </c>
    </row>
    <row r="19" spans="2:6">
      <c r="B19" s="199">
        <v>15</v>
      </c>
      <c r="C19" s="199" t="s">
        <v>2494</v>
      </c>
      <c r="E19" s="199">
        <v>15</v>
      </c>
      <c r="F19" s="199" t="s">
        <v>162</v>
      </c>
    </row>
    <row r="20" spans="2:6">
      <c r="B20" s="199">
        <v>16</v>
      </c>
      <c r="C20" s="199" t="s">
        <v>2495</v>
      </c>
      <c r="E20" s="199">
        <v>16</v>
      </c>
      <c r="F20" s="199" t="s">
        <v>2556</v>
      </c>
    </row>
    <row r="21" spans="2:6">
      <c r="B21" s="199">
        <v>17</v>
      </c>
      <c r="C21" s="199" t="s">
        <v>2496</v>
      </c>
      <c r="E21" s="199">
        <v>17</v>
      </c>
      <c r="F21" s="199" t="s">
        <v>2557</v>
      </c>
    </row>
    <row r="22" spans="2:6">
      <c r="B22" s="199">
        <v>18</v>
      </c>
      <c r="C22" s="199" t="s">
        <v>2497</v>
      </c>
      <c r="E22" s="199">
        <v>18</v>
      </c>
      <c r="F22" s="199" t="s">
        <v>2558</v>
      </c>
    </row>
    <row r="23" spans="2:6">
      <c r="B23" s="199">
        <v>19</v>
      </c>
      <c r="C23" s="199" t="s">
        <v>2498</v>
      </c>
      <c r="E23" s="199">
        <v>19</v>
      </c>
      <c r="F23" s="199" t="s">
        <v>2559</v>
      </c>
    </row>
    <row r="24" spans="2:6">
      <c r="B24" s="199">
        <v>20</v>
      </c>
      <c r="C24" s="199" t="s">
        <v>2499</v>
      </c>
      <c r="E24" s="199">
        <v>20</v>
      </c>
      <c r="F24" s="199" t="s">
        <v>2560</v>
      </c>
    </row>
    <row r="25" spans="2:6">
      <c r="B25" s="199">
        <v>21</v>
      </c>
      <c r="C25" s="199" t="s">
        <v>2500</v>
      </c>
      <c r="E25" s="199">
        <v>21</v>
      </c>
      <c r="F25" s="199" t="s">
        <v>163</v>
      </c>
    </row>
    <row r="26" spans="2:6">
      <c r="B26" s="199">
        <v>22</v>
      </c>
      <c r="C26" s="199" t="s">
        <v>2501</v>
      </c>
    </row>
    <row r="27" spans="2:6">
      <c r="B27" s="199">
        <v>23</v>
      </c>
      <c r="C27" s="199" t="s">
        <v>2502</v>
      </c>
    </row>
    <row r="28" spans="2:6">
      <c r="B28" s="199">
        <v>24</v>
      </c>
      <c r="C28" s="199" t="s">
        <v>2503</v>
      </c>
    </row>
    <row r="29" spans="2:6">
      <c r="B29" s="199">
        <v>25</v>
      </c>
      <c r="C29" s="199" t="s">
        <v>2504</v>
      </c>
    </row>
    <row r="30" spans="2:6">
      <c r="B30" s="199">
        <v>26</v>
      </c>
      <c r="C30" s="199" t="s">
        <v>2505</v>
      </c>
    </row>
    <row r="31" spans="2:6">
      <c r="B31" s="199">
        <v>27</v>
      </c>
      <c r="C31" s="199" t="s">
        <v>2506</v>
      </c>
    </row>
    <row r="32" spans="2:6">
      <c r="B32" s="199">
        <v>28</v>
      </c>
      <c r="C32" s="199" t="s">
        <v>2507</v>
      </c>
    </row>
    <row r="33" spans="2:3">
      <c r="B33" s="199">
        <v>29</v>
      </c>
      <c r="C33" s="199" t="s">
        <v>2508</v>
      </c>
    </row>
    <row r="34" spans="2:3">
      <c r="B34" s="199">
        <v>30</v>
      </c>
      <c r="C34" s="199" t="s">
        <v>2509</v>
      </c>
    </row>
    <row r="35" spans="2:3">
      <c r="B35" s="199">
        <v>31</v>
      </c>
      <c r="C35" s="199" t="s">
        <v>2510</v>
      </c>
    </row>
    <row r="36" spans="2:3">
      <c r="B36" s="199">
        <v>32</v>
      </c>
      <c r="C36" s="199" t="s">
        <v>2511</v>
      </c>
    </row>
    <row r="37" spans="2:3">
      <c r="B37" s="199">
        <v>33</v>
      </c>
      <c r="C37" s="199" t="s">
        <v>2512</v>
      </c>
    </row>
    <row r="38" spans="2:3">
      <c r="B38" s="199">
        <v>34</v>
      </c>
      <c r="C38" s="199" t="s">
        <v>2513</v>
      </c>
    </row>
    <row r="39" spans="2:3">
      <c r="B39" s="199">
        <v>35</v>
      </c>
      <c r="C39" s="199" t="s">
        <v>2514</v>
      </c>
    </row>
    <row r="40" spans="2:3">
      <c r="B40" s="199">
        <v>36</v>
      </c>
      <c r="C40" s="199" t="s">
        <v>2515</v>
      </c>
    </row>
    <row r="41" spans="2:3">
      <c r="B41" s="199">
        <v>37</v>
      </c>
      <c r="C41" s="199" t="s">
        <v>2516</v>
      </c>
    </row>
    <row r="42" spans="2:3">
      <c r="B42" s="199">
        <v>38</v>
      </c>
      <c r="C42" s="199" t="s">
        <v>2517</v>
      </c>
    </row>
    <row r="43" spans="2:3">
      <c r="B43" s="199">
        <v>39</v>
      </c>
      <c r="C43" s="199" t="s">
        <v>2518</v>
      </c>
    </row>
    <row r="44" spans="2:3">
      <c r="B44" s="199">
        <v>40</v>
      </c>
      <c r="C44" s="199" t="s">
        <v>2519</v>
      </c>
    </row>
    <row r="45" spans="2:3">
      <c r="B45" s="199">
        <v>41</v>
      </c>
      <c r="C45" s="199" t="s">
        <v>2520</v>
      </c>
    </row>
    <row r="46" spans="2:3">
      <c r="B46" s="199">
        <v>42</v>
      </c>
      <c r="C46" s="199" t="s">
        <v>2521</v>
      </c>
    </row>
    <row r="47" spans="2:3">
      <c r="B47" s="199">
        <v>43</v>
      </c>
      <c r="C47" s="199" t="s">
        <v>2522</v>
      </c>
    </row>
    <row r="48" spans="2:3">
      <c r="B48" s="199">
        <v>44</v>
      </c>
      <c r="C48" s="199" t="s">
        <v>2523</v>
      </c>
    </row>
    <row r="49" spans="2:3">
      <c r="B49" s="199">
        <v>45</v>
      </c>
      <c r="C49" s="199" t="s">
        <v>2524</v>
      </c>
    </row>
    <row r="50" spans="2:3">
      <c r="B50" s="199">
        <v>46</v>
      </c>
      <c r="C50" s="199" t="s">
        <v>2525</v>
      </c>
    </row>
    <row r="51" spans="2:3">
      <c r="B51" s="199">
        <v>47</v>
      </c>
      <c r="C51" s="199" t="s">
        <v>2526</v>
      </c>
    </row>
    <row r="52" spans="2:3">
      <c r="B52" s="199">
        <v>48</v>
      </c>
      <c r="C52" s="199" t="s">
        <v>2527</v>
      </c>
    </row>
    <row r="53" spans="2:3">
      <c r="B53" s="199">
        <v>49</v>
      </c>
      <c r="C53" s="199" t="s">
        <v>2528</v>
      </c>
    </row>
    <row r="54" spans="2:3">
      <c r="B54" s="199">
        <v>50</v>
      </c>
      <c r="C54" s="199" t="s">
        <v>2529</v>
      </c>
    </row>
    <row r="55" spans="2:3">
      <c r="B55" s="199">
        <v>51</v>
      </c>
      <c r="C55" s="199" t="s">
        <v>2530</v>
      </c>
    </row>
    <row r="56" spans="2:3">
      <c r="B56" s="199">
        <v>52</v>
      </c>
      <c r="C56" s="199" t="s">
        <v>2531</v>
      </c>
    </row>
    <row r="57" spans="2:3">
      <c r="B57" s="199">
        <v>53</v>
      </c>
      <c r="C57" s="199" t="s">
        <v>2532</v>
      </c>
    </row>
    <row r="58" spans="2:3">
      <c r="B58" s="199">
        <v>54</v>
      </c>
      <c r="C58" s="199" t="s">
        <v>2533</v>
      </c>
    </row>
    <row r="59" spans="2:3">
      <c r="B59" s="199">
        <v>55</v>
      </c>
      <c r="C59" s="199" t="s">
        <v>2534</v>
      </c>
    </row>
    <row r="60" spans="2:3">
      <c r="B60" s="199">
        <v>56</v>
      </c>
      <c r="C60" s="199" t="s">
        <v>2535</v>
      </c>
    </row>
    <row r="61" spans="2:3">
      <c r="B61" s="199">
        <v>57</v>
      </c>
      <c r="C61" s="199" t="s">
        <v>2536</v>
      </c>
    </row>
    <row r="62" spans="2:3">
      <c r="B62" s="199">
        <v>58</v>
      </c>
      <c r="C62" s="199" t="s">
        <v>2537</v>
      </c>
    </row>
    <row r="63" spans="2:3">
      <c r="B63" s="199">
        <v>59</v>
      </c>
      <c r="C63" s="199" t="s">
        <v>2538</v>
      </c>
    </row>
    <row r="64" spans="2:3">
      <c r="B64" s="199">
        <v>60</v>
      </c>
      <c r="C64" s="199" t="s">
        <v>2539</v>
      </c>
    </row>
    <row r="65" spans="2:3">
      <c r="B65" s="199">
        <v>61</v>
      </c>
      <c r="C65" s="199" t="s">
        <v>2540</v>
      </c>
    </row>
    <row r="66" spans="2:3">
      <c r="B66" s="199">
        <v>62</v>
      </c>
      <c r="C66" s="199" t="s">
        <v>2541</v>
      </c>
    </row>
    <row r="67" spans="2:3">
      <c r="B67" s="199">
        <v>63</v>
      </c>
      <c r="C67" s="199" t="s">
        <v>2542</v>
      </c>
    </row>
    <row r="68" spans="2:3">
      <c r="B68" s="199">
        <v>64</v>
      </c>
      <c r="C68" s="199" t="s">
        <v>2543</v>
      </c>
    </row>
    <row r="69" spans="2:3">
      <c r="B69" s="199">
        <v>65</v>
      </c>
      <c r="C69" s="199" t="s">
        <v>2544</v>
      </c>
    </row>
  </sheetData>
  <mergeCells count="4">
    <mergeCell ref="B3:C3"/>
    <mergeCell ref="H3:I3"/>
    <mergeCell ref="K3:T3"/>
    <mergeCell ref="W3:Z3"/>
  </mergeCells>
  <conditionalFormatting sqref="L2">
    <cfRule type="cellIs" dxfId="23" priority="1" operator="notEqual">
      <formula>""</formula>
    </cfRule>
  </conditionalFormatting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RefTables">
    <tabColor theme="4" tint="0.39997558519241921"/>
  </sheetPr>
  <dimension ref="B3:AR513"/>
  <sheetViews>
    <sheetView showGridLines="0" showRowColHeaders="0" workbookViewId="0">
      <pane ySplit="4" topLeftCell="A5" activePane="bottomLeft" state="frozen"/>
      <selection pane="bottomLeft"/>
    </sheetView>
  </sheetViews>
  <sheetFormatPr defaultRowHeight="15" outlineLevelCol="1"/>
  <cols>
    <col min="2" max="2" width="5" hidden="1" customWidth="1"/>
    <col min="3" max="3" width="24.42578125" customWidth="1"/>
    <col min="5" max="5" width="5" hidden="1" customWidth="1"/>
    <col min="6" max="6" width="15.85546875" customWidth="1"/>
    <col min="7" max="7" width="40.42578125" customWidth="1"/>
    <col min="9" max="9" width="15.7109375" customWidth="1"/>
    <col min="10" max="10" width="16.28515625" hidden="1" customWidth="1" outlineLevel="1"/>
    <col min="11" max="11" width="13.7109375" hidden="1" customWidth="1" outlineLevel="1"/>
    <col min="12" max="12" width="15.42578125" hidden="1" customWidth="1" outlineLevel="1"/>
    <col min="13" max="13" width="15.7109375" hidden="1" customWidth="1" outlineLevel="1"/>
    <col min="14" max="14" width="5" hidden="1" customWidth="1" outlineLevel="1"/>
    <col min="15" max="15" width="24" hidden="1" customWidth="1" outlineLevel="1"/>
    <col min="16" max="16" width="14.140625" hidden="1" customWidth="1" outlineLevel="1"/>
    <col min="17" max="17" width="18.42578125" hidden="1" customWidth="1" outlineLevel="1"/>
    <col min="18" max="18" width="21.7109375" hidden="1" customWidth="1" outlineLevel="1"/>
    <col min="19" max="19" width="7" hidden="1" customWidth="1" outlineLevel="1"/>
    <col min="20" max="20" width="16.140625" hidden="1" customWidth="1" outlineLevel="1"/>
    <col min="21" max="21" width="81.140625" hidden="1" customWidth="1" outlineLevel="1"/>
    <col min="22" max="22" width="9.140625" hidden="1" customWidth="1" outlineLevel="1"/>
    <col min="23" max="23" width="9.140625" collapsed="1"/>
    <col min="24" max="24" width="8.5703125" hidden="1" customWidth="1"/>
    <col min="25" max="25" width="40.85546875" customWidth="1"/>
    <col min="26" max="26" width="15.140625" hidden="1" customWidth="1" outlineLevel="1"/>
    <col min="27" max="27" width="17.7109375" hidden="1" customWidth="1" outlineLevel="1"/>
    <col min="28" max="28" width="81.140625" hidden="1" customWidth="1" outlineLevel="1"/>
    <col min="29" max="29" width="9.28515625" hidden="1" customWidth="1" outlineLevel="1"/>
    <col min="30" max="30" width="9.140625" collapsed="1"/>
    <col min="31" max="31" width="5" hidden="1" customWidth="1"/>
    <col min="32" max="32" width="19" customWidth="1"/>
    <col min="33" max="33" width="75.85546875" hidden="1" customWidth="1" outlineLevel="1"/>
    <col min="34" max="34" width="16.42578125" hidden="1" customWidth="1" outlineLevel="1"/>
    <col min="35" max="35" width="6.28515625" hidden="1" customWidth="1" outlineLevel="1"/>
    <col min="36" max="36" width="11.7109375" hidden="1" customWidth="1" outlineLevel="1"/>
    <col min="37" max="37" width="21.42578125" hidden="1" customWidth="1" outlineLevel="1"/>
    <col min="38" max="38" width="9.42578125" hidden="1" customWidth="1" outlineLevel="1"/>
    <col min="39" max="39" width="7.28515625" hidden="1" customWidth="1" outlineLevel="1"/>
    <col min="40" max="40" width="9.28515625" hidden="1" customWidth="1" outlineLevel="1"/>
    <col min="41" max="41" width="9.140625" collapsed="1"/>
    <col min="42" max="42" width="5" hidden="1" customWidth="1"/>
    <col min="43" max="43" width="17.5703125" customWidth="1"/>
    <col min="44" max="44" width="12.28515625" customWidth="1"/>
  </cols>
  <sheetData>
    <row r="3" spans="2:44">
      <c r="B3" s="157" t="s">
        <v>48</v>
      </c>
      <c r="C3" s="157"/>
      <c r="E3" s="157" t="s">
        <v>50</v>
      </c>
      <c r="F3" s="157"/>
      <c r="G3" s="157"/>
      <c r="I3" s="158" t="s">
        <v>97</v>
      </c>
      <c r="J3" s="158"/>
      <c r="K3" s="158"/>
      <c r="L3" s="158"/>
      <c r="M3" s="158"/>
      <c r="N3" s="158"/>
      <c r="O3" s="18"/>
      <c r="P3" s="24"/>
      <c r="Q3" s="24"/>
      <c r="R3" s="24"/>
      <c r="S3" s="24"/>
      <c r="T3" s="44"/>
      <c r="U3" s="44"/>
      <c r="X3" s="158" t="s">
        <v>98</v>
      </c>
      <c r="Y3" s="158"/>
      <c r="Z3" s="158"/>
      <c r="AA3" s="158"/>
      <c r="AB3" s="158"/>
      <c r="AC3" s="158"/>
      <c r="AE3" s="158" t="s">
        <v>245</v>
      </c>
      <c r="AF3" s="158"/>
      <c r="AG3" s="158"/>
      <c r="AH3" s="158"/>
      <c r="AI3" s="158"/>
      <c r="AJ3" s="158"/>
      <c r="AK3" s="158"/>
      <c r="AL3" s="158"/>
      <c r="AM3" s="158"/>
      <c r="AN3" s="158"/>
      <c r="AP3" s="158" t="s">
        <v>247</v>
      </c>
      <c r="AQ3" s="158"/>
      <c r="AR3" s="158"/>
    </row>
    <row r="4" spans="2:44">
      <c r="B4" t="s">
        <v>46</v>
      </c>
      <c r="C4" t="s">
        <v>58</v>
      </c>
      <c r="E4" t="s">
        <v>46</v>
      </c>
      <c r="F4" t="s">
        <v>51</v>
      </c>
      <c r="G4" t="s">
        <v>47</v>
      </c>
      <c r="I4" t="s">
        <v>54</v>
      </c>
      <c r="J4" t="s">
        <v>53</v>
      </c>
      <c r="K4" t="s">
        <v>60</v>
      </c>
      <c r="L4" t="s">
        <v>55</v>
      </c>
      <c r="M4" t="s">
        <v>56</v>
      </c>
      <c r="N4" t="s">
        <v>126</v>
      </c>
      <c r="O4" t="s">
        <v>127</v>
      </c>
      <c r="P4" t="s">
        <v>131</v>
      </c>
      <c r="Q4" t="s">
        <v>132</v>
      </c>
      <c r="R4" t="s">
        <v>133</v>
      </c>
      <c r="S4" t="s">
        <v>95</v>
      </c>
      <c r="T4" t="s">
        <v>235</v>
      </c>
      <c r="U4" t="s">
        <v>236</v>
      </c>
      <c r="X4" t="s">
        <v>96</v>
      </c>
      <c r="Y4" t="s">
        <v>93</v>
      </c>
      <c r="Z4" t="s">
        <v>107</v>
      </c>
      <c r="AA4" t="s">
        <v>94</v>
      </c>
      <c r="AB4" t="s">
        <v>47</v>
      </c>
      <c r="AC4" t="s">
        <v>95</v>
      </c>
      <c r="AE4" t="s">
        <v>46</v>
      </c>
      <c r="AF4" t="s">
        <v>240</v>
      </c>
      <c r="AG4" t="s">
        <v>47</v>
      </c>
      <c r="AH4" t="s">
        <v>131</v>
      </c>
      <c r="AI4" t="s">
        <v>241</v>
      </c>
      <c r="AJ4" t="s">
        <v>127</v>
      </c>
      <c r="AK4" t="s">
        <v>242</v>
      </c>
      <c r="AL4" t="s">
        <v>243</v>
      </c>
      <c r="AM4" t="s">
        <v>244</v>
      </c>
      <c r="AN4" t="s">
        <v>95</v>
      </c>
      <c r="AP4" t="s">
        <v>46</v>
      </c>
      <c r="AQ4" t="s">
        <v>246</v>
      </c>
      <c r="AR4" t="s">
        <v>77</v>
      </c>
    </row>
    <row r="5" spans="2:44">
      <c r="B5" s="9">
        <v>1</v>
      </c>
      <c r="C5" s="9" t="s">
        <v>287</v>
      </c>
      <c r="E5" s="9">
        <v>1</v>
      </c>
      <c r="F5" s="9" t="s">
        <v>292</v>
      </c>
      <c r="G5" s="9" t="s">
        <v>293</v>
      </c>
      <c r="I5" s="9" t="s">
        <v>688</v>
      </c>
      <c r="J5" s="9" t="s">
        <v>688</v>
      </c>
      <c r="K5" s="9">
        <v>2</v>
      </c>
      <c r="L5" s="9"/>
      <c r="M5" s="9"/>
      <c r="N5" s="9" t="s">
        <v>410</v>
      </c>
      <c r="O5" s="9" t="s">
        <v>689</v>
      </c>
      <c r="P5" s="9" t="s">
        <v>690</v>
      </c>
      <c r="Q5" s="9"/>
      <c r="R5" s="9"/>
      <c r="S5" s="9" t="b">
        <v>0</v>
      </c>
      <c r="T5" s="9"/>
      <c r="U5" s="9"/>
      <c r="X5" s="9">
        <v>1</v>
      </c>
      <c r="Y5" s="9"/>
      <c r="Z5" s="9"/>
      <c r="AA5" s="9"/>
      <c r="AB5" s="9" t="s">
        <v>1609</v>
      </c>
      <c r="AC5" s="9"/>
      <c r="AE5" s="9">
        <v>1</v>
      </c>
      <c r="AF5" s="9" t="s">
        <v>1844</v>
      </c>
      <c r="AG5" s="9" t="s">
        <v>1845</v>
      </c>
      <c r="AH5" s="9" t="s">
        <v>1846</v>
      </c>
      <c r="AI5" s="9" t="s">
        <v>410</v>
      </c>
      <c r="AJ5" s="9"/>
      <c r="AK5" s="9"/>
      <c r="AL5" s="9"/>
      <c r="AM5" s="9"/>
      <c r="AN5" s="9"/>
      <c r="AP5" s="9">
        <v>1</v>
      </c>
      <c r="AQ5" s="9" t="s">
        <v>1849</v>
      </c>
      <c r="AR5" s="9" t="s">
        <v>780</v>
      </c>
    </row>
    <row r="6" spans="2:44">
      <c r="B6" s="199">
        <v>2</v>
      </c>
      <c r="C6" s="199" t="s">
        <v>288</v>
      </c>
      <c r="E6" s="199">
        <v>2</v>
      </c>
      <c r="F6" s="199" t="s">
        <v>294</v>
      </c>
      <c r="G6" s="199" t="s">
        <v>295</v>
      </c>
      <c r="I6" s="9" t="s">
        <v>691</v>
      </c>
      <c r="J6" s="9" t="s">
        <v>691</v>
      </c>
      <c r="K6" s="9">
        <v>3</v>
      </c>
      <c r="L6" s="9"/>
      <c r="M6" s="9"/>
      <c r="N6" s="9" t="s">
        <v>410</v>
      </c>
      <c r="O6" s="9" t="s">
        <v>689</v>
      </c>
      <c r="P6" s="9" t="s">
        <v>690</v>
      </c>
      <c r="Q6" s="9"/>
      <c r="R6" s="9"/>
      <c r="S6" s="9" t="b">
        <v>0</v>
      </c>
      <c r="T6" s="9"/>
      <c r="U6" s="9"/>
      <c r="X6" s="199">
        <v>2</v>
      </c>
      <c r="Y6" s="199" t="s">
        <v>61</v>
      </c>
      <c r="Z6" s="199"/>
      <c r="AA6" s="199"/>
      <c r="AB6" s="199" t="s">
        <v>61</v>
      </c>
      <c r="AC6" s="199"/>
      <c r="AE6" s="199">
        <v>2</v>
      </c>
      <c r="AF6" s="199" t="s">
        <v>1847</v>
      </c>
      <c r="AG6" s="199" t="s">
        <v>1848</v>
      </c>
      <c r="AH6" s="199" t="s">
        <v>1846</v>
      </c>
      <c r="AI6" s="199" t="s">
        <v>410</v>
      </c>
      <c r="AJ6" s="199"/>
      <c r="AK6" s="199"/>
      <c r="AL6" s="199"/>
      <c r="AM6" s="199"/>
      <c r="AN6" s="199"/>
      <c r="AP6" s="199">
        <v>2</v>
      </c>
      <c r="AQ6" s="199" t="s">
        <v>1853</v>
      </c>
      <c r="AR6" s="199" t="s">
        <v>1480</v>
      </c>
    </row>
    <row r="7" spans="2:44">
      <c r="B7" s="199">
        <v>3</v>
      </c>
      <c r="C7" s="199" t="s">
        <v>289</v>
      </c>
      <c r="E7" s="199">
        <v>3</v>
      </c>
      <c r="F7" s="199" t="s">
        <v>296</v>
      </c>
      <c r="G7" s="199" t="s">
        <v>297</v>
      </c>
      <c r="I7" s="9" t="s">
        <v>692</v>
      </c>
      <c r="J7" s="9" t="s">
        <v>692</v>
      </c>
      <c r="K7" s="9">
        <v>4</v>
      </c>
      <c r="L7" s="9"/>
      <c r="M7" s="9"/>
      <c r="N7" s="9" t="s">
        <v>410</v>
      </c>
      <c r="O7" s="9" t="s">
        <v>689</v>
      </c>
      <c r="P7" s="9" t="s">
        <v>693</v>
      </c>
      <c r="Q7" s="9"/>
      <c r="R7" s="9"/>
      <c r="S7" s="9" t="b">
        <v>0</v>
      </c>
      <c r="T7" s="9"/>
      <c r="U7" s="9"/>
      <c r="X7" s="199">
        <v>3</v>
      </c>
      <c r="Y7" s="199" t="s">
        <v>62</v>
      </c>
      <c r="Z7" s="199"/>
      <c r="AA7" s="199"/>
      <c r="AB7" s="199" t="s">
        <v>62</v>
      </c>
      <c r="AC7" s="199"/>
      <c r="AE7" s="199">
        <v>3</v>
      </c>
      <c r="AF7" s="199" t="s">
        <v>1849</v>
      </c>
      <c r="AG7" s="199" t="s">
        <v>1850</v>
      </c>
      <c r="AH7" s="199" t="s">
        <v>1846</v>
      </c>
      <c r="AI7" s="199" t="s">
        <v>410</v>
      </c>
      <c r="AJ7" s="199"/>
      <c r="AK7" s="199"/>
      <c r="AL7" s="199"/>
      <c r="AM7" s="199"/>
      <c r="AN7" s="199"/>
      <c r="AP7" s="199">
        <v>3</v>
      </c>
      <c r="AQ7" s="199" t="s">
        <v>1855</v>
      </c>
      <c r="AR7" s="199" t="s">
        <v>871</v>
      </c>
    </row>
    <row r="8" spans="2:44">
      <c r="B8" s="199">
        <v>4</v>
      </c>
      <c r="C8" s="199" t="s">
        <v>290</v>
      </c>
      <c r="E8" s="199">
        <v>4</v>
      </c>
      <c r="F8" s="199" t="s">
        <v>298</v>
      </c>
      <c r="G8" s="199" t="s">
        <v>299</v>
      </c>
      <c r="I8" s="9" t="s">
        <v>694</v>
      </c>
      <c r="J8" s="9" t="s">
        <v>694</v>
      </c>
      <c r="K8" s="9">
        <v>5</v>
      </c>
      <c r="L8" s="9"/>
      <c r="M8" s="9"/>
      <c r="N8" s="9" t="s">
        <v>410</v>
      </c>
      <c r="O8" s="9" t="s">
        <v>689</v>
      </c>
      <c r="P8" s="9" t="s">
        <v>695</v>
      </c>
      <c r="Q8" s="9"/>
      <c r="R8" s="9"/>
      <c r="S8" s="9" t="b">
        <v>0</v>
      </c>
      <c r="T8" s="9"/>
      <c r="U8" s="9" t="s">
        <v>694</v>
      </c>
      <c r="X8" s="199">
        <v>4</v>
      </c>
      <c r="Y8" s="199" t="s">
        <v>63</v>
      </c>
      <c r="Z8" s="199"/>
      <c r="AA8" s="199"/>
      <c r="AB8" s="199" t="s">
        <v>63</v>
      </c>
      <c r="AC8" s="199"/>
      <c r="AE8" s="199">
        <v>4</v>
      </c>
      <c r="AF8" s="199" t="s">
        <v>1851</v>
      </c>
      <c r="AG8" s="199" t="s">
        <v>1852</v>
      </c>
      <c r="AH8" s="199" t="s">
        <v>1846</v>
      </c>
      <c r="AI8" s="199" t="s">
        <v>410</v>
      </c>
      <c r="AJ8" s="199"/>
      <c r="AK8" s="199"/>
      <c r="AL8" s="199"/>
      <c r="AM8" s="199"/>
      <c r="AN8" s="199"/>
      <c r="AP8" s="199">
        <v>4</v>
      </c>
      <c r="AQ8" s="199" t="s">
        <v>1856</v>
      </c>
      <c r="AR8" s="199" t="s">
        <v>1311</v>
      </c>
    </row>
    <row r="9" spans="2:44">
      <c r="B9" s="199">
        <v>5</v>
      </c>
      <c r="C9" s="199" t="s">
        <v>291</v>
      </c>
      <c r="E9" s="199">
        <v>5</v>
      </c>
      <c r="F9" s="199" t="s">
        <v>300</v>
      </c>
      <c r="G9" s="199" t="s">
        <v>301</v>
      </c>
      <c r="I9" s="9" t="s">
        <v>696</v>
      </c>
      <c r="J9" s="9" t="s">
        <v>696</v>
      </c>
      <c r="K9" s="9">
        <v>6</v>
      </c>
      <c r="L9" s="9"/>
      <c r="M9" s="9"/>
      <c r="N9" s="9" t="s">
        <v>410</v>
      </c>
      <c r="O9" s="9" t="s">
        <v>689</v>
      </c>
      <c r="P9" s="9" t="s">
        <v>697</v>
      </c>
      <c r="Q9" s="9"/>
      <c r="R9" s="9"/>
      <c r="S9" s="9" t="b">
        <v>0</v>
      </c>
      <c r="T9" s="9"/>
      <c r="U9" s="9" t="s">
        <v>696</v>
      </c>
      <c r="X9" s="199">
        <v>5</v>
      </c>
      <c r="Y9" s="199" t="s">
        <v>64</v>
      </c>
      <c r="Z9" s="199"/>
      <c r="AA9" s="199"/>
      <c r="AB9" s="199" t="s">
        <v>64</v>
      </c>
      <c r="AC9" s="199"/>
      <c r="AE9" s="199">
        <v>5</v>
      </c>
      <c r="AF9" s="199" t="s">
        <v>1853</v>
      </c>
      <c r="AG9" s="199" t="s">
        <v>1854</v>
      </c>
      <c r="AH9" s="199" t="s">
        <v>1846</v>
      </c>
      <c r="AI9" s="199" t="s">
        <v>410</v>
      </c>
      <c r="AJ9" s="199"/>
      <c r="AK9" s="199"/>
      <c r="AL9" s="199"/>
      <c r="AM9" s="199"/>
      <c r="AN9" s="199"/>
      <c r="AP9" s="199">
        <v>5</v>
      </c>
      <c r="AQ9" s="199" t="s">
        <v>1856</v>
      </c>
      <c r="AR9" s="199" t="s">
        <v>1494</v>
      </c>
    </row>
    <row r="10" spans="2:44">
      <c r="E10" s="199">
        <v>6</v>
      </c>
      <c r="F10" s="199" t="s">
        <v>302</v>
      </c>
      <c r="G10" s="199" t="s">
        <v>303</v>
      </c>
      <c r="I10" s="9" t="s">
        <v>698</v>
      </c>
      <c r="J10" s="9" t="s">
        <v>698</v>
      </c>
      <c r="K10" s="9">
        <v>7</v>
      </c>
      <c r="L10" s="9"/>
      <c r="M10" s="9"/>
      <c r="N10" s="9" t="s">
        <v>410</v>
      </c>
      <c r="O10" s="9" t="s">
        <v>689</v>
      </c>
      <c r="P10" s="9" t="s">
        <v>697</v>
      </c>
      <c r="Q10" s="9"/>
      <c r="R10" s="9"/>
      <c r="S10" s="9" t="b">
        <v>0</v>
      </c>
      <c r="T10" s="9"/>
      <c r="U10" s="9" t="s">
        <v>698</v>
      </c>
      <c r="X10" s="199">
        <v>6</v>
      </c>
      <c r="Y10" s="199" t="s">
        <v>65</v>
      </c>
      <c r="Z10" s="199"/>
      <c r="AA10" s="199"/>
      <c r="AB10" s="199" t="s">
        <v>65</v>
      </c>
      <c r="AC10" s="199"/>
      <c r="AE10" s="199">
        <v>6</v>
      </c>
      <c r="AF10" s="199" t="s">
        <v>1855</v>
      </c>
      <c r="AG10" s="199"/>
      <c r="AH10" s="199" t="s">
        <v>1846</v>
      </c>
      <c r="AI10" s="199" t="s">
        <v>410</v>
      </c>
      <c r="AJ10" s="199"/>
      <c r="AK10" s="199"/>
      <c r="AL10" s="199"/>
      <c r="AM10" s="199"/>
      <c r="AN10" s="199"/>
      <c r="AP10" s="199">
        <v>6</v>
      </c>
      <c r="AQ10" s="199" t="s">
        <v>1858</v>
      </c>
      <c r="AR10" s="199" t="s">
        <v>1275</v>
      </c>
    </row>
    <row r="11" spans="2:44">
      <c r="E11" s="199">
        <v>7</v>
      </c>
      <c r="F11" s="199" t="s">
        <v>304</v>
      </c>
      <c r="G11" s="199" t="s">
        <v>305</v>
      </c>
      <c r="I11" s="9" t="s">
        <v>699</v>
      </c>
      <c r="J11" s="9" t="s">
        <v>699</v>
      </c>
      <c r="K11" s="9">
        <v>8</v>
      </c>
      <c r="L11" s="9"/>
      <c r="M11" s="9"/>
      <c r="N11" s="9" t="s">
        <v>410</v>
      </c>
      <c r="O11" s="9" t="s">
        <v>689</v>
      </c>
      <c r="P11" s="9" t="s">
        <v>697</v>
      </c>
      <c r="Q11" s="9"/>
      <c r="R11" s="9"/>
      <c r="S11" s="9" t="b">
        <v>0</v>
      </c>
      <c r="T11" s="9"/>
      <c r="U11" s="9" t="s">
        <v>699</v>
      </c>
      <c r="X11" s="199">
        <v>7</v>
      </c>
      <c r="Y11" s="199" t="s">
        <v>66</v>
      </c>
      <c r="Z11" s="199"/>
      <c r="AA11" s="199"/>
      <c r="AB11" s="199" t="s">
        <v>66</v>
      </c>
      <c r="AC11" s="199"/>
      <c r="AE11" s="199">
        <v>7</v>
      </c>
      <c r="AF11" s="199" t="s">
        <v>1856</v>
      </c>
      <c r="AG11" s="199" t="s">
        <v>1857</v>
      </c>
      <c r="AH11" s="199" t="s">
        <v>1846</v>
      </c>
      <c r="AI11" s="199" t="s">
        <v>410</v>
      </c>
      <c r="AJ11" s="199"/>
      <c r="AK11" s="199"/>
      <c r="AL11" s="199"/>
      <c r="AM11" s="199"/>
      <c r="AN11" s="199"/>
      <c r="AP11" s="199">
        <v>7</v>
      </c>
      <c r="AQ11" s="199" t="s">
        <v>1858</v>
      </c>
      <c r="AR11" s="199" t="s">
        <v>1313</v>
      </c>
    </row>
    <row r="12" spans="2:44">
      <c r="E12" s="199">
        <v>8</v>
      </c>
      <c r="F12" s="199" t="s">
        <v>306</v>
      </c>
      <c r="G12" s="199" t="s">
        <v>307</v>
      </c>
      <c r="I12" s="9" t="s">
        <v>700</v>
      </c>
      <c r="J12" s="9" t="s">
        <v>700</v>
      </c>
      <c r="K12" s="9">
        <v>9</v>
      </c>
      <c r="L12" s="9"/>
      <c r="M12" s="9"/>
      <c r="N12" s="9" t="s">
        <v>410</v>
      </c>
      <c r="O12" s="9" t="s">
        <v>689</v>
      </c>
      <c r="P12" s="9" t="s">
        <v>697</v>
      </c>
      <c r="Q12" s="9"/>
      <c r="R12" s="9"/>
      <c r="S12" s="9" t="b">
        <v>0</v>
      </c>
      <c r="T12" s="9"/>
      <c r="U12" s="9" t="s">
        <v>701</v>
      </c>
      <c r="X12" s="199">
        <v>8</v>
      </c>
      <c r="Y12" s="199" t="s">
        <v>67</v>
      </c>
      <c r="Z12" s="199"/>
      <c r="AA12" s="199"/>
      <c r="AB12" s="199" t="s">
        <v>67</v>
      </c>
      <c r="AC12" s="199"/>
      <c r="AE12" s="199">
        <v>8</v>
      </c>
      <c r="AF12" s="199" t="s">
        <v>1858</v>
      </c>
      <c r="AG12" s="199" t="s">
        <v>1859</v>
      </c>
      <c r="AH12" s="199" t="s">
        <v>1846</v>
      </c>
      <c r="AI12" s="199" t="s">
        <v>410</v>
      </c>
      <c r="AJ12" s="199"/>
      <c r="AK12" s="199"/>
      <c r="AL12" s="199"/>
      <c r="AM12" s="199"/>
      <c r="AN12" s="199"/>
      <c r="AP12" s="199">
        <v>8</v>
      </c>
      <c r="AQ12" s="199" t="s">
        <v>1858</v>
      </c>
      <c r="AR12" s="199" t="s">
        <v>807</v>
      </c>
    </row>
    <row r="13" spans="2:44">
      <c r="E13" s="199">
        <v>9</v>
      </c>
      <c r="F13" s="199" t="s">
        <v>308</v>
      </c>
      <c r="G13" s="199" t="s">
        <v>309</v>
      </c>
      <c r="I13" s="9" t="s">
        <v>701</v>
      </c>
      <c r="J13" s="9" t="s">
        <v>701</v>
      </c>
      <c r="K13" s="9">
        <v>10</v>
      </c>
      <c r="L13" s="9"/>
      <c r="M13" s="9"/>
      <c r="N13" s="9" t="s">
        <v>410</v>
      </c>
      <c r="O13" s="9" t="s">
        <v>689</v>
      </c>
      <c r="P13" s="9" t="s">
        <v>697</v>
      </c>
      <c r="Q13" s="9"/>
      <c r="R13" s="9"/>
      <c r="S13" s="9" t="b">
        <v>0</v>
      </c>
      <c r="T13" s="9"/>
      <c r="U13" s="9" t="s">
        <v>701</v>
      </c>
      <c r="X13" s="199">
        <v>9</v>
      </c>
      <c r="Y13" s="199" t="s">
        <v>68</v>
      </c>
      <c r="Z13" s="199"/>
      <c r="AA13" s="199"/>
      <c r="AB13" s="199" t="s">
        <v>68</v>
      </c>
      <c r="AC13" s="199"/>
      <c r="AE13" s="199">
        <v>9</v>
      </c>
      <c r="AF13" s="199" t="s">
        <v>1860</v>
      </c>
      <c r="AG13" s="199" t="s">
        <v>1861</v>
      </c>
      <c r="AH13" s="199" t="s">
        <v>1846</v>
      </c>
      <c r="AI13" s="199" t="s">
        <v>410</v>
      </c>
      <c r="AJ13" s="199"/>
      <c r="AK13" s="199"/>
      <c r="AL13" s="199"/>
      <c r="AM13" s="199"/>
      <c r="AN13" s="199"/>
      <c r="AP13" s="199">
        <v>9</v>
      </c>
      <c r="AQ13" s="199" t="s">
        <v>1858</v>
      </c>
      <c r="AR13" s="199" t="s">
        <v>820</v>
      </c>
    </row>
    <row r="14" spans="2:44">
      <c r="E14" s="199">
        <v>10</v>
      </c>
      <c r="F14" s="199" t="s">
        <v>310</v>
      </c>
      <c r="G14" s="199" t="s">
        <v>311</v>
      </c>
      <c r="I14" s="9" t="s">
        <v>702</v>
      </c>
      <c r="J14" s="9" t="s">
        <v>702</v>
      </c>
      <c r="K14" s="9">
        <v>11</v>
      </c>
      <c r="L14" s="9"/>
      <c r="M14" s="9"/>
      <c r="N14" s="9" t="s">
        <v>410</v>
      </c>
      <c r="O14" s="9" t="s">
        <v>689</v>
      </c>
      <c r="P14" s="9" t="s">
        <v>697</v>
      </c>
      <c r="Q14" s="9"/>
      <c r="R14" s="9"/>
      <c r="S14" s="9" t="b">
        <v>0</v>
      </c>
      <c r="T14" s="9"/>
      <c r="U14" s="9" t="s">
        <v>702</v>
      </c>
      <c r="X14" s="199">
        <v>10</v>
      </c>
      <c r="Y14" s="199" t="s">
        <v>69</v>
      </c>
      <c r="Z14" s="199"/>
      <c r="AA14" s="199"/>
      <c r="AB14" s="199" t="s">
        <v>69</v>
      </c>
      <c r="AC14" s="199"/>
      <c r="AE14" s="199">
        <v>10</v>
      </c>
      <c r="AF14" s="199" t="s">
        <v>1862</v>
      </c>
      <c r="AG14" s="199" t="s">
        <v>1863</v>
      </c>
      <c r="AH14" s="199" t="s">
        <v>1846</v>
      </c>
      <c r="AI14" s="199" t="s">
        <v>410</v>
      </c>
      <c r="AJ14" s="199"/>
      <c r="AK14" s="199"/>
      <c r="AL14" s="199"/>
      <c r="AM14" s="199"/>
      <c r="AN14" s="199"/>
      <c r="AP14" s="199">
        <v>10</v>
      </c>
      <c r="AQ14" s="199" t="s">
        <v>1858</v>
      </c>
      <c r="AR14" s="199" t="s">
        <v>1009</v>
      </c>
    </row>
    <row r="15" spans="2:44">
      <c r="E15" s="199">
        <v>11</v>
      </c>
      <c r="F15" s="199" t="s">
        <v>312</v>
      </c>
      <c r="G15" s="199" t="s">
        <v>313</v>
      </c>
      <c r="I15" s="9" t="s">
        <v>703</v>
      </c>
      <c r="J15" s="9" t="s">
        <v>703</v>
      </c>
      <c r="K15" s="9">
        <v>12</v>
      </c>
      <c r="L15" s="9"/>
      <c r="M15" s="9"/>
      <c r="N15" s="9" t="s">
        <v>410</v>
      </c>
      <c r="O15" s="9" t="s">
        <v>689</v>
      </c>
      <c r="P15" s="9" t="s">
        <v>704</v>
      </c>
      <c r="Q15" s="9"/>
      <c r="R15" s="9"/>
      <c r="S15" s="9" t="b">
        <v>0</v>
      </c>
      <c r="T15" s="9"/>
      <c r="U15" s="9"/>
      <c r="X15" s="199">
        <v>11</v>
      </c>
      <c r="Y15" s="199" t="s">
        <v>70</v>
      </c>
      <c r="Z15" s="199"/>
      <c r="AA15" s="199"/>
      <c r="AB15" s="199" t="s">
        <v>70</v>
      </c>
      <c r="AC15" s="199"/>
      <c r="AE15" s="199">
        <v>11</v>
      </c>
      <c r="AF15" s="199" t="s">
        <v>1864</v>
      </c>
      <c r="AG15" s="199" t="s">
        <v>1865</v>
      </c>
      <c r="AH15" s="199" t="s">
        <v>1846</v>
      </c>
      <c r="AI15" s="199" t="s">
        <v>410</v>
      </c>
      <c r="AJ15" s="199"/>
      <c r="AK15" s="199"/>
      <c r="AL15" s="199"/>
      <c r="AM15" s="199"/>
      <c r="AN15" s="199"/>
      <c r="AP15" s="199">
        <v>11</v>
      </c>
      <c r="AQ15" s="199" t="s">
        <v>1858</v>
      </c>
      <c r="AR15" s="199" t="s">
        <v>1019</v>
      </c>
    </row>
    <row r="16" spans="2:44">
      <c r="E16" s="199">
        <v>12</v>
      </c>
      <c r="F16" s="199" t="s">
        <v>314</v>
      </c>
      <c r="G16" s="199" t="s">
        <v>315</v>
      </c>
      <c r="I16" s="9" t="s">
        <v>705</v>
      </c>
      <c r="J16" s="9" t="s">
        <v>705</v>
      </c>
      <c r="K16" s="9">
        <v>15</v>
      </c>
      <c r="L16" s="9"/>
      <c r="M16" s="9"/>
      <c r="N16" s="9" t="s">
        <v>410</v>
      </c>
      <c r="O16" s="9" t="s">
        <v>689</v>
      </c>
      <c r="P16" s="9" t="s">
        <v>690</v>
      </c>
      <c r="Q16" s="9"/>
      <c r="R16" s="9"/>
      <c r="S16" s="9" t="b">
        <v>0</v>
      </c>
      <c r="T16" s="9"/>
      <c r="U16" s="9"/>
      <c r="X16" s="199">
        <v>12</v>
      </c>
      <c r="Y16" s="199" t="s">
        <v>71</v>
      </c>
      <c r="Z16" s="199"/>
      <c r="AA16" s="199"/>
      <c r="AB16" s="199" t="s">
        <v>71</v>
      </c>
      <c r="AC16" s="199"/>
      <c r="AE16" s="199">
        <v>12</v>
      </c>
      <c r="AF16" s="199" t="s">
        <v>1866</v>
      </c>
      <c r="AG16" s="199" t="s">
        <v>1867</v>
      </c>
      <c r="AH16" s="199" t="s">
        <v>1846</v>
      </c>
      <c r="AI16" s="199" t="s">
        <v>410</v>
      </c>
      <c r="AJ16" s="199"/>
      <c r="AK16" s="199"/>
      <c r="AL16" s="199"/>
      <c r="AM16" s="199"/>
      <c r="AN16" s="199"/>
      <c r="AP16" s="199">
        <v>12</v>
      </c>
      <c r="AQ16" s="199" t="s">
        <v>1858</v>
      </c>
      <c r="AR16" s="199" t="s">
        <v>1058</v>
      </c>
    </row>
    <row r="17" spans="5:44">
      <c r="E17" s="199">
        <v>13</v>
      </c>
      <c r="F17" s="199" t="s">
        <v>316</v>
      </c>
      <c r="G17" s="199" t="s">
        <v>317</v>
      </c>
      <c r="I17" s="9" t="s">
        <v>706</v>
      </c>
      <c r="J17" s="9" t="s">
        <v>706</v>
      </c>
      <c r="K17" s="9">
        <v>16</v>
      </c>
      <c r="L17" s="9"/>
      <c r="M17" s="9"/>
      <c r="N17" s="9" t="s">
        <v>410</v>
      </c>
      <c r="O17" s="9" t="s">
        <v>689</v>
      </c>
      <c r="P17" s="9" t="s">
        <v>707</v>
      </c>
      <c r="Q17" s="9"/>
      <c r="R17" s="9"/>
      <c r="S17" s="9" t="b">
        <v>0</v>
      </c>
      <c r="T17" s="9"/>
      <c r="U17" s="9"/>
      <c r="X17" s="199">
        <v>13</v>
      </c>
      <c r="Y17" s="199" t="s">
        <v>72</v>
      </c>
      <c r="Z17" s="199"/>
      <c r="AA17" s="199"/>
      <c r="AB17" s="199" t="s">
        <v>72</v>
      </c>
      <c r="AC17" s="199"/>
      <c r="AE17" s="199">
        <v>13</v>
      </c>
      <c r="AF17" s="199" t="s">
        <v>1868</v>
      </c>
      <c r="AG17" s="199" t="s">
        <v>1869</v>
      </c>
      <c r="AH17" s="199" t="s">
        <v>1846</v>
      </c>
      <c r="AI17" s="199" t="s">
        <v>410</v>
      </c>
      <c r="AJ17" s="199"/>
      <c r="AK17" s="199"/>
      <c r="AL17" s="199"/>
      <c r="AM17" s="199"/>
      <c r="AN17" s="199"/>
      <c r="AP17" s="199">
        <v>13</v>
      </c>
      <c r="AQ17" s="199" t="s">
        <v>1860</v>
      </c>
      <c r="AR17" s="199" t="s">
        <v>1077</v>
      </c>
    </row>
    <row r="18" spans="5:44">
      <c r="E18" s="199">
        <v>14</v>
      </c>
      <c r="F18" s="199" t="s">
        <v>318</v>
      </c>
      <c r="G18" s="199" t="s">
        <v>319</v>
      </c>
      <c r="I18" s="9" t="s">
        <v>708</v>
      </c>
      <c r="J18" s="9" t="s">
        <v>708</v>
      </c>
      <c r="K18" s="9">
        <v>17</v>
      </c>
      <c r="L18" s="9"/>
      <c r="M18" s="9"/>
      <c r="N18" s="9" t="s">
        <v>410</v>
      </c>
      <c r="O18" s="9" t="s">
        <v>689</v>
      </c>
      <c r="P18" s="9" t="s">
        <v>709</v>
      </c>
      <c r="Q18" s="9"/>
      <c r="R18" s="9"/>
      <c r="S18" s="9" t="b">
        <v>0</v>
      </c>
      <c r="T18" s="9"/>
      <c r="U18" s="9"/>
      <c r="X18" s="199">
        <v>14</v>
      </c>
      <c r="Y18" s="199" t="s">
        <v>73</v>
      </c>
      <c r="Z18" s="199"/>
      <c r="AA18" s="199"/>
      <c r="AB18" s="199" t="s">
        <v>73</v>
      </c>
      <c r="AC18" s="199"/>
      <c r="AE18" s="199">
        <v>14</v>
      </c>
      <c r="AF18" s="199" t="s">
        <v>1870</v>
      </c>
      <c r="AG18" s="199" t="s">
        <v>1871</v>
      </c>
      <c r="AH18" s="199" t="s">
        <v>1846</v>
      </c>
      <c r="AI18" s="199" t="s">
        <v>410</v>
      </c>
      <c r="AJ18" s="199"/>
      <c r="AK18" s="199"/>
      <c r="AL18" s="199"/>
      <c r="AM18" s="199"/>
      <c r="AN18" s="199"/>
      <c r="AP18" s="199">
        <v>14</v>
      </c>
      <c r="AQ18" s="199" t="s">
        <v>1864</v>
      </c>
      <c r="AR18" s="199" t="s">
        <v>802</v>
      </c>
    </row>
    <row r="19" spans="5:44">
      <c r="E19" s="199">
        <v>15</v>
      </c>
      <c r="F19" s="199" t="s">
        <v>320</v>
      </c>
      <c r="G19" s="199" t="s">
        <v>321</v>
      </c>
      <c r="I19" s="9" t="s">
        <v>710</v>
      </c>
      <c r="J19" s="9" t="s">
        <v>710</v>
      </c>
      <c r="K19" s="9">
        <v>25</v>
      </c>
      <c r="L19" s="9"/>
      <c r="M19" s="9"/>
      <c r="N19" s="9" t="s">
        <v>410</v>
      </c>
      <c r="O19" s="9" t="s">
        <v>689</v>
      </c>
      <c r="P19" s="9" t="s">
        <v>711</v>
      </c>
      <c r="Q19" s="9"/>
      <c r="R19" s="9"/>
      <c r="S19" s="9" t="b">
        <v>0</v>
      </c>
      <c r="T19" s="9"/>
      <c r="U19" s="9" t="s">
        <v>712</v>
      </c>
      <c r="X19" s="199">
        <v>15</v>
      </c>
      <c r="Y19" s="199"/>
      <c r="Z19" s="199"/>
      <c r="AA19" s="199"/>
      <c r="AB19" s="199" t="s">
        <v>1610</v>
      </c>
      <c r="AC19" s="199"/>
      <c r="AE19" s="199">
        <v>15</v>
      </c>
      <c r="AF19" s="199" t="s">
        <v>1872</v>
      </c>
      <c r="AG19" s="199" t="s">
        <v>1873</v>
      </c>
      <c r="AH19" s="199" t="s">
        <v>1846</v>
      </c>
      <c r="AI19" s="199" t="s">
        <v>410</v>
      </c>
      <c r="AJ19" s="199"/>
      <c r="AK19" s="199"/>
      <c r="AL19" s="199"/>
      <c r="AM19" s="199"/>
      <c r="AN19" s="199"/>
      <c r="AP19" s="199">
        <v>15</v>
      </c>
      <c r="AQ19" s="199" t="s">
        <v>1866</v>
      </c>
      <c r="AR19" s="199" t="s">
        <v>1367</v>
      </c>
    </row>
    <row r="20" spans="5:44">
      <c r="E20" s="199">
        <v>16</v>
      </c>
      <c r="F20" s="199" t="s">
        <v>322</v>
      </c>
      <c r="G20" s="199" t="s">
        <v>323</v>
      </c>
      <c r="I20" s="9" t="s">
        <v>713</v>
      </c>
      <c r="J20" s="9" t="s">
        <v>713</v>
      </c>
      <c r="K20" s="9">
        <v>27</v>
      </c>
      <c r="L20" s="9"/>
      <c r="M20" s="9"/>
      <c r="N20" s="9" t="s">
        <v>410</v>
      </c>
      <c r="O20" s="9" t="s">
        <v>689</v>
      </c>
      <c r="P20" s="9" t="s">
        <v>714</v>
      </c>
      <c r="Q20" s="9"/>
      <c r="R20" s="9"/>
      <c r="S20" s="9" t="b">
        <v>0</v>
      </c>
      <c r="T20" s="9"/>
      <c r="U20" s="9"/>
      <c r="X20" s="199">
        <v>16</v>
      </c>
      <c r="Y20" s="199" t="s">
        <v>1611</v>
      </c>
      <c r="Z20" s="199"/>
      <c r="AA20" s="199"/>
      <c r="AB20" s="199" t="s">
        <v>1201</v>
      </c>
      <c r="AC20" s="199"/>
      <c r="AE20" s="199">
        <v>16</v>
      </c>
      <c r="AF20" s="199" t="s">
        <v>1874</v>
      </c>
      <c r="AG20" s="199" t="s">
        <v>1875</v>
      </c>
      <c r="AH20" s="199" t="s">
        <v>1846</v>
      </c>
      <c r="AI20" s="199" t="s">
        <v>410</v>
      </c>
      <c r="AJ20" s="199"/>
      <c r="AK20" s="199"/>
      <c r="AL20" s="199"/>
      <c r="AM20" s="199"/>
      <c r="AN20" s="199"/>
      <c r="AP20" s="199">
        <v>16</v>
      </c>
      <c r="AQ20" s="199" t="s">
        <v>1868</v>
      </c>
      <c r="AR20" s="199" t="s">
        <v>1225</v>
      </c>
    </row>
    <row r="21" spans="5:44">
      <c r="E21" s="199">
        <v>17</v>
      </c>
      <c r="F21" s="199" t="s">
        <v>324</v>
      </c>
      <c r="G21" s="199" t="s">
        <v>325</v>
      </c>
      <c r="I21" s="9" t="s">
        <v>715</v>
      </c>
      <c r="J21" s="9" t="s">
        <v>715</v>
      </c>
      <c r="K21" s="9">
        <v>28</v>
      </c>
      <c r="L21" s="9"/>
      <c r="M21" s="9"/>
      <c r="N21" s="9" t="s">
        <v>410</v>
      </c>
      <c r="O21" s="9" t="s">
        <v>689</v>
      </c>
      <c r="P21" s="9" t="s">
        <v>716</v>
      </c>
      <c r="Q21" s="9"/>
      <c r="R21" s="9"/>
      <c r="S21" s="9" t="b">
        <v>0</v>
      </c>
      <c r="T21" s="9"/>
      <c r="U21" s="9"/>
      <c r="X21" s="199">
        <v>17</v>
      </c>
      <c r="Y21" s="199"/>
      <c r="Z21" s="199"/>
      <c r="AA21" s="199"/>
      <c r="AB21" s="199" t="s">
        <v>1612</v>
      </c>
      <c r="AC21" s="199"/>
      <c r="AE21" s="199">
        <v>17</v>
      </c>
      <c r="AF21" s="199" t="s">
        <v>1876</v>
      </c>
      <c r="AG21" s="199" t="s">
        <v>1877</v>
      </c>
      <c r="AH21" s="199" t="s">
        <v>1846</v>
      </c>
      <c r="AI21" s="199" t="s">
        <v>410</v>
      </c>
      <c r="AJ21" s="199"/>
      <c r="AK21" s="199"/>
      <c r="AL21" s="199"/>
      <c r="AM21" s="199"/>
      <c r="AN21" s="199"/>
      <c r="AP21" s="199">
        <v>17</v>
      </c>
      <c r="AQ21" s="199" t="s">
        <v>1870</v>
      </c>
      <c r="AR21" s="199" t="s">
        <v>1228</v>
      </c>
    </row>
    <row r="22" spans="5:44">
      <c r="E22" s="199">
        <v>18</v>
      </c>
      <c r="F22" s="199" t="s">
        <v>326</v>
      </c>
      <c r="G22" s="199" t="s">
        <v>327</v>
      </c>
      <c r="I22" s="9" t="s">
        <v>717</v>
      </c>
      <c r="J22" s="9" t="s">
        <v>717</v>
      </c>
      <c r="K22" s="9">
        <v>29</v>
      </c>
      <c r="L22" s="9"/>
      <c r="M22" s="9"/>
      <c r="N22" s="9" t="s">
        <v>410</v>
      </c>
      <c r="O22" s="9" t="s">
        <v>689</v>
      </c>
      <c r="P22" s="9" t="s">
        <v>718</v>
      </c>
      <c r="Q22" s="9"/>
      <c r="R22" s="9"/>
      <c r="S22" s="9" t="b">
        <v>0</v>
      </c>
      <c r="T22" s="9"/>
      <c r="U22" s="9"/>
      <c r="X22" s="199">
        <v>18</v>
      </c>
      <c r="Y22" s="199" t="s">
        <v>1613</v>
      </c>
      <c r="Z22" s="199"/>
      <c r="AA22" s="199"/>
      <c r="AB22" s="199" t="s">
        <v>1227</v>
      </c>
      <c r="AC22" s="199"/>
      <c r="AE22" s="199">
        <v>18</v>
      </c>
      <c r="AF22" s="199" t="s">
        <v>1878</v>
      </c>
      <c r="AG22" s="199" t="s">
        <v>1879</v>
      </c>
      <c r="AH22" s="199" t="s">
        <v>1846</v>
      </c>
      <c r="AI22" s="199" t="s">
        <v>410</v>
      </c>
      <c r="AJ22" s="199"/>
      <c r="AK22" s="199"/>
      <c r="AL22" s="199"/>
      <c r="AM22" s="199"/>
      <c r="AN22" s="199"/>
      <c r="AP22" s="199">
        <v>18</v>
      </c>
      <c r="AQ22" s="199" t="s">
        <v>1872</v>
      </c>
      <c r="AR22" s="199" t="s">
        <v>1594</v>
      </c>
    </row>
    <row r="23" spans="5:44">
      <c r="E23" s="199">
        <v>19</v>
      </c>
      <c r="F23" s="199" t="s">
        <v>328</v>
      </c>
      <c r="G23" s="199" t="s">
        <v>329</v>
      </c>
      <c r="I23" s="9" t="s">
        <v>719</v>
      </c>
      <c r="J23" s="9" t="s">
        <v>719</v>
      </c>
      <c r="K23" s="9">
        <v>70</v>
      </c>
      <c r="L23" s="9"/>
      <c r="M23" s="9"/>
      <c r="N23" s="9" t="s">
        <v>410</v>
      </c>
      <c r="O23" s="9" t="s">
        <v>720</v>
      </c>
      <c r="P23" s="9" t="s">
        <v>721</v>
      </c>
      <c r="Q23" s="9"/>
      <c r="R23" s="9"/>
      <c r="S23" s="9" t="b">
        <v>0</v>
      </c>
      <c r="T23" s="9"/>
      <c r="U23" s="9" t="s">
        <v>722</v>
      </c>
      <c r="X23" s="199">
        <v>19</v>
      </c>
      <c r="Y23" s="199" t="s">
        <v>794</v>
      </c>
      <c r="Z23" s="199"/>
      <c r="AA23" s="199"/>
      <c r="AB23" s="199" t="s">
        <v>794</v>
      </c>
      <c r="AC23" s="199"/>
      <c r="AE23" s="199">
        <v>19</v>
      </c>
      <c r="AF23" s="199" t="s">
        <v>1880</v>
      </c>
      <c r="AG23" s="199" t="s">
        <v>1881</v>
      </c>
      <c r="AH23" s="199" t="s">
        <v>1846</v>
      </c>
      <c r="AI23" s="199" t="s">
        <v>410</v>
      </c>
      <c r="AJ23" s="199"/>
      <c r="AK23" s="199"/>
      <c r="AL23" s="199"/>
      <c r="AM23" s="199"/>
      <c r="AN23" s="199"/>
      <c r="AP23" s="199">
        <v>19</v>
      </c>
      <c r="AQ23" s="199" t="s">
        <v>1874</v>
      </c>
      <c r="AR23" s="199" t="s">
        <v>1600</v>
      </c>
    </row>
    <row r="24" spans="5:44">
      <c r="E24" s="199">
        <v>20</v>
      </c>
      <c r="F24" s="199" t="s">
        <v>330</v>
      </c>
      <c r="G24" s="199" t="s">
        <v>331</v>
      </c>
      <c r="I24" s="9" t="s">
        <v>723</v>
      </c>
      <c r="J24" s="9" t="s">
        <v>723</v>
      </c>
      <c r="K24" s="9">
        <v>71</v>
      </c>
      <c r="L24" s="9"/>
      <c r="M24" s="9"/>
      <c r="N24" s="9" t="s">
        <v>410</v>
      </c>
      <c r="O24" s="9" t="s">
        <v>724</v>
      </c>
      <c r="P24" s="9" t="s">
        <v>725</v>
      </c>
      <c r="Q24" s="9"/>
      <c r="R24" s="9"/>
      <c r="S24" s="9" t="b">
        <v>0</v>
      </c>
      <c r="T24" s="9"/>
      <c r="U24" s="9"/>
      <c r="X24" s="199">
        <v>20</v>
      </c>
      <c r="Y24" s="199" t="s">
        <v>796</v>
      </c>
      <c r="Z24" s="199"/>
      <c r="AA24" s="199"/>
      <c r="AB24" s="199" t="s">
        <v>796</v>
      </c>
      <c r="AC24" s="199"/>
      <c r="AE24" s="199">
        <v>20</v>
      </c>
      <c r="AF24" s="199" t="s">
        <v>1882</v>
      </c>
      <c r="AG24" s="199" t="s">
        <v>1883</v>
      </c>
      <c r="AH24" s="199" t="s">
        <v>1846</v>
      </c>
      <c r="AI24" s="199" t="s">
        <v>410</v>
      </c>
      <c r="AJ24" s="199"/>
      <c r="AK24" s="199"/>
      <c r="AL24" s="199"/>
      <c r="AM24" s="199"/>
      <c r="AN24" s="199"/>
      <c r="AP24" s="199">
        <v>20</v>
      </c>
      <c r="AQ24" s="199" t="s">
        <v>1876</v>
      </c>
      <c r="AR24" s="199" t="s">
        <v>1592</v>
      </c>
    </row>
    <row r="25" spans="5:44">
      <c r="E25" s="199">
        <v>21</v>
      </c>
      <c r="F25" s="199" t="s">
        <v>332</v>
      </c>
      <c r="G25" s="199" t="s">
        <v>333</v>
      </c>
      <c r="I25" s="9" t="s">
        <v>726</v>
      </c>
      <c r="J25" s="9" t="s">
        <v>726</v>
      </c>
      <c r="K25" s="9">
        <v>72</v>
      </c>
      <c r="L25" s="9"/>
      <c r="M25" s="9"/>
      <c r="N25" s="9" t="s">
        <v>410</v>
      </c>
      <c r="O25" s="9" t="s">
        <v>724</v>
      </c>
      <c r="P25" s="9" t="s">
        <v>725</v>
      </c>
      <c r="Q25" s="9"/>
      <c r="R25" s="9"/>
      <c r="S25" s="9" t="b">
        <v>0</v>
      </c>
      <c r="T25" s="9"/>
      <c r="U25" s="9"/>
      <c r="X25" s="199">
        <v>21</v>
      </c>
      <c r="Y25" s="199" t="s">
        <v>800</v>
      </c>
      <c r="Z25" s="199"/>
      <c r="AA25" s="199"/>
      <c r="AB25" s="199" t="s">
        <v>800</v>
      </c>
      <c r="AC25" s="199"/>
      <c r="AE25" s="199">
        <v>21</v>
      </c>
      <c r="AF25" s="199" t="s">
        <v>1884</v>
      </c>
      <c r="AG25" s="199" t="s">
        <v>1885</v>
      </c>
      <c r="AH25" s="199" t="s">
        <v>1846</v>
      </c>
      <c r="AI25" s="199" t="s">
        <v>410</v>
      </c>
      <c r="AJ25" s="199"/>
      <c r="AK25" s="199"/>
      <c r="AL25" s="199"/>
      <c r="AM25" s="199"/>
      <c r="AN25" s="199"/>
      <c r="AP25" s="199">
        <v>21</v>
      </c>
      <c r="AQ25" s="199" t="s">
        <v>1880</v>
      </c>
      <c r="AR25" s="199" t="s">
        <v>1085</v>
      </c>
    </row>
    <row r="26" spans="5:44">
      <c r="E26" s="199">
        <v>22</v>
      </c>
      <c r="F26" s="199" t="s">
        <v>334</v>
      </c>
      <c r="G26" s="199" t="s">
        <v>335</v>
      </c>
      <c r="I26" s="9" t="s">
        <v>727</v>
      </c>
      <c r="J26" s="9" t="s">
        <v>727</v>
      </c>
      <c r="K26" s="9">
        <v>73</v>
      </c>
      <c r="L26" s="9"/>
      <c r="M26" s="9"/>
      <c r="N26" s="9" t="s">
        <v>410</v>
      </c>
      <c r="O26" s="9" t="s">
        <v>720</v>
      </c>
      <c r="P26" s="9" t="s">
        <v>728</v>
      </c>
      <c r="Q26" s="9"/>
      <c r="R26" s="9"/>
      <c r="S26" s="9" t="b">
        <v>0</v>
      </c>
      <c r="T26" s="9"/>
      <c r="U26" s="9" t="s">
        <v>729</v>
      </c>
      <c r="X26" s="199">
        <v>22</v>
      </c>
      <c r="Y26" s="199" t="s">
        <v>805</v>
      </c>
      <c r="Z26" s="199"/>
      <c r="AA26" s="199"/>
      <c r="AB26" s="199" t="s">
        <v>805</v>
      </c>
      <c r="AC26" s="199"/>
      <c r="AE26" s="199">
        <v>22</v>
      </c>
      <c r="AF26" s="199" t="s">
        <v>1886</v>
      </c>
      <c r="AG26" s="199" t="s">
        <v>1887</v>
      </c>
      <c r="AH26" s="199" t="s">
        <v>1846</v>
      </c>
      <c r="AI26" s="199" t="s">
        <v>410</v>
      </c>
      <c r="AJ26" s="199"/>
      <c r="AK26" s="199"/>
      <c r="AL26" s="199"/>
      <c r="AM26" s="199"/>
      <c r="AN26" s="199"/>
      <c r="AP26" s="199">
        <v>22</v>
      </c>
      <c r="AQ26" s="199" t="s">
        <v>1886</v>
      </c>
      <c r="AR26" s="199" t="s">
        <v>1078</v>
      </c>
    </row>
    <row r="27" spans="5:44">
      <c r="E27" s="199">
        <v>23</v>
      </c>
      <c r="F27" s="199" t="s">
        <v>336</v>
      </c>
      <c r="G27" s="199" t="s">
        <v>337</v>
      </c>
      <c r="I27" s="9" t="s">
        <v>730</v>
      </c>
      <c r="J27" s="9" t="s">
        <v>730</v>
      </c>
      <c r="K27" s="9">
        <v>74</v>
      </c>
      <c r="L27" s="9"/>
      <c r="M27" s="9"/>
      <c r="N27" s="9" t="s">
        <v>410</v>
      </c>
      <c r="O27" s="9" t="s">
        <v>720</v>
      </c>
      <c r="P27" s="9" t="s">
        <v>731</v>
      </c>
      <c r="Q27" s="9"/>
      <c r="R27" s="9"/>
      <c r="S27" s="9" t="b">
        <v>0</v>
      </c>
      <c r="T27" s="9"/>
      <c r="U27" s="9" t="s">
        <v>732</v>
      </c>
      <c r="X27" s="199">
        <v>23</v>
      </c>
      <c r="Y27" s="199" t="s">
        <v>694</v>
      </c>
      <c r="Z27" s="199"/>
      <c r="AA27" s="199"/>
      <c r="AB27" s="199" t="s">
        <v>694</v>
      </c>
      <c r="AC27" s="199"/>
      <c r="AE27" s="199">
        <v>23</v>
      </c>
      <c r="AF27" s="199" t="s">
        <v>1888</v>
      </c>
      <c r="AG27" s="199" t="s">
        <v>1889</v>
      </c>
      <c r="AH27" s="199" t="s">
        <v>1846</v>
      </c>
      <c r="AI27" s="199" t="s">
        <v>410</v>
      </c>
      <c r="AJ27" s="199"/>
      <c r="AK27" s="199"/>
      <c r="AL27" s="199"/>
      <c r="AM27" s="199"/>
      <c r="AN27" s="199"/>
      <c r="AP27" s="199">
        <v>23</v>
      </c>
      <c r="AQ27" s="199" t="s">
        <v>1888</v>
      </c>
      <c r="AR27" s="199" t="s">
        <v>1226</v>
      </c>
    </row>
    <row r="28" spans="5:44">
      <c r="E28" s="199">
        <v>24</v>
      </c>
      <c r="F28" s="199" t="s">
        <v>338</v>
      </c>
      <c r="G28" s="199" t="s">
        <v>339</v>
      </c>
      <c r="I28" s="9" t="s">
        <v>733</v>
      </c>
      <c r="J28" s="9" t="s">
        <v>733</v>
      </c>
      <c r="K28" s="9">
        <v>75</v>
      </c>
      <c r="L28" s="9"/>
      <c r="M28" s="9"/>
      <c r="N28" s="9" t="s">
        <v>410</v>
      </c>
      <c r="O28" s="9" t="s">
        <v>720</v>
      </c>
      <c r="P28" s="9" t="s">
        <v>734</v>
      </c>
      <c r="Q28" s="9"/>
      <c r="R28" s="9"/>
      <c r="S28" s="9" t="b">
        <v>0</v>
      </c>
      <c r="T28" s="9"/>
      <c r="U28" s="9" t="s">
        <v>735</v>
      </c>
      <c r="X28" s="199">
        <v>24</v>
      </c>
      <c r="Y28" s="199" t="s">
        <v>813</v>
      </c>
      <c r="Z28" s="199"/>
      <c r="AA28" s="199"/>
      <c r="AB28" s="199" t="s">
        <v>813</v>
      </c>
      <c r="AC28" s="199"/>
      <c r="AE28" s="199">
        <v>24</v>
      </c>
      <c r="AF28" s="199" t="s">
        <v>1890</v>
      </c>
      <c r="AG28" s="199" t="s">
        <v>1891</v>
      </c>
      <c r="AH28" s="199" t="s">
        <v>1846</v>
      </c>
      <c r="AI28" s="199" t="s">
        <v>410</v>
      </c>
      <c r="AJ28" s="199"/>
      <c r="AK28" s="199"/>
      <c r="AL28" s="199"/>
      <c r="AM28" s="199"/>
      <c r="AN28" s="199"/>
      <c r="AP28" s="199">
        <v>24</v>
      </c>
      <c r="AQ28" s="199" t="s">
        <v>1896</v>
      </c>
      <c r="AR28" s="199" t="s">
        <v>1061</v>
      </c>
    </row>
    <row r="29" spans="5:44">
      <c r="E29" s="199">
        <v>25</v>
      </c>
      <c r="F29" s="199" t="s">
        <v>340</v>
      </c>
      <c r="G29" s="199" t="s">
        <v>341</v>
      </c>
      <c r="I29" s="9" t="s">
        <v>736</v>
      </c>
      <c r="J29" s="9" t="s">
        <v>736</v>
      </c>
      <c r="K29" s="9">
        <v>76</v>
      </c>
      <c r="L29" s="9"/>
      <c r="M29" s="9"/>
      <c r="N29" s="9" t="s">
        <v>410</v>
      </c>
      <c r="O29" s="9" t="s">
        <v>720</v>
      </c>
      <c r="P29" s="9" t="s">
        <v>728</v>
      </c>
      <c r="Q29" s="9"/>
      <c r="R29" s="9"/>
      <c r="S29" s="9" t="b">
        <v>0</v>
      </c>
      <c r="T29" s="9"/>
      <c r="U29" s="9" t="s">
        <v>735</v>
      </c>
      <c r="X29" s="199">
        <v>25</v>
      </c>
      <c r="Y29" s="199" t="s">
        <v>818</v>
      </c>
      <c r="Z29" s="199"/>
      <c r="AA29" s="199"/>
      <c r="AB29" s="199" t="s">
        <v>818</v>
      </c>
      <c r="AC29" s="199"/>
      <c r="AE29" s="199">
        <v>25</v>
      </c>
      <c r="AF29" s="199" t="s">
        <v>1892</v>
      </c>
      <c r="AG29" s="199" t="s">
        <v>1893</v>
      </c>
      <c r="AH29" s="199" t="s">
        <v>1846</v>
      </c>
      <c r="AI29" s="199" t="s">
        <v>410</v>
      </c>
      <c r="AJ29" s="199"/>
      <c r="AK29" s="199"/>
      <c r="AL29" s="199"/>
      <c r="AM29" s="199"/>
      <c r="AN29" s="199"/>
      <c r="AP29" s="199">
        <v>25</v>
      </c>
      <c r="AQ29" s="199" t="s">
        <v>1900</v>
      </c>
      <c r="AR29" s="199" t="s">
        <v>1296</v>
      </c>
    </row>
    <row r="30" spans="5:44">
      <c r="E30" s="199">
        <v>26</v>
      </c>
      <c r="F30" s="199" t="s">
        <v>342</v>
      </c>
      <c r="G30" s="199" t="s">
        <v>343</v>
      </c>
      <c r="I30" s="9" t="s">
        <v>737</v>
      </c>
      <c r="J30" s="9" t="s">
        <v>737</v>
      </c>
      <c r="K30" s="9">
        <v>77</v>
      </c>
      <c r="L30" s="9"/>
      <c r="M30" s="9"/>
      <c r="N30" s="9" t="s">
        <v>410</v>
      </c>
      <c r="O30" s="9" t="s">
        <v>720</v>
      </c>
      <c r="P30" s="9" t="s">
        <v>738</v>
      </c>
      <c r="Q30" s="9"/>
      <c r="R30" s="9"/>
      <c r="S30" s="9" t="b">
        <v>0</v>
      </c>
      <c r="T30" s="9"/>
      <c r="U30" s="9"/>
      <c r="X30" s="199">
        <v>26</v>
      </c>
      <c r="Y30" s="199" t="s">
        <v>827</v>
      </c>
      <c r="Z30" s="199"/>
      <c r="AA30" s="199"/>
      <c r="AB30" s="199" t="s">
        <v>827</v>
      </c>
      <c r="AC30" s="199"/>
      <c r="AE30" s="199">
        <v>26</v>
      </c>
      <c r="AF30" s="199" t="s">
        <v>1894</v>
      </c>
      <c r="AG30" s="199" t="s">
        <v>1895</v>
      </c>
      <c r="AH30" s="199" t="s">
        <v>1846</v>
      </c>
      <c r="AI30" s="199" t="s">
        <v>410</v>
      </c>
      <c r="AJ30" s="199"/>
      <c r="AK30" s="199"/>
      <c r="AL30" s="199"/>
      <c r="AM30" s="199"/>
      <c r="AN30" s="199"/>
      <c r="AP30" s="199">
        <v>26</v>
      </c>
      <c r="AQ30" s="199" t="s">
        <v>1900</v>
      </c>
      <c r="AR30" s="199" t="s">
        <v>1456</v>
      </c>
    </row>
    <row r="31" spans="5:44">
      <c r="E31" s="199">
        <v>27</v>
      </c>
      <c r="F31" s="199" t="s">
        <v>344</v>
      </c>
      <c r="G31" s="199" t="s">
        <v>345</v>
      </c>
      <c r="I31" s="9" t="s">
        <v>739</v>
      </c>
      <c r="J31" s="9" t="s">
        <v>739</v>
      </c>
      <c r="K31" s="9">
        <v>79</v>
      </c>
      <c r="L31" s="9"/>
      <c r="M31" s="9"/>
      <c r="N31" s="9" t="s">
        <v>410</v>
      </c>
      <c r="O31" s="9" t="s">
        <v>720</v>
      </c>
      <c r="P31" s="9" t="s">
        <v>731</v>
      </c>
      <c r="Q31" s="9"/>
      <c r="R31" s="9"/>
      <c r="S31" s="9" t="b">
        <v>0</v>
      </c>
      <c r="T31" s="9"/>
      <c r="U31" s="9" t="s">
        <v>740</v>
      </c>
      <c r="X31" s="199">
        <v>27</v>
      </c>
      <c r="Y31" s="199" t="s">
        <v>829</v>
      </c>
      <c r="Z31" s="199"/>
      <c r="AA31" s="199"/>
      <c r="AB31" s="199" t="s">
        <v>829</v>
      </c>
      <c r="AC31" s="199"/>
      <c r="AE31" s="199">
        <v>27</v>
      </c>
      <c r="AF31" s="199" t="s">
        <v>1896</v>
      </c>
      <c r="AG31" s="199" t="s">
        <v>1897</v>
      </c>
      <c r="AH31" s="199" t="s">
        <v>1846</v>
      </c>
      <c r="AI31" s="199" t="s">
        <v>410</v>
      </c>
      <c r="AJ31" s="199"/>
      <c r="AK31" s="199"/>
      <c r="AL31" s="199"/>
      <c r="AM31" s="199"/>
      <c r="AN31" s="199"/>
      <c r="AP31" s="199">
        <v>27</v>
      </c>
      <c r="AQ31" s="199" t="s">
        <v>1900</v>
      </c>
      <c r="AR31" s="199" t="s">
        <v>815</v>
      </c>
    </row>
    <row r="32" spans="5:44">
      <c r="E32" s="199">
        <v>28</v>
      </c>
      <c r="F32" s="199" t="s">
        <v>346</v>
      </c>
      <c r="G32" s="199" t="s">
        <v>347</v>
      </c>
      <c r="I32" s="9" t="s">
        <v>741</v>
      </c>
      <c r="J32" s="9" t="s">
        <v>741</v>
      </c>
      <c r="K32" s="9">
        <v>80</v>
      </c>
      <c r="L32" s="9"/>
      <c r="M32" s="9"/>
      <c r="N32" s="9" t="s">
        <v>410</v>
      </c>
      <c r="O32" s="9" t="s">
        <v>720</v>
      </c>
      <c r="P32" s="9" t="s">
        <v>734</v>
      </c>
      <c r="Q32" s="9"/>
      <c r="R32" s="9"/>
      <c r="S32" s="9" t="b">
        <v>0</v>
      </c>
      <c r="T32" s="9"/>
      <c r="U32" s="9" t="s">
        <v>742</v>
      </c>
      <c r="X32" s="199">
        <v>28</v>
      </c>
      <c r="Y32" s="199" t="s">
        <v>834</v>
      </c>
      <c r="Z32" s="199"/>
      <c r="AA32" s="199"/>
      <c r="AB32" s="199" t="s">
        <v>834</v>
      </c>
      <c r="AC32" s="199"/>
      <c r="AE32" s="199">
        <v>28</v>
      </c>
      <c r="AF32" s="199" t="s">
        <v>1898</v>
      </c>
      <c r="AG32" s="199" t="s">
        <v>1899</v>
      </c>
      <c r="AH32" s="199" t="s">
        <v>1846</v>
      </c>
      <c r="AI32" s="199" t="s">
        <v>410</v>
      </c>
      <c r="AJ32" s="199"/>
      <c r="AK32" s="199"/>
      <c r="AL32" s="199"/>
      <c r="AM32" s="199"/>
      <c r="AN32" s="199"/>
      <c r="AP32" s="199">
        <v>28</v>
      </c>
      <c r="AQ32" s="199" t="s">
        <v>1900</v>
      </c>
      <c r="AR32" s="199" t="s">
        <v>1064</v>
      </c>
    </row>
    <row r="33" spans="5:44">
      <c r="E33" s="199">
        <v>29</v>
      </c>
      <c r="F33" s="199" t="s">
        <v>348</v>
      </c>
      <c r="G33" s="199" t="s">
        <v>349</v>
      </c>
      <c r="I33" s="9" t="s">
        <v>743</v>
      </c>
      <c r="J33" s="9" t="s">
        <v>743</v>
      </c>
      <c r="K33" s="9">
        <v>81</v>
      </c>
      <c r="L33" s="9"/>
      <c r="M33" s="9"/>
      <c r="N33" s="9" t="s">
        <v>410</v>
      </c>
      <c r="O33" s="9" t="s">
        <v>720</v>
      </c>
      <c r="P33" s="9" t="s">
        <v>728</v>
      </c>
      <c r="Q33" s="9"/>
      <c r="R33" s="9"/>
      <c r="S33" s="9" t="b">
        <v>0</v>
      </c>
      <c r="T33" s="9"/>
      <c r="U33" s="9" t="s">
        <v>742</v>
      </c>
      <c r="X33" s="199">
        <v>29</v>
      </c>
      <c r="Y33" s="199" t="s">
        <v>836</v>
      </c>
      <c r="Z33" s="199"/>
      <c r="AA33" s="199"/>
      <c r="AB33" s="199" t="s">
        <v>836</v>
      </c>
      <c r="AC33" s="199"/>
      <c r="AE33" s="199">
        <v>29</v>
      </c>
      <c r="AF33" s="199" t="s">
        <v>1900</v>
      </c>
      <c r="AG33" s="199" t="s">
        <v>1901</v>
      </c>
      <c r="AH33" s="199" t="s">
        <v>1846</v>
      </c>
      <c r="AI33" s="199" t="s">
        <v>410</v>
      </c>
      <c r="AJ33" s="199"/>
      <c r="AK33" s="199"/>
      <c r="AL33" s="199"/>
      <c r="AM33" s="199"/>
      <c r="AN33" s="199"/>
      <c r="AP33" s="199">
        <v>29</v>
      </c>
      <c r="AQ33" s="199" t="s">
        <v>1902</v>
      </c>
      <c r="AR33" s="199" t="s">
        <v>1429</v>
      </c>
    </row>
    <row r="34" spans="5:44">
      <c r="E34" s="199">
        <v>30</v>
      </c>
      <c r="F34" s="199" t="s">
        <v>350</v>
      </c>
      <c r="G34" s="199" t="s">
        <v>351</v>
      </c>
      <c r="I34" s="9" t="s">
        <v>744</v>
      </c>
      <c r="J34" s="9" t="s">
        <v>744</v>
      </c>
      <c r="K34" s="9">
        <v>82</v>
      </c>
      <c r="L34" s="9"/>
      <c r="M34" s="9"/>
      <c r="N34" s="9" t="s">
        <v>410</v>
      </c>
      <c r="O34" s="9" t="s">
        <v>745</v>
      </c>
      <c r="P34" s="9" t="s">
        <v>746</v>
      </c>
      <c r="Q34" s="9"/>
      <c r="R34" s="9"/>
      <c r="S34" s="9" t="b">
        <v>0</v>
      </c>
      <c r="T34" s="9"/>
      <c r="U34" s="9" t="s">
        <v>747</v>
      </c>
      <c r="X34" s="199">
        <v>30</v>
      </c>
      <c r="Y34" s="199" t="s">
        <v>844</v>
      </c>
      <c r="Z34" s="199"/>
      <c r="AA34" s="199"/>
      <c r="AB34" s="199" t="s">
        <v>844</v>
      </c>
      <c r="AC34" s="199"/>
      <c r="AE34" s="199">
        <v>30</v>
      </c>
      <c r="AF34" s="199" t="s">
        <v>1902</v>
      </c>
      <c r="AG34" s="199" t="s">
        <v>1903</v>
      </c>
      <c r="AH34" s="199" t="s">
        <v>1846</v>
      </c>
      <c r="AI34" s="199" t="s">
        <v>410</v>
      </c>
      <c r="AJ34" s="199"/>
      <c r="AK34" s="199"/>
      <c r="AL34" s="199"/>
      <c r="AM34" s="199"/>
      <c r="AN34" s="199"/>
      <c r="AP34" s="199">
        <v>30</v>
      </c>
      <c r="AQ34" s="199" t="s">
        <v>1908</v>
      </c>
      <c r="AR34" s="199" t="s">
        <v>1159</v>
      </c>
    </row>
    <row r="35" spans="5:44">
      <c r="E35" s="199">
        <v>31</v>
      </c>
      <c r="F35" s="199" t="s">
        <v>352</v>
      </c>
      <c r="G35" s="199" t="s">
        <v>353</v>
      </c>
      <c r="I35" s="9" t="s">
        <v>748</v>
      </c>
      <c r="J35" s="9" t="s">
        <v>748</v>
      </c>
      <c r="K35" s="9">
        <v>83</v>
      </c>
      <c r="L35" s="9"/>
      <c r="M35" s="9"/>
      <c r="N35" s="9" t="s">
        <v>400</v>
      </c>
      <c r="O35" s="9" t="s">
        <v>749</v>
      </c>
      <c r="P35" s="9" t="s">
        <v>711</v>
      </c>
      <c r="Q35" s="9"/>
      <c r="R35" s="9"/>
      <c r="S35" s="9" t="b">
        <v>0</v>
      </c>
      <c r="T35" s="9"/>
      <c r="U35" s="9" t="s">
        <v>750</v>
      </c>
      <c r="X35" s="199">
        <v>31</v>
      </c>
      <c r="Y35" s="199" t="s">
        <v>1576</v>
      </c>
      <c r="Z35" s="199"/>
      <c r="AA35" s="199"/>
      <c r="AB35" s="199" t="s">
        <v>1576</v>
      </c>
      <c r="AC35" s="199"/>
      <c r="AE35" s="199">
        <v>31</v>
      </c>
      <c r="AF35" s="199" t="s">
        <v>1904</v>
      </c>
      <c r="AG35" s="199" t="s">
        <v>1905</v>
      </c>
      <c r="AH35" s="199" t="s">
        <v>1846</v>
      </c>
      <c r="AI35" s="199" t="s">
        <v>410</v>
      </c>
      <c r="AJ35" s="199"/>
      <c r="AK35" s="199"/>
      <c r="AL35" s="199"/>
      <c r="AM35" s="199"/>
      <c r="AN35" s="199"/>
      <c r="AP35" s="199">
        <v>31</v>
      </c>
      <c r="AQ35" s="199" t="s">
        <v>1912</v>
      </c>
      <c r="AR35" s="199" t="s">
        <v>1297</v>
      </c>
    </row>
    <row r="36" spans="5:44">
      <c r="E36" s="199">
        <v>32</v>
      </c>
      <c r="F36" s="199" t="s">
        <v>354</v>
      </c>
      <c r="G36" s="199" t="s">
        <v>355</v>
      </c>
      <c r="I36" s="9" t="s">
        <v>751</v>
      </c>
      <c r="J36" s="9" t="s">
        <v>751</v>
      </c>
      <c r="K36" s="9">
        <v>84</v>
      </c>
      <c r="L36" s="9"/>
      <c r="M36" s="9"/>
      <c r="N36" s="9" t="s">
        <v>400</v>
      </c>
      <c r="O36" s="9" t="s">
        <v>720</v>
      </c>
      <c r="P36" s="9" t="s">
        <v>752</v>
      </c>
      <c r="Q36" s="9"/>
      <c r="R36" s="9"/>
      <c r="S36" s="9" t="b">
        <v>0</v>
      </c>
      <c r="T36" s="9"/>
      <c r="U36" s="9" t="s">
        <v>753</v>
      </c>
      <c r="X36" s="199">
        <v>32</v>
      </c>
      <c r="Y36" s="199" t="s">
        <v>846</v>
      </c>
      <c r="Z36" s="199"/>
      <c r="AA36" s="199"/>
      <c r="AB36" s="199" t="s">
        <v>846</v>
      </c>
      <c r="AC36" s="199"/>
      <c r="AE36" s="199">
        <v>32</v>
      </c>
      <c r="AF36" s="199" t="s">
        <v>1906</v>
      </c>
      <c r="AG36" s="199" t="s">
        <v>1907</v>
      </c>
      <c r="AH36" s="199" t="s">
        <v>1846</v>
      </c>
      <c r="AI36" s="199" t="s">
        <v>410</v>
      </c>
      <c r="AJ36" s="199"/>
      <c r="AK36" s="199"/>
      <c r="AL36" s="199"/>
      <c r="AM36" s="199"/>
      <c r="AN36" s="199"/>
      <c r="AP36" s="199">
        <v>32</v>
      </c>
      <c r="AQ36" s="199" t="s">
        <v>1920</v>
      </c>
      <c r="AR36" s="199" t="s">
        <v>1398</v>
      </c>
    </row>
    <row r="37" spans="5:44">
      <c r="E37" s="199">
        <v>33</v>
      </c>
      <c r="F37" s="199" t="s">
        <v>356</v>
      </c>
      <c r="G37" s="199" t="s">
        <v>357</v>
      </c>
      <c r="I37" s="9" t="s">
        <v>754</v>
      </c>
      <c r="J37" s="9" t="s">
        <v>754</v>
      </c>
      <c r="K37" s="9">
        <v>627</v>
      </c>
      <c r="L37" s="9"/>
      <c r="M37" s="9"/>
      <c r="N37" s="9" t="s">
        <v>400</v>
      </c>
      <c r="O37" s="9" t="s">
        <v>749</v>
      </c>
      <c r="P37" s="9" t="s">
        <v>721</v>
      </c>
      <c r="Q37" s="9"/>
      <c r="R37" s="9"/>
      <c r="S37" s="9" t="b">
        <v>0</v>
      </c>
      <c r="T37" s="9"/>
      <c r="U37" s="9" t="s">
        <v>755</v>
      </c>
      <c r="X37" s="199">
        <v>33</v>
      </c>
      <c r="Y37" s="199" t="s">
        <v>847</v>
      </c>
      <c r="Z37" s="199"/>
      <c r="AA37" s="199"/>
      <c r="AB37" s="199" t="s">
        <v>847</v>
      </c>
      <c r="AC37" s="199"/>
      <c r="AE37" s="199">
        <v>33</v>
      </c>
      <c r="AF37" s="199" t="s">
        <v>1908</v>
      </c>
      <c r="AG37" s="199" t="s">
        <v>1909</v>
      </c>
      <c r="AH37" s="199" t="s">
        <v>1846</v>
      </c>
      <c r="AI37" s="199" t="s">
        <v>410</v>
      </c>
      <c r="AJ37" s="199"/>
      <c r="AK37" s="199"/>
      <c r="AL37" s="199"/>
      <c r="AM37" s="199"/>
      <c r="AN37" s="199"/>
      <c r="AP37" s="199">
        <v>33</v>
      </c>
      <c r="AQ37" s="199" t="s">
        <v>1924</v>
      </c>
      <c r="AR37" s="199" t="s">
        <v>1378</v>
      </c>
    </row>
    <row r="38" spans="5:44">
      <c r="E38" s="199">
        <v>34</v>
      </c>
      <c r="F38" s="199" t="s">
        <v>358</v>
      </c>
      <c r="G38" s="199" t="s">
        <v>359</v>
      </c>
      <c r="I38" s="9" t="s">
        <v>756</v>
      </c>
      <c r="J38" s="9" t="s">
        <v>756</v>
      </c>
      <c r="K38" s="9">
        <v>628</v>
      </c>
      <c r="L38" s="9"/>
      <c r="M38" s="9"/>
      <c r="N38" s="9" t="s">
        <v>410</v>
      </c>
      <c r="O38" s="9" t="s">
        <v>720</v>
      </c>
      <c r="P38" s="9" t="s">
        <v>757</v>
      </c>
      <c r="Q38" s="9"/>
      <c r="R38" s="9"/>
      <c r="S38" s="9" t="b">
        <v>0</v>
      </c>
      <c r="T38" s="9"/>
      <c r="U38" s="9" t="s">
        <v>742</v>
      </c>
      <c r="X38" s="199">
        <v>34</v>
      </c>
      <c r="Y38" s="199" t="s">
        <v>849</v>
      </c>
      <c r="Z38" s="199"/>
      <c r="AA38" s="199"/>
      <c r="AB38" s="199" t="s">
        <v>849</v>
      </c>
      <c r="AC38" s="199"/>
      <c r="AE38" s="199">
        <v>34</v>
      </c>
      <c r="AF38" s="199" t="s">
        <v>1910</v>
      </c>
      <c r="AG38" s="199" t="s">
        <v>1911</v>
      </c>
      <c r="AH38" s="199" t="s">
        <v>1846</v>
      </c>
      <c r="AI38" s="199" t="s">
        <v>410</v>
      </c>
      <c r="AJ38" s="199"/>
      <c r="AK38" s="199"/>
      <c r="AL38" s="199"/>
      <c r="AM38" s="199"/>
      <c r="AN38" s="199"/>
      <c r="AP38" s="199">
        <v>34</v>
      </c>
      <c r="AQ38" s="199" t="s">
        <v>1924</v>
      </c>
      <c r="AR38" s="199" t="s">
        <v>1396</v>
      </c>
    </row>
    <row r="39" spans="5:44">
      <c r="E39" s="199">
        <v>35</v>
      </c>
      <c r="F39" s="199" t="s">
        <v>360</v>
      </c>
      <c r="G39" s="199" t="s">
        <v>361</v>
      </c>
      <c r="I39" s="9" t="s">
        <v>758</v>
      </c>
      <c r="J39" s="9" t="s">
        <v>758</v>
      </c>
      <c r="K39" s="9">
        <v>629</v>
      </c>
      <c r="L39" s="9"/>
      <c r="M39" s="9"/>
      <c r="N39" s="9" t="s">
        <v>410</v>
      </c>
      <c r="O39" s="9" t="s">
        <v>759</v>
      </c>
      <c r="P39" s="9" t="s">
        <v>760</v>
      </c>
      <c r="Q39" s="9"/>
      <c r="R39" s="9"/>
      <c r="S39" s="9" t="b">
        <v>0</v>
      </c>
      <c r="T39" s="9"/>
      <c r="U39" s="9" t="s">
        <v>742</v>
      </c>
      <c r="X39" s="199">
        <v>35</v>
      </c>
      <c r="Y39" s="199" t="s">
        <v>853</v>
      </c>
      <c r="Z39" s="199"/>
      <c r="AA39" s="199"/>
      <c r="AB39" s="199" t="s">
        <v>853</v>
      </c>
      <c r="AC39" s="199"/>
      <c r="AE39" s="199">
        <v>35</v>
      </c>
      <c r="AF39" s="199" t="s">
        <v>1912</v>
      </c>
      <c r="AG39" s="199" t="s">
        <v>1913</v>
      </c>
      <c r="AH39" s="199" t="s">
        <v>1846</v>
      </c>
      <c r="AI39" s="199" t="s">
        <v>410</v>
      </c>
      <c r="AJ39" s="199"/>
      <c r="AK39" s="199"/>
      <c r="AL39" s="199"/>
      <c r="AM39" s="199"/>
      <c r="AN39" s="199"/>
      <c r="AP39" s="199">
        <v>35</v>
      </c>
      <c r="AQ39" s="199" t="s">
        <v>1926</v>
      </c>
      <c r="AR39" s="199" t="s">
        <v>1066</v>
      </c>
    </row>
    <row r="40" spans="5:44">
      <c r="E40" s="199">
        <v>36</v>
      </c>
      <c r="F40" s="199" t="s">
        <v>362</v>
      </c>
      <c r="G40" s="199" t="s">
        <v>363</v>
      </c>
      <c r="I40" s="9" t="s">
        <v>761</v>
      </c>
      <c r="J40" s="9" t="s">
        <v>761</v>
      </c>
      <c r="K40" s="9">
        <v>630</v>
      </c>
      <c r="L40" s="9"/>
      <c r="M40" s="9"/>
      <c r="N40" s="9" t="s">
        <v>400</v>
      </c>
      <c r="O40" s="9" t="s">
        <v>749</v>
      </c>
      <c r="P40" s="9" t="s">
        <v>762</v>
      </c>
      <c r="Q40" s="9"/>
      <c r="R40" s="9"/>
      <c r="S40" s="9" t="b">
        <v>0</v>
      </c>
      <c r="T40" s="9"/>
      <c r="U40" s="9" t="s">
        <v>763</v>
      </c>
      <c r="X40" s="199">
        <v>36</v>
      </c>
      <c r="Y40" s="199" t="s">
        <v>696</v>
      </c>
      <c r="Z40" s="199"/>
      <c r="AA40" s="199"/>
      <c r="AB40" s="199" t="s">
        <v>696</v>
      </c>
      <c r="AC40" s="199"/>
      <c r="AE40" s="199">
        <v>36</v>
      </c>
      <c r="AF40" s="199" t="s">
        <v>1914</v>
      </c>
      <c r="AG40" s="199" t="s">
        <v>1915</v>
      </c>
      <c r="AH40" s="199" t="s">
        <v>1846</v>
      </c>
      <c r="AI40" s="199" t="s">
        <v>410</v>
      </c>
      <c r="AJ40" s="199"/>
      <c r="AK40" s="199"/>
      <c r="AL40" s="199"/>
      <c r="AM40" s="199"/>
      <c r="AN40" s="199"/>
      <c r="AP40" s="199">
        <v>36</v>
      </c>
      <c r="AQ40" s="199" t="s">
        <v>1928</v>
      </c>
      <c r="AR40" s="199" t="s">
        <v>1556</v>
      </c>
    </row>
    <row r="41" spans="5:44">
      <c r="E41" s="199">
        <v>37</v>
      </c>
      <c r="F41" s="199" t="s">
        <v>364</v>
      </c>
      <c r="G41" s="199" t="s">
        <v>365</v>
      </c>
      <c r="I41" s="9" t="s">
        <v>764</v>
      </c>
      <c r="J41" s="9" t="s">
        <v>764</v>
      </c>
      <c r="K41" s="9">
        <v>631</v>
      </c>
      <c r="L41" s="9"/>
      <c r="M41" s="9"/>
      <c r="N41" s="9" t="s">
        <v>410</v>
      </c>
      <c r="O41" s="9" t="s">
        <v>759</v>
      </c>
      <c r="P41" s="9" t="s">
        <v>765</v>
      </c>
      <c r="Q41" s="9"/>
      <c r="R41" s="9"/>
      <c r="S41" s="9" t="b">
        <v>0</v>
      </c>
      <c r="T41" s="9"/>
      <c r="U41" s="9" t="s">
        <v>766</v>
      </c>
      <c r="X41" s="199">
        <v>37</v>
      </c>
      <c r="Y41" s="199" t="s">
        <v>698</v>
      </c>
      <c r="Z41" s="199"/>
      <c r="AA41" s="199"/>
      <c r="AB41" s="199" t="s">
        <v>698</v>
      </c>
      <c r="AC41" s="199"/>
      <c r="AE41" s="199">
        <v>37</v>
      </c>
      <c r="AF41" s="199" t="s">
        <v>1916</v>
      </c>
      <c r="AG41" s="199" t="s">
        <v>1917</v>
      </c>
      <c r="AH41" s="199" t="s">
        <v>1846</v>
      </c>
      <c r="AI41" s="199" t="s">
        <v>410</v>
      </c>
      <c r="AJ41" s="199"/>
      <c r="AK41" s="199"/>
      <c r="AL41" s="199"/>
      <c r="AM41" s="199"/>
      <c r="AN41" s="199"/>
      <c r="AP41" s="199">
        <v>37</v>
      </c>
      <c r="AQ41" s="199" t="s">
        <v>1928</v>
      </c>
      <c r="AR41" s="199" t="s">
        <v>1577</v>
      </c>
    </row>
    <row r="42" spans="5:44">
      <c r="E42" s="199">
        <v>38</v>
      </c>
      <c r="F42" s="199" t="s">
        <v>366</v>
      </c>
      <c r="G42" s="199" t="s">
        <v>367</v>
      </c>
      <c r="I42" s="9" t="s">
        <v>767</v>
      </c>
      <c r="J42" s="9" t="s">
        <v>767</v>
      </c>
      <c r="K42" s="9">
        <v>632</v>
      </c>
      <c r="L42" s="9"/>
      <c r="M42" s="9"/>
      <c r="N42" s="9" t="s">
        <v>410</v>
      </c>
      <c r="O42" s="9" t="s">
        <v>768</v>
      </c>
      <c r="P42" s="9" t="s">
        <v>769</v>
      </c>
      <c r="Q42" s="9"/>
      <c r="R42" s="9"/>
      <c r="S42" s="9" t="b">
        <v>0</v>
      </c>
      <c r="T42" s="9"/>
      <c r="U42" s="9"/>
      <c r="X42" s="199">
        <v>38</v>
      </c>
      <c r="Y42" s="199" t="s">
        <v>858</v>
      </c>
      <c r="Z42" s="199"/>
      <c r="AA42" s="199"/>
      <c r="AB42" s="199" t="s">
        <v>858</v>
      </c>
      <c r="AC42" s="199"/>
      <c r="AE42" s="199">
        <v>38</v>
      </c>
      <c r="AF42" s="199" t="s">
        <v>1918</v>
      </c>
      <c r="AG42" s="199" t="s">
        <v>1919</v>
      </c>
      <c r="AH42" s="199" t="s">
        <v>1846</v>
      </c>
      <c r="AI42" s="199" t="s">
        <v>410</v>
      </c>
      <c r="AJ42" s="199"/>
      <c r="AK42" s="199"/>
      <c r="AL42" s="199"/>
      <c r="AM42" s="199"/>
      <c r="AN42" s="199"/>
      <c r="AP42" s="199">
        <v>38</v>
      </c>
      <c r="AQ42" s="199" t="s">
        <v>1934</v>
      </c>
      <c r="AR42" s="199" t="s">
        <v>1188</v>
      </c>
    </row>
    <row r="43" spans="5:44">
      <c r="E43" s="199">
        <v>39</v>
      </c>
      <c r="F43" s="199" t="s">
        <v>368</v>
      </c>
      <c r="G43" s="199" t="s">
        <v>369</v>
      </c>
      <c r="I43" s="9" t="s">
        <v>770</v>
      </c>
      <c r="J43" s="9" t="s">
        <v>770</v>
      </c>
      <c r="K43" s="9">
        <v>633</v>
      </c>
      <c r="L43" s="9"/>
      <c r="M43" s="9"/>
      <c r="N43" s="9" t="s">
        <v>410</v>
      </c>
      <c r="O43" s="9" t="s">
        <v>689</v>
      </c>
      <c r="P43" s="9" t="s">
        <v>771</v>
      </c>
      <c r="Q43" s="9"/>
      <c r="R43" s="9"/>
      <c r="S43" s="9" t="b">
        <v>0</v>
      </c>
      <c r="T43" s="9"/>
      <c r="U43" s="9"/>
      <c r="X43" s="199">
        <v>39</v>
      </c>
      <c r="Y43" s="199" t="s">
        <v>860</v>
      </c>
      <c r="Z43" s="199"/>
      <c r="AA43" s="199"/>
      <c r="AB43" s="199" t="s">
        <v>860</v>
      </c>
      <c r="AC43" s="199"/>
      <c r="AE43" s="199">
        <v>39</v>
      </c>
      <c r="AF43" s="199" t="s">
        <v>1920</v>
      </c>
      <c r="AG43" s="199" t="s">
        <v>1921</v>
      </c>
      <c r="AH43" s="199" t="s">
        <v>1846</v>
      </c>
      <c r="AI43" s="199" t="s">
        <v>410</v>
      </c>
      <c r="AJ43" s="199"/>
      <c r="AK43" s="199"/>
      <c r="AL43" s="199"/>
      <c r="AM43" s="199"/>
      <c r="AN43" s="199"/>
      <c r="AP43" s="199">
        <v>39</v>
      </c>
      <c r="AQ43" s="199" t="s">
        <v>1936</v>
      </c>
      <c r="AR43" s="199" t="s">
        <v>902</v>
      </c>
    </row>
    <row r="44" spans="5:44">
      <c r="E44" s="199">
        <v>40</v>
      </c>
      <c r="F44" s="199" t="s">
        <v>370</v>
      </c>
      <c r="G44" s="199" t="s">
        <v>371</v>
      </c>
      <c r="I44" s="9" t="s">
        <v>772</v>
      </c>
      <c r="J44" s="9" t="s">
        <v>772</v>
      </c>
      <c r="K44" s="9">
        <v>634</v>
      </c>
      <c r="L44" s="9"/>
      <c r="M44" s="9"/>
      <c r="N44" s="9" t="s">
        <v>400</v>
      </c>
      <c r="O44" s="9" t="s">
        <v>724</v>
      </c>
      <c r="P44" s="9" t="s">
        <v>773</v>
      </c>
      <c r="Q44" s="9"/>
      <c r="R44" s="9"/>
      <c r="S44" s="9" t="b">
        <v>0</v>
      </c>
      <c r="T44" s="9"/>
      <c r="U44" s="9"/>
      <c r="X44" s="199">
        <v>40</v>
      </c>
      <c r="Y44" s="199" t="s">
        <v>862</v>
      </c>
      <c r="Z44" s="199"/>
      <c r="AA44" s="199"/>
      <c r="AB44" s="199" t="s">
        <v>862</v>
      </c>
      <c r="AC44" s="199"/>
      <c r="AE44" s="199">
        <v>40</v>
      </c>
      <c r="AF44" s="199" t="s">
        <v>1922</v>
      </c>
      <c r="AG44" s="199" t="s">
        <v>1923</v>
      </c>
      <c r="AH44" s="199" t="s">
        <v>1846</v>
      </c>
      <c r="AI44" s="199" t="s">
        <v>410</v>
      </c>
      <c r="AJ44" s="199"/>
      <c r="AK44" s="199"/>
      <c r="AL44" s="199"/>
      <c r="AM44" s="199"/>
      <c r="AN44" s="199"/>
      <c r="AP44" s="199">
        <v>40</v>
      </c>
      <c r="AQ44" s="199" t="s">
        <v>1936</v>
      </c>
      <c r="AR44" s="199" t="s">
        <v>904</v>
      </c>
    </row>
    <row r="45" spans="5:44">
      <c r="E45" s="199">
        <v>41</v>
      </c>
      <c r="F45" s="199" t="s">
        <v>372</v>
      </c>
      <c r="G45" s="199" t="s">
        <v>373</v>
      </c>
      <c r="I45" s="9" t="s">
        <v>774</v>
      </c>
      <c r="J45" s="9" t="s">
        <v>774</v>
      </c>
      <c r="K45" s="9">
        <v>635</v>
      </c>
      <c r="L45" s="9"/>
      <c r="M45" s="9"/>
      <c r="N45" s="9" t="s">
        <v>626</v>
      </c>
      <c r="O45" s="9" t="s">
        <v>720</v>
      </c>
      <c r="P45" s="9" t="s">
        <v>775</v>
      </c>
      <c r="Q45" s="9"/>
      <c r="R45" s="9"/>
      <c r="S45" s="9" t="b">
        <v>0</v>
      </c>
      <c r="T45" s="9"/>
      <c r="U45" s="9" t="s">
        <v>776</v>
      </c>
      <c r="X45" s="199">
        <v>41</v>
      </c>
      <c r="Y45" s="199" t="s">
        <v>699</v>
      </c>
      <c r="Z45" s="199"/>
      <c r="AA45" s="199"/>
      <c r="AB45" s="199" t="s">
        <v>699</v>
      </c>
      <c r="AC45" s="199"/>
      <c r="AE45" s="199">
        <v>41</v>
      </c>
      <c r="AF45" s="199" t="s">
        <v>1924</v>
      </c>
      <c r="AG45" s="199" t="s">
        <v>1925</v>
      </c>
      <c r="AH45" s="199" t="s">
        <v>1846</v>
      </c>
      <c r="AI45" s="199" t="s">
        <v>410</v>
      </c>
      <c r="AJ45" s="199"/>
      <c r="AK45" s="199"/>
      <c r="AL45" s="199"/>
      <c r="AM45" s="199"/>
      <c r="AN45" s="199"/>
      <c r="AP45" s="199">
        <v>41</v>
      </c>
      <c r="AQ45" s="199" t="s">
        <v>1940</v>
      </c>
      <c r="AR45" s="199" t="s">
        <v>1028</v>
      </c>
    </row>
    <row r="46" spans="5:44">
      <c r="E46" s="199">
        <v>42</v>
      </c>
      <c r="F46" s="199" t="s">
        <v>374</v>
      </c>
      <c r="G46" s="199" t="s">
        <v>375</v>
      </c>
      <c r="I46" s="9" t="s">
        <v>777</v>
      </c>
      <c r="J46" s="9" t="s">
        <v>777</v>
      </c>
      <c r="K46" s="9">
        <v>636</v>
      </c>
      <c r="L46" s="9"/>
      <c r="M46" s="9"/>
      <c r="N46" s="9" t="s">
        <v>410</v>
      </c>
      <c r="O46" s="9" t="s">
        <v>778</v>
      </c>
      <c r="P46" s="9" t="s">
        <v>779</v>
      </c>
      <c r="Q46" s="9"/>
      <c r="R46" s="9"/>
      <c r="S46" s="9" t="b">
        <v>0</v>
      </c>
      <c r="T46" s="9"/>
      <c r="U46" s="9"/>
      <c r="X46" s="199">
        <v>42</v>
      </c>
      <c r="Y46" s="199" t="s">
        <v>701</v>
      </c>
      <c r="Z46" s="199"/>
      <c r="AA46" s="199"/>
      <c r="AB46" s="199" t="s">
        <v>701</v>
      </c>
      <c r="AC46" s="199"/>
      <c r="AE46" s="199">
        <v>42</v>
      </c>
      <c r="AF46" s="199" t="s">
        <v>1926</v>
      </c>
      <c r="AG46" s="199" t="s">
        <v>1927</v>
      </c>
      <c r="AH46" s="199" t="s">
        <v>1846</v>
      </c>
      <c r="AI46" s="199" t="s">
        <v>410</v>
      </c>
      <c r="AJ46" s="199"/>
      <c r="AK46" s="199"/>
      <c r="AL46" s="199"/>
      <c r="AM46" s="199"/>
      <c r="AN46" s="199"/>
      <c r="AP46" s="199">
        <v>42</v>
      </c>
      <c r="AQ46" s="199" t="s">
        <v>1944</v>
      </c>
      <c r="AR46" s="199" t="s">
        <v>1553</v>
      </c>
    </row>
    <row r="47" spans="5:44">
      <c r="E47" s="199">
        <v>43</v>
      </c>
      <c r="F47" s="199" t="s">
        <v>376</v>
      </c>
      <c r="G47" s="199" t="s">
        <v>377</v>
      </c>
      <c r="I47" s="9" t="s">
        <v>780</v>
      </c>
      <c r="J47" s="9" t="s">
        <v>780</v>
      </c>
      <c r="K47" s="9">
        <v>637</v>
      </c>
      <c r="L47" s="9"/>
      <c r="M47" s="9"/>
      <c r="N47" s="9" t="s">
        <v>410</v>
      </c>
      <c r="O47" s="9" t="s">
        <v>724</v>
      </c>
      <c r="P47" s="9" t="s">
        <v>781</v>
      </c>
      <c r="Q47" s="9"/>
      <c r="R47" s="9"/>
      <c r="S47" s="9" t="b">
        <v>0</v>
      </c>
      <c r="T47" s="9"/>
      <c r="U47" s="9"/>
      <c r="X47" s="199">
        <v>43</v>
      </c>
      <c r="Y47" s="199" t="s">
        <v>702</v>
      </c>
      <c r="Z47" s="199"/>
      <c r="AA47" s="199"/>
      <c r="AB47" s="199" t="s">
        <v>702</v>
      </c>
      <c r="AC47" s="199"/>
      <c r="AE47" s="199">
        <v>43</v>
      </c>
      <c r="AF47" s="199" t="s">
        <v>1928</v>
      </c>
      <c r="AG47" s="199" t="s">
        <v>1929</v>
      </c>
      <c r="AH47" s="199" t="s">
        <v>1846</v>
      </c>
      <c r="AI47" s="199" t="s">
        <v>410</v>
      </c>
      <c r="AJ47" s="199"/>
      <c r="AK47" s="199"/>
      <c r="AL47" s="199"/>
      <c r="AM47" s="199"/>
      <c r="AN47" s="199"/>
      <c r="AP47" s="199">
        <v>43</v>
      </c>
      <c r="AQ47" s="199" t="s">
        <v>1954</v>
      </c>
      <c r="AR47" s="199" t="s">
        <v>1083</v>
      </c>
    </row>
    <row r="48" spans="5:44">
      <c r="E48" s="199">
        <v>44</v>
      </c>
      <c r="F48" s="199" t="s">
        <v>378</v>
      </c>
      <c r="G48" s="199" t="s">
        <v>379</v>
      </c>
      <c r="I48" s="9" t="s">
        <v>782</v>
      </c>
      <c r="J48" s="9" t="s">
        <v>782</v>
      </c>
      <c r="K48" s="9">
        <v>638</v>
      </c>
      <c r="L48" s="9"/>
      <c r="M48" s="9"/>
      <c r="N48" s="9" t="s">
        <v>410</v>
      </c>
      <c r="O48" s="9" t="s">
        <v>724</v>
      </c>
      <c r="P48" s="9" t="s">
        <v>783</v>
      </c>
      <c r="Q48" s="9"/>
      <c r="R48" s="9"/>
      <c r="S48" s="9" t="b">
        <v>0</v>
      </c>
      <c r="T48" s="9"/>
      <c r="U48" s="9" t="s">
        <v>784</v>
      </c>
      <c r="X48" s="199">
        <v>44</v>
      </c>
      <c r="Y48" s="199" t="s">
        <v>863</v>
      </c>
      <c r="Z48" s="199"/>
      <c r="AA48" s="199"/>
      <c r="AB48" s="199" t="s">
        <v>863</v>
      </c>
      <c r="AC48" s="199"/>
      <c r="AE48" s="199">
        <v>44</v>
      </c>
      <c r="AF48" s="199" t="s">
        <v>1930</v>
      </c>
      <c r="AG48" s="199" t="s">
        <v>1931</v>
      </c>
      <c r="AH48" s="199" t="s">
        <v>1846</v>
      </c>
      <c r="AI48" s="199" t="s">
        <v>410</v>
      </c>
      <c r="AJ48" s="199"/>
      <c r="AK48" s="199"/>
      <c r="AL48" s="199"/>
      <c r="AM48" s="199"/>
      <c r="AN48" s="199"/>
      <c r="AP48" s="199">
        <v>44</v>
      </c>
      <c r="AQ48" s="199" t="s">
        <v>1958</v>
      </c>
      <c r="AR48" s="199" t="s">
        <v>1059</v>
      </c>
    </row>
    <row r="49" spans="5:44">
      <c r="E49" s="199">
        <v>45</v>
      </c>
      <c r="F49" s="199" t="s">
        <v>380</v>
      </c>
      <c r="G49" s="199" t="s">
        <v>381</v>
      </c>
      <c r="I49" s="9" t="s">
        <v>785</v>
      </c>
      <c r="J49" s="9" t="s">
        <v>785</v>
      </c>
      <c r="K49" s="9">
        <v>639</v>
      </c>
      <c r="L49" s="9"/>
      <c r="M49" s="9"/>
      <c r="N49" s="9" t="s">
        <v>410</v>
      </c>
      <c r="O49" s="9" t="s">
        <v>689</v>
      </c>
      <c r="P49" s="9" t="s">
        <v>786</v>
      </c>
      <c r="Q49" s="9"/>
      <c r="R49" s="9"/>
      <c r="S49" s="9" t="b">
        <v>0</v>
      </c>
      <c r="T49" s="9"/>
      <c r="U49" s="9" t="s">
        <v>787</v>
      </c>
      <c r="X49" s="199">
        <v>45</v>
      </c>
      <c r="Y49" s="199" t="s">
        <v>865</v>
      </c>
      <c r="Z49" s="199"/>
      <c r="AA49" s="199"/>
      <c r="AB49" s="199" t="s">
        <v>865</v>
      </c>
      <c r="AC49" s="199"/>
      <c r="AE49" s="199">
        <v>45</v>
      </c>
      <c r="AF49" s="199" t="s">
        <v>1932</v>
      </c>
      <c r="AG49" s="199" t="s">
        <v>1933</v>
      </c>
      <c r="AH49" s="199" t="s">
        <v>1846</v>
      </c>
      <c r="AI49" s="199" t="s">
        <v>410</v>
      </c>
      <c r="AJ49" s="199"/>
      <c r="AK49" s="199"/>
      <c r="AL49" s="199"/>
      <c r="AM49" s="199"/>
      <c r="AN49" s="199"/>
      <c r="AP49" s="199">
        <v>45</v>
      </c>
      <c r="AQ49" s="199" t="s">
        <v>1972</v>
      </c>
      <c r="AR49" s="199" t="s">
        <v>1390</v>
      </c>
    </row>
    <row r="50" spans="5:44">
      <c r="E50" s="199">
        <v>46</v>
      </c>
      <c r="F50" s="199" t="s">
        <v>382</v>
      </c>
      <c r="G50" s="199" t="s">
        <v>383</v>
      </c>
      <c r="I50" s="9" t="s">
        <v>788</v>
      </c>
      <c r="J50" s="9" t="s">
        <v>788</v>
      </c>
      <c r="K50" s="9">
        <v>640</v>
      </c>
      <c r="L50" s="9"/>
      <c r="M50" s="9"/>
      <c r="N50" s="9" t="s">
        <v>410</v>
      </c>
      <c r="O50" s="9" t="s">
        <v>749</v>
      </c>
      <c r="P50" s="9" t="s">
        <v>789</v>
      </c>
      <c r="Q50" s="9"/>
      <c r="R50" s="9"/>
      <c r="S50" s="9" t="b">
        <v>0</v>
      </c>
      <c r="T50" s="9"/>
      <c r="U50" s="9" t="s">
        <v>790</v>
      </c>
      <c r="X50" s="199">
        <v>46</v>
      </c>
      <c r="Y50" s="199" t="s">
        <v>867</v>
      </c>
      <c r="Z50" s="199"/>
      <c r="AA50" s="199"/>
      <c r="AB50" s="199" t="s">
        <v>867</v>
      </c>
      <c r="AC50" s="199"/>
      <c r="AE50" s="199">
        <v>46</v>
      </c>
      <c r="AF50" s="199" t="s">
        <v>1934</v>
      </c>
      <c r="AG50" s="199" t="s">
        <v>1935</v>
      </c>
      <c r="AH50" s="199" t="s">
        <v>1846</v>
      </c>
      <c r="AI50" s="199" t="s">
        <v>410</v>
      </c>
      <c r="AJ50" s="199"/>
      <c r="AK50" s="199"/>
      <c r="AL50" s="199"/>
      <c r="AM50" s="199"/>
      <c r="AN50" s="199"/>
      <c r="AP50" s="199">
        <v>46</v>
      </c>
      <c r="AQ50" s="199" t="s">
        <v>1974</v>
      </c>
      <c r="AR50" s="199" t="s">
        <v>1370</v>
      </c>
    </row>
    <row r="51" spans="5:44">
      <c r="E51" s="199">
        <v>47</v>
      </c>
      <c r="F51" s="199" t="s">
        <v>384</v>
      </c>
      <c r="G51" s="199" t="s">
        <v>385</v>
      </c>
      <c r="I51" s="9" t="s">
        <v>791</v>
      </c>
      <c r="J51" s="9" t="s">
        <v>791</v>
      </c>
      <c r="K51" s="9">
        <v>641</v>
      </c>
      <c r="L51" s="9"/>
      <c r="M51" s="9"/>
      <c r="N51" s="9" t="s">
        <v>410</v>
      </c>
      <c r="O51" s="9" t="s">
        <v>724</v>
      </c>
      <c r="P51" s="9" t="s">
        <v>792</v>
      </c>
      <c r="Q51" s="9"/>
      <c r="R51" s="9"/>
      <c r="S51" s="9" t="b">
        <v>0</v>
      </c>
      <c r="T51" s="9"/>
      <c r="U51" s="9" t="s">
        <v>793</v>
      </c>
      <c r="X51" s="199">
        <v>47</v>
      </c>
      <c r="Y51" s="199" t="s">
        <v>876</v>
      </c>
      <c r="Z51" s="199"/>
      <c r="AA51" s="199"/>
      <c r="AB51" s="199" t="s">
        <v>876</v>
      </c>
      <c r="AC51" s="199"/>
      <c r="AE51" s="199">
        <v>47</v>
      </c>
      <c r="AF51" s="199" t="s">
        <v>1936</v>
      </c>
      <c r="AG51" s="199" t="s">
        <v>1937</v>
      </c>
      <c r="AH51" s="199" t="s">
        <v>1846</v>
      </c>
      <c r="AI51" s="199" t="s">
        <v>410</v>
      </c>
      <c r="AJ51" s="199"/>
      <c r="AK51" s="199"/>
      <c r="AL51" s="199"/>
      <c r="AM51" s="199"/>
      <c r="AN51" s="199"/>
      <c r="AP51" s="199">
        <v>47</v>
      </c>
      <c r="AQ51" s="199" t="s">
        <v>1974</v>
      </c>
      <c r="AR51" s="199" t="s">
        <v>1406</v>
      </c>
    </row>
    <row r="52" spans="5:44">
      <c r="E52" s="199">
        <v>48</v>
      </c>
      <c r="F52" s="199" t="s">
        <v>386</v>
      </c>
      <c r="G52" s="199" t="s">
        <v>387</v>
      </c>
      <c r="I52" s="9" t="s">
        <v>794</v>
      </c>
      <c r="J52" s="9" t="s">
        <v>794</v>
      </c>
      <c r="K52" s="9">
        <v>642</v>
      </c>
      <c r="L52" s="9"/>
      <c r="M52" s="9"/>
      <c r="N52" s="9" t="s">
        <v>410</v>
      </c>
      <c r="O52" s="9" t="s">
        <v>689</v>
      </c>
      <c r="P52" s="9" t="s">
        <v>795</v>
      </c>
      <c r="Q52" s="9"/>
      <c r="R52" s="9"/>
      <c r="S52" s="9" t="b">
        <v>0</v>
      </c>
      <c r="T52" s="9"/>
      <c r="U52" s="9" t="s">
        <v>794</v>
      </c>
      <c r="X52" s="199">
        <v>48</v>
      </c>
      <c r="Y52" s="199" t="s">
        <v>1614</v>
      </c>
      <c r="Z52" s="199"/>
      <c r="AA52" s="199"/>
      <c r="AB52" s="199" t="s">
        <v>1615</v>
      </c>
      <c r="AC52" s="199"/>
      <c r="AE52" s="199">
        <v>48</v>
      </c>
      <c r="AF52" s="199" t="s">
        <v>1938</v>
      </c>
      <c r="AG52" s="199" t="s">
        <v>1939</v>
      </c>
      <c r="AH52" s="199" t="s">
        <v>1846</v>
      </c>
      <c r="AI52" s="199" t="s">
        <v>410</v>
      </c>
      <c r="AJ52" s="199"/>
      <c r="AK52" s="199"/>
      <c r="AL52" s="199"/>
      <c r="AM52" s="199"/>
      <c r="AN52" s="199"/>
      <c r="AP52" s="199">
        <v>48</v>
      </c>
      <c r="AQ52" s="199" t="s">
        <v>1974</v>
      </c>
      <c r="AR52" s="199" t="s">
        <v>1167</v>
      </c>
    </row>
    <row r="53" spans="5:44">
      <c r="E53" s="199">
        <v>49</v>
      </c>
      <c r="F53" s="199" t="s">
        <v>388</v>
      </c>
      <c r="G53" s="199" t="s">
        <v>389</v>
      </c>
      <c r="I53" s="9" t="s">
        <v>796</v>
      </c>
      <c r="J53" s="9" t="s">
        <v>796</v>
      </c>
      <c r="K53" s="9">
        <v>643</v>
      </c>
      <c r="L53" s="9"/>
      <c r="M53" s="9"/>
      <c r="N53" s="9" t="s">
        <v>410</v>
      </c>
      <c r="O53" s="9" t="s">
        <v>689</v>
      </c>
      <c r="P53" s="9" t="s">
        <v>795</v>
      </c>
      <c r="Q53" s="9"/>
      <c r="R53" s="9"/>
      <c r="S53" s="9" t="b">
        <v>0</v>
      </c>
      <c r="T53" s="9"/>
      <c r="U53" s="9" t="s">
        <v>796</v>
      </c>
      <c r="X53" s="199">
        <v>269</v>
      </c>
      <c r="Y53" s="199" t="s">
        <v>1083</v>
      </c>
      <c r="Z53" s="199"/>
      <c r="AA53" s="199"/>
      <c r="AB53" s="199" t="s">
        <v>1083</v>
      </c>
      <c r="AC53" s="199"/>
      <c r="AE53" s="199">
        <v>49</v>
      </c>
      <c r="AF53" s="199" t="s">
        <v>1940</v>
      </c>
      <c r="AG53" s="199" t="s">
        <v>1941</v>
      </c>
      <c r="AH53" s="199" t="s">
        <v>1846</v>
      </c>
      <c r="AI53" s="199" t="s">
        <v>410</v>
      </c>
      <c r="AJ53" s="199"/>
      <c r="AK53" s="199"/>
      <c r="AL53" s="199"/>
      <c r="AM53" s="199"/>
      <c r="AN53" s="199"/>
      <c r="AP53" s="199">
        <v>49</v>
      </c>
      <c r="AQ53" s="199" t="s">
        <v>1976</v>
      </c>
      <c r="AR53" s="199" t="s">
        <v>1342</v>
      </c>
    </row>
    <row r="54" spans="5:44">
      <c r="E54" s="199">
        <v>50</v>
      </c>
      <c r="F54" s="199" t="s">
        <v>390</v>
      </c>
      <c r="G54" s="199" t="s">
        <v>391</v>
      </c>
      <c r="I54" s="9" t="s">
        <v>797</v>
      </c>
      <c r="J54" s="9" t="s">
        <v>797</v>
      </c>
      <c r="K54" s="9">
        <v>644</v>
      </c>
      <c r="L54" s="9"/>
      <c r="M54" s="9"/>
      <c r="N54" s="9" t="s">
        <v>410</v>
      </c>
      <c r="O54" s="9" t="s">
        <v>689</v>
      </c>
      <c r="P54" s="9" t="s">
        <v>798</v>
      </c>
      <c r="Q54" s="9"/>
      <c r="R54" s="9"/>
      <c r="S54" s="9" t="b">
        <v>0</v>
      </c>
      <c r="T54" s="9"/>
      <c r="U54" s="9" t="s">
        <v>799</v>
      </c>
      <c r="X54" s="199">
        <v>272</v>
      </c>
      <c r="Y54" s="199" t="s">
        <v>248</v>
      </c>
      <c r="Z54" s="199"/>
      <c r="AA54" s="199"/>
      <c r="AB54" s="199" t="s">
        <v>248</v>
      </c>
      <c r="AC54" s="199"/>
      <c r="AE54" s="199">
        <v>50</v>
      </c>
      <c r="AF54" s="199" t="s">
        <v>1942</v>
      </c>
      <c r="AG54" s="199" t="s">
        <v>1943</v>
      </c>
      <c r="AH54" s="199" t="s">
        <v>1846</v>
      </c>
      <c r="AI54" s="199" t="s">
        <v>410</v>
      </c>
      <c r="AJ54" s="199"/>
      <c r="AK54" s="199"/>
      <c r="AL54" s="199"/>
      <c r="AM54" s="199"/>
      <c r="AN54" s="199"/>
      <c r="AP54" s="199">
        <v>50</v>
      </c>
      <c r="AQ54" s="199" t="s">
        <v>1976</v>
      </c>
      <c r="AR54" s="199" t="s">
        <v>1394</v>
      </c>
    </row>
    <row r="55" spans="5:44">
      <c r="E55" s="199">
        <v>51</v>
      </c>
      <c r="F55" s="199" t="s">
        <v>392</v>
      </c>
      <c r="G55" s="199" t="s">
        <v>393</v>
      </c>
      <c r="I55" s="9" t="s">
        <v>800</v>
      </c>
      <c r="J55" s="9" t="s">
        <v>800</v>
      </c>
      <c r="K55" s="9">
        <v>645</v>
      </c>
      <c r="L55" s="9"/>
      <c r="M55" s="9"/>
      <c r="N55" s="9" t="s">
        <v>410</v>
      </c>
      <c r="O55" s="9" t="s">
        <v>689</v>
      </c>
      <c r="P55" s="9" t="s">
        <v>801</v>
      </c>
      <c r="Q55" s="9"/>
      <c r="R55" s="9"/>
      <c r="S55" s="9" t="b">
        <v>0</v>
      </c>
      <c r="T55" s="9"/>
      <c r="U55" s="9" t="s">
        <v>800</v>
      </c>
      <c r="X55" s="199">
        <v>270</v>
      </c>
      <c r="Y55" s="199" t="s">
        <v>1085</v>
      </c>
      <c r="Z55" s="199"/>
      <c r="AA55" s="199"/>
      <c r="AB55" s="199" t="s">
        <v>1085</v>
      </c>
      <c r="AC55" s="199"/>
      <c r="AE55" s="199">
        <v>51</v>
      </c>
      <c r="AF55" s="199" t="s">
        <v>1944</v>
      </c>
      <c r="AG55" s="199" t="s">
        <v>1945</v>
      </c>
      <c r="AH55" s="199" t="s">
        <v>1846</v>
      </c>
      <c r="AI55" s="199" t="s">
        <v>410</v>
      </c>
      <c r="AJ55" s="199"/>
      <c r="AK55" s="199"/>
      <c r="AL55" s="199"/>
      <c r="AM55" s="199"/>
      <c r="AN55" s="199"/>
      <c r="AP55" s="199">
        <v>51</v>
      </c>
      <c r="AQ55" s="199" t="s">
        <v>1978</v>
      </c>
      <c r="AR55" s="199" t="s">
        <v>1373</v>
      </c>
    </row>
    <row r="56" spans="5:44">
      <c r="E56" s="199">
        <v>52</v>
      </c>
      <c r="F56" s="199" t="s">
        <v>394</v>
      </c>
      <c r="G56" s="199" t="s">
        <v>395</v>
      </c>
      <c r="I56" s="9" t="s">
        <v>802</v>
      </c>
      <c r="J56" s="9" t="s">
        <v>802</v>
      </c>
      <c r="K56" s="9">
        <v>646</v>
      </c>
      <c r="L56" s="9"/>
      <c r="M56" s="9"/>
      <c r="N56" s="9" t="s">
        <v>400</v>
      </c>
      <c r="O56" s="9" t="s">
        <v>724</v>
      </c>
      <c r="P56" s="9" t="s">
        <v>803</v>
      </c>
      <c r="Q56" s="9"/>
      <c r="R56" s="9"/>
      <c r="S56" s="9" t="b">
        <v>0</v>
      </c>
      <c r="T56" s="9"/>
      <c r="U56" s="9" t="s">
        <v>804</v>
      </c>
      <c r="X56" s="199">
        <v>271</v>
      </c>
      <c r="Y56" s="199" t="s">
        <v>1086</v>
      </c>
      <c r="Z56" s="199"/>
      <c r="AA56" s="199"/>
      <c r="AB56" s="199" t="s">
        <v>1086</v>
      </c>
      <c r="AC56" s="199"/>
      <c r="AE56" s="199">
        <v>52</v>
      </c>
      <c r="AF56" s="199" t="s">
        <v>1946</v>
      </c>
      <c r="AG56" s="199" t="s">
        <v>1947</v>
      </c>
      <c r="AH56" s="199" t="s">
        <v>1846</v>
      </c>
      <c r="AI56" s="199" t="s">
        <v>410</v>
      </c>
      <c r="AJ56" s="199"/>
      <c r="AK56" s="199"/>
      <c r="AL56" s="199"/>
      <c r="AM56" s="199"/>
      <c r="AN56" s="199"/>
      <c r="AP56" s="199">
        <v>52</v>
      </c>
      <c r="AQ56" s="199" t="s">
        <v>1978</v>
      </c>
      <c r="AR56" s="199" t="s">
        <v>1405</v>
      </c>
    </row>
    <row r="57" spans="5:44">
      <c r="E57" s="199">
        <v>53</v>
      </c>
      <c r="F57" s="199" t="s">
        <v>396</v>
      </c>
      <c r="G57" s="199" t="s">
        <v>397</v>
      </c>
      <c r="I57" s="9" t="s">
        <v>805</v>
      </c>
      <c r="J57" s="9" t="s">
        <v>805</v>
      </c>
      <c r="K57" s="9">
        <v>647</v>
      </c>
      <c r="L57" s="9"/>
      <c r="M57" s="9"/>
      <c r="N57" s="9" t="s">
        <v>410</v>
      </c>
      <c r="O57" s="9" t="s">
        <v>689</v>
      </c>
      <c r="P57" s="9" t="s">
        <v>806</v>
      </c>
      <c r="Q57" s="9"/>
      <c r="R57" s="9"/>
      <c r="S57" s="9" t="b">
        <v>0</v>
      </c>
      <c r="T57" s="9"/>
      <c r="U57" s="9" t="s">
        <v>805</v>
      </c>
      <c r="X57" s="199">
        <v>49</v>
      </c>
      <c r="Y57" s="199" t="s">
        <v>1616</v>
      </c>
      <c r="Z57" s="199"/>
      <c r="AA57" s="199"/>
      <c r="AB57" s="199" t="s">
        <v>1617</v>
      </c>
      <c r="AC57" s="199"/>
      <c r="AE57" s="199">
        <v>53</v>
      </c>
      <c r="AF57" s="199" t="s">
        <v>1948</v>
      </c>
      <c r="AG57" s="199" t="s">
        <v>1949</v>
      </c>
      <c r="AH57" s="199" t="s">
        <v>1846</v>
      </c>
      <c r="AI57" s="199" t="s">
        <v>410</v>
      </c>
      <c r="AJ57" s="199"/>
      <c r="AK57" s="199"/>
      <c r="AL57" s="199"/>
      <c r="AM57" s="199"/>
      <c r="AN57" s="199"/>
      <c r="AP57" s="199">
        <v>53</v>
      </c>
      <c r="AQ57" s="199" t="s">
        <v>1980</v>
      </c>
      <c r="AR57" s="199" t="s">
        <v>1165</v>
      </c>
    </row>
    <row r="58" spans="5:44">
      <c r="E58" s="199">
        <v>54</v>
      </c>
      <c r="F58" s="199" t="s">
        <v>398</v>
      </c>
      <c r="G58" s="199" t="s">
        <v>399</v>
      </c>
      <c r="I58" s="9" t="s">
        <v>807</v>
      </c>
      <c r="J58" s="9" t="s">
        <v>807</v>
      </c>
      <c r="K58" s="9">
        <v>648</v>
      </c>
      <c r="L58" s="9"/>
      <c r="M58" s="9"/>
      <c r="N58" s="9" t="s">
        <v>400</v>
      </c>
      <c r="O58" s="9" t="s">
        <v>724</v>
      </c>
      <c r="P58" s="9" t="s">
        <v>808</v>
      </c>
      <c r="Q58" s="9"/>
      <c r="R58" s="9"/>
      <c r="S58" s="9" t="b">
        <v>0</v>
      </c>
      <c r="T58" s="9"/>
      <c r="U58" s="9" t="s">
        <v>809</v>
      </c>
      <c r="X58" s="199">
        <v>50</v>
      </c>
      <c r="Y58" s="199" t="s">
        <v>1616</v>
      </c>
      <c r="Z58" s="199"/>
      <c r="AA58" s="199"/>
      <c r="AB58" s="199" t="s">
        <v>799</v>
      </c>
      <c r="AC58" s="199"/>
      <c r="AE58" s="199">
        <v>54</v>
      </c>
      <c r="AF58" s="199" t="s">
        <v>1950</v>
      </c>
      <c r="AG58" s="199" t="s">
        <v>1951</v>
      </c>
      <c r="AH58" s="199" t="s">
        <v>1846</v>
      </c>
      <c r="AI58" s="199" t="s">
        <v>410</v>
      </c>
      <c r="AJ58" s="199"/>
      <c r="AK58" s="199"/>
      <c r="AL58" s="199"/>
      <c r="AM58" s="199"/>
      <c r="AN58" s="199"/>
      <c r="AP58" s="199">
        <v>54</v>
      </c>
      <c r="AQ58" s="199" t="s">
        <v>1982</v>
      </c>
      <c r="AR58" s="199" t="s">
        <v>1382</v>
      </c>
    </row>
    <row r="59" spans="5:44">
      <c r="E59" s="199">
        <v>55</v>
      </c>
      <c r="F59" s="199" t="s">
        <v>400</v>
      </c>
      <c r="G59" s="199" t="s">
        <v>401</v>
      </c>
      <c r="I59" s="9" t="s">
        <v>810</v>
      </c>
      <c r="J59" s="9" t="s">
        <v>810</v>
      </c>
      <c r="K59" s="9">
        <v>649</v>
      </c>
      <c r="L59" s="9"/>
      <c r="M59" s="9"/>
      <c r="N59" s="9" t="s">
        <v>400</v>
      </c>
      <c r="O59" s="9" t="s">
        <v>749</v>
      </c>
      <c r="P59" s="9" t="s">
        <v>811</v>
      </c>
      <c r="Q59" s="9"/>
      <c r="R59" s="9"/>
      <c r="S59" s="9" t="b">
        <v>0</v>
      </c>
      <c r="T59" s="9"/>
      <c r="U59" s="9" t="s">
        <v>812</v>
      </c>
      <c r="X59" s="199">
        <v>51</v>
      </c>
      <c r="Y59" s="199"/>
      <c r="Z59" s="199"/>
      <c r="AA59" s="199"/>
      <c r="AB59" s="199" t="s">
        <v>1618</v>
      </c>
      <c r="AC59" s="199"/>
      <c r="AE59" s="199">
        <v>55</v>
      </c>
      <c r="AF59" s="199" t="s">
        <v>1952</v>
      </c>
      <c r="AG59" s="199" t="s">
        <v>1953</v>
      </c>
      <c r="AH59" s="199" t="s">
        <v>1846</v>
      </c>
      <c r="AI59" s="199" t="s">
        <v>410</v>
      </c>
      <c r="AJ59" s="199"/>
      <c r="AK59" s="199"/>
      <c r="AL59" s="199"/>
      <c r="AM59" s="199"/>
      <c r="AN59" s="199"/>
      <c r="AP59" s="199">
        <v>55</v>
      </c>
      <c r="AQ59" s="199" t="s">
        <v>1984</v>
      </c>
      <c r="AR59" s="199" t="s">
        <v>1112</v>
      </c>
    </row>
    <row r="60" spans="5:44">
      <c r="E60" s="199">
        <v>56</v>
      </c>
      <c r="F60" s="199" t="s">
        <v>402</v>
      </c>
      <c r="G60" s="199" t="s">
        <v>403</v>
      </c>
      <c r="I60" s="9" t="s">
        <v>813</v>
      </c>
      <c r="J60" s="9" t="s">
        <v>813</v>
      </c>
      <c r="K60" s="9">
        <v>650</v>
      </c>
      <c r="L60" s="9"/>
      <c r="M60" s="9"/>
      <c r="N60" s="9" t="s">
        <v>410</v>
      </c>
      <c r="O60" s="9" t="s">
        <v>689</v>
      </c>
      <c r="P60" s="9" t="s">
        <v>814</v>
      </c>
      <c r="Q60" s="9"/>
      <c r="R60" s="9"/>
      <c r="S60" s="9" t="b">
        <v>0</v>
      </c>
      <c r="T60" s="9"/>
      <c r="U60" s="9" t="s">
        <v>813</v>
      </c>
      <c r="X60" s="199">
        <v>52</v>
      </c>
      <c r="Y60" s="199" t="s">
        <v>1619</v>
      </c>
      <c r="Z60" s="199"/>
      <c r="AA60" s="199"/>
      <c r="AB60" s="199" t="s">
        <v>1620</v>
      </c>
      <c r="AC60" s="199"/>
      <c r="AE60" s="199">
        <v>56</v>
      </c>
      <c r="AF60" s="199" t="s">
        <v>1954</v>
      </c>
      <c r="AG60" s="199" t="s">
        <v>1955</v>
      </c>
      <c r="AH60" s="199" t="s">
        <v>1846</v>
      </c>
      <c r="AI60" s="199" t="s">
        <v>410</v>
      </c>
      <c r="AJ60" s="199"/>
      <c r="AK60" s="199"/>
      <c r="AL60" s="199"/>
      <c r="AM60" s="199"/>
      <c r="AN60" s="199"/>
      <c r="AP60" s="199">
        <v>56</v>
      </c>
      <c r="AQ60" s="199" t="s">
        <v>1984</v>
      </c>
      <c r="AR60" s="199" t="s">
        <v>1601</v>
      </c>
    </row>
    <row r="61" spans="5:44">
      <c r="E61" s="199">
        <v>57</v>
      </c>
      <c r="F61" s="199" t="s">
        <v>404</v>
      </c>
      <c r="G61" s="199" t="s">
        <v>405</v>
      </c>
      <c r="I61" s="9" t="s">
        <v>815</v>
      </c>
      <c r="J61" s="9" t="s">
        <v>815</v>
      </c>
      <c r="K61" s="9">
        <v>651</v>
      </c>
      <c r="L61" s="9"/>
      <c r="M61" s="9"/>
      <c r="N61" s="9" t="s">
        <v>410</v>
      </c>
      <c r="O61" s="9" t="s">
        <v>724</v>
      </c>
      <c r="P61" s="9" t="s">
        <v>816</v>
      </c>
      <c r="Q61" s="9"/>
      <c r="R61" s="9"/>
      <c r="S61" s="9" t="b">
        <v>0</v>
      </c>
      <c r="T61" s="9"/>
      <c r="U61" s="9" t="s">
        <v>817</v>
      </c>
      <c r="X61" s="199">
        <v>53</v>
      </c>
      <c r="Y61" s="199"/>
      <c r="Z61" s="199"/>
      <c r="AA61" s="199"/>
      <c r="AB61" s="199" t="s">
        <v>1621</v>
      </c>
      <c r="AC61" s="199"/>
      <c r="AE61" s="199">
        <v>57</v>
      </c>
      <c r="AF61" s="199" t="s">
        <v>1956</v>
      </c>
      <c r="AG61" s="199" t="s">
        <v>1957</v>
      </c>
      <c r="AH61" s="199" t="s">
        <v>1846</v>
      </c>
      <c r="AI61" s="199" t="s">
        <v>410</v>
      </c>
      <c r="AJ61" s="199"/>
      <c r="AK61" s="199"/>
      <c r="AL61" s="199"/>
      <c r="AM61" s="199"/>
      <c r="AN61" s="199"/>
      <c r="AP61" s="199">
        <v>57</v>
      </c>
      <c r="AQ61" s="199" t="s">
        <v>1990</v>
      </c>
      <c r="AR61" s="199" t="s">
        <v>1392</v>
      </c>
    </row>
    <row r="62" spans="5:44">
      <c r="E62" s="199">
        <v>58</v>
      </c>
      <c r="F62" s="199" t="s">
        <v>406</v>
      </c>
      <c r="G62" s="199" t="s">
        <v>407</v>
      </c>
      <c r="I62" s="9" t="s">
        <v>818</v>
      </c>
      <c r="J62" s="9" t="s">
        <v>818</v>
      </c>
      <c r="K62" s="9">
        <v>652</v>
      </c>
      <c r="L62" s="9"/>
      <c r="M62" s="9"/>
      <c r="N62" s="9" t="s">
        <v>410</v>
      </c>
      <c r="O62" s="9" t="s">
        <v>689</v>
      </c>
      <c r="P62" s="9" t="s">
        <v>819</v>
      </c>
      <c r="Q62" s="9"/>
      <c r="R62" s="9"/>
      <c r="S62" s="9" t="b">
        <v>0</v>
      </c>
      <c r="T62" s="9"/>
      <c r="U62" s="9" t="s">
        <v>818</v>
      </c>
      <c r="X62" s="199">
        <v>54</v>
      </c>
      <c r="Y62" s="199" t="s">
        <v>1622</v>
      </c>
      <c r="Z62" s="199"/>
      <c r="AA62" s="199"/>
      <c r="AB62" s="199" t="s">
        <v>1266</v>
      </c>
      <c r="AC62" s="199"/>
      <c r="AE62" s="199">
        <v>58</v>
      </c>
      <c r="AF62" s="199" t="s">
        <v>1958</v>
      </c>
      <c r="AG62" s="199" t="s">
        <v>1959</v>
      </c>
      <c r="AH62" s="199" t="s">
        <v>1846</v>
      </c>
      <c r="AI62" s="199" t="s">
        <v>410</v>
      </c>
      <c r="AJ62" s="199"/>
      <c r="AK62" s="199"/>
      <c r="AL62" s="199"/>
      <c r="AM62" s="199"/>
      <c r="AN62" s="199"/>
      <c r="AP62" s="199">
        <v>58</v>
      </c>
      <c r="AQ62" s="199" t="s">
        <v>1992</v>
      </c>
      <c r="AR62" s="199" t="s">
        <v>1365</v>
      </c>
    </row>
    <row r="63" spans="5:44">
      <c r="E63" s="199">
        <v>59</v>
      </c>
      <c r="F63" s="199" t="s">
        <v>408</v>
      </c>
      <c r="G63" s="199" t="s">
        <v>409</v>
      </c>
      <c r="I63" s="9" t="s">
        <v>820</v>
      </c>
      <c r="J63" s="9" t="s">
        <v>820</v>
      </c>
      <c r="K63" s="9">
        <v>653</v>
      </c>
      <c r="L63" s="9"/>
      <c r="M63" s="9"/>
      <c r="N63" s="9" t="s">
        <v>410</v>
      </c>
      <c r="O63" s="9" t="s">
        <v>724</v>
      </c>
      <c r="P63" s="9" t="s">
        <v>821</v>
      </c>
      <c r="Q63" s="9"/>
      <c r="R63" s="9"/>
      <c r="S63" s="9" t="b">
        <v>0</v>
      </c>
      <c r="T63" s="9"/>
      <c r="U63" s="9" t="s">
        <v>809</v>
      </c>
      <c r="X63" s="199">
        <v>55</v>
      </c>
      <c r="Y63" s="199" t="s">
        <v>1623</v>
      </c>
      <c r="Z63" s="199"/>
      <c r="AA63" s="199"/>
      <c r="AB63" s="199" t="s">
        <v>1624</v>
      </c>
      <c r="AC63" s="199"/>
      <c r="AE63" s="199">
        <v>59</v>
      </c>
      <c r="AF63" s="199" t="s">
        <v>1960</v>
      </c>
      <c r="AG63" s="199" t="s">
        <v>1961</v>
      </c>
      <c r="AH63" s="199" t="s">
        <v>1846</v>
      </c>
      <c r="AI63" s="199" t="s">
        <v>410</v>
      </c>
      <c r="AJ63" s="199"/>
      <c r="AK63" s="199"/>
      <c r="AL63" s="199"/>
      <c r="AM63" s="199"/>
      <c r="AN63" s="199"/>
      <c r="AP63" s="199">
        <v>59</v>
      </c>
      <c r="AQ63" s="199" t="s">
        <v>1994</v>
      </c>
      <c r="AR63" s="199" t="s">
        <v>1377</v>
      </c>
    </row>
    <row r="64" spans="5:44">
      <c r="E64" s="199">
        <v>60</v>
      </c>
      <c r="F64" s="199" t="s">
        <v>410</v>
      </c>
      <c r="G64" s="199" t="s">
        <v>411</v>
      </c>
      <c r="I64" s="9" t="s">
        <v>822</v>
      </c>
      <c r="J64" s="9" t="s">
        <v>822</v>
      </c>
      <c r="K64" s="9">
        <v>654</v>
      </c>
      <c r="L64" s="9"/>
      <c r="M64" s="9"/>
      <c r="N64" s="9" t="s">
        <v>410</v>
      </c>
      <c r="O64" s="9" t="s">
        <v>689</v>
      </c>
      <c r="P64" s="9" t="s">
        <v>823</v>
      </c>
      <c r="Q64" s="9"/>
      <c r="R64" s="9"/>
      <c r="S64" s="9" t="b">
        <v>0</v>
      </c>
      <c r="T64" s="9"/>
      <c r="U64" s="9"/>
      <c r="X64" s="199">
        <v>56</v>
      </c>
      <c r="Y64" s="199"/>
      <c r="Z64" s="199"/>
      <c r="AA64" s="199"/>
      <c r="AB64" s="199" t="s">
        <v>1625</v>
      </c>
      <c r="AC64" s="199"/>
      <c r="AE64" s="199">
        <v>60</v>
      </c>
      <c r="AF64" s="199" t="s">
        <v>1962</v>
      </c>
      <c r="AG64" s="199" t="s">
        <v>1963</v>
      </c>
      <c r="AH64" s="199" t="s">
        <v>1846</v>
      </c>
      <c r="AI64" s="199" t="s">
        <v>410</v>
      </c>
      <c r="AJ64" s="199"/>
      <c r="AK64" s="199"/>
      <c r="AL64" s="199"/>
      <c r="AM64" s="199"/>
      <c r="AN64" s="199"/>
      <c r="AP64" s="199">
        <v>60</v>
      </c>
      <c r="AQ64" s="199" t="s">
        <v>1994</v>
      </c>
      <c r="AR64" s="199" t="s">
        <v>1192</v>
      </c>
    </row>
    <row r="65" spans="5:44">
      <c r="E65" s="199">
        <v>61</v>
      </c>
      <c r="F65" s="199" t="s">
        <v>412</v>
      </c>
      <c r="G65" s="199" t="s">
        <v>413</v>
      </c>
      <c r="I65" s="9" t="s">
        <v>824</v>
      </c>
      <c r="J65" s="9" t="s">
        <v>824</v>
      </c>
      <c r="K65" s="9">
        <v>655</v>
      </c>
      <c r="L65" s="9"/>
      <c r="M65" s="9"/>
      <c r="N65" s="9" t="s">
        <v>626</v>
      </c>
      <c r="O65" s="9" t="s">
        <v>720</v>
      </c>
      <c r="P65" s="9" t="s">
        <v>825</v>
      </c>
      <c r="Q65" s="9"/>
      <c r="R65" s="9"/>
      <c r="S65" s="9" t="b">
        <v>0</v>
      </c>
      <c r="T65" s="9"/>
      <c r="U65" s="9" t="s">
        <v>826</v>
      </c>
      <c r="X65" s="199">
        <v>57</v>
      </c>
      <c r="Y65" s="199" t="s">
        <v>1626</v>
      </c>
      <c r="Z65" s="199"/>
      <c r="AA65" s="199"/>
      <c r="AB65" s="199" t="s">
        <v>1243</v>
      </c>
      <c r="AC65" s="199"/>
      <c r="AE65" s="199">
        <v>61</v>
      </c>
      <c r="AF65" s="199" t="s">
        <v>1964</v>
      </c>
      <c r="AG65" s="199" t="s">
        <v>1965</v>
      </c>
      <c r="AH65" s="199" t="s">
        <v>1846</v>
      </c>
      <c r="AI65" s="199" t="s">
        <v>410</v>
      </c>
      <c r="AJ65" s="199"/>
      <c r="AK65" s="199"/>
      <c r="AL65" s="199"/>
      <c r="AM65" s="199"/>
      <c r="AN65" s="199"/>
      <c r="AP65" s="199">
        <v>61</v>
      </c>
      <c r="AQ65" s="199" t="s">
        <v>1996</v>
      </c>
      <c r="AR65" s="199" t="s">
        <v>1391</v>
      </c>
    </row>
    <row r="66" spans="5:44">
      <c r="E66" s="199">
        <v>62</v>
      </c>
      <c r="F66" s="199" t="s">
        <v>414</v>
      </c>
      <c r="G66" s="199" t="s">
        <v>415</v>
      </c>
      <c r="I66" s="9" t="s">
        <v>827</v>
      </c>
      <c r="J66" s="9" t="s">
        <v>827</v>
      </c>
      <c r="K66" s="9">
        <v>656</v>
      </c>
      <c r="L66" s="9"/>
      <c r="M66" s="9"/>
      <c r="N66" s="9" t="s">
        <v>410</v>
      </c>
      <c r="O66" s="9" t="s">
        <v>689</v>
      </c>
      <c r="P66" s="9" t="s">
        <v>828</v>
      </c>
      <c r="Q66" s="9"/>
      <c r="R66" s="9"/>
      <c r="S66" s="9" t="b">
        <v>0</v>
      </c>
      <c r="T66" s="9"/>
      <c r="U66" s="9" t="s">
        <v>827</v>
      </c>
      <c r="X66" s="199">
        <v>58</v>
      </c>
      <c r="Y66" s="199" t="s">
        <v>712</v>
      </c>
      <c r="Z66" s="199"/>
      <c r="AA66" s="199"/>
      <c r="AB66" s="199" t="s">
        <v>1627</v>
      </c>
      <c r="AC66" s="199"/>
      <c r="AE66" s="199">
        <v>62</v>
      </c>
      <c r="AF66" s="199" t="s">
        <v>1966</v>
      </c>
      <c r="AG66" s="199" t="s">
        <v>1967</v>
      </c>
      <c r="AH66" s="199" t="s">
        <v>1846</v>
      </c>
      <c r="AI66" s="199" t="s">
        <v>410</v>
      </c>
      <c r="AJ66" s="199"/>
      <c r="AK66" s="199"/>
      <c r="AL66" s="199"/>
      <c r="AM66" s="199"/>
      <c r="AN66" s="199"/>
      <c r="AP66" s="199">
        <v>62</v>
      </c>
      <c r="AQ66" s="199" t="s">
        <v>1998</v>
      </c>
      <c r="AR66" s="199" t="s">
        <v>1156</v>
      </c>
    </row>
    <row r="67" spans="5:44">
      <c r="E67" s="199">
        <v>63</v>
      </c>
      <c r="F67" s="199" t="s">
        <v>416</v>
      </c>
      <c r="G67" s="199" t="s">
        <v>417</v>
      </c>
      <c r="I67" s="9" t="s">
        <v>829</v>
      </c>
      <c r="J67" s="9" t="s">
        <v>829</v>
      </c>
      <c r="K67" s="9">
        <v>657</v>
      </c>
      <c r="L67" s="9"/>
      <c r="M67" s="9"/>
      <c r="N67" s="9" t="s">
        <v>410</v>
      </c>
      <c r="O67" s="9" t="s">
        <v>689</v>
      </c>
      <c r="P67" s="9" t="s">
        <v>830</v>
      </c>
      <c r="Q67" s="9"/>
      <c r="R67" s="9"/>
      <c r="S67" s="9" t="b">
        <v>0</v>
      </c>
      <c r="T67" s="9"/>
      <c r="U67" s="9" t="s">
        <v>829</v>
      </c>
      <c r="X67" s="199">
        <v>59</v>
      </c>
      <c r="Y67" s="199" t="s">
        <v>712</v>
      </c>
      <c r="Z67" s="199"/>
      <c r="AA67" s="199"/>
      <c r="AB67" s="199" t="s">
        <v>1628</v>
      </c>
      <c r="AC67" s="199"/>
      <c r="AE67" s="199">
        <v>63</v>
      </c>
      <c r="AF67" s="199" t="s">
        <v>1968</v>
      </c>
      <c r="AG67" s="199" t="s">
        <v>1969</v>
      </c>
      <c r="AH67" s="199" t="s">
        <v>1846</v>
      </c>
      <c r="AI67" s="199" t="s">
        <v>410</v>
      </c>
      <c r="AJ67" s="199"/>
      <c r="AK67" s="199"/>
      <c r="AL67" s="199"/>
      <c r="AM67" s="199"/>
      <c r="AN67" s="199"/>
      <c r="AP67" s="199">
        <v>63</v>
      </c>
      <c r="AQ67" s="199" t="s">
        <v>2000</v>
      </c>
      <c r="AR67" s="199" t="s">
        <v>1338</v>
      </c>
    </row>
    <row r="68" spans="5:44">
      <c r="E68" s="199">
        <v>64</v>
      </c>
      <c r="F68" s="199" t="s">
        <v>418</v>
      </c>
      <c r="G68" s="199" t="s">
        <v>419</v>
      </c>
      <c r="I68" s="9" t="s">
        <v>831</v>
      </c>
      <c r="J68" s="9" t="s">
        <v>831</v>
      </c>
      <c r="K68" s="9">
        <v>658</v>
      </c>
      <c r="L68" s="9"/>
      <c r="M68" s="9"/>
      <c r="N68" s="9" t="s">
        <v>626</v>
      </c>
      <c r="O68" s="9" t="s">
        <v>720</v>
      </c>
      <c r="P68" s="9" t="s">
        <v>832</v>
      </c>
      <c r="Q68" s="9"/>
      <c r="R68" s="9"/>
      <c r="S68" s="9" t="b">
        <v>0</v>
      </c>
      <c r="T68" s="9"/>
      <c r="U68" s="9" t="s">
        <v>833</v>
      </c>
      <c r="X68" s="199">
        <v>60</v>
      </c>
      <c r="Y68" s="199" t="s">
        <v>712</v>
      </c>
      <c r="Z68" s="199"/>
      <c r="AA68" s="199"/>
      <c r="AB68" s="199" t="s">
        <v>712</v>
      </c>
      <c r="AC68" s="199"/>
      <c r="AE68" s="199">
        <v>64</v>
      </c>
      <c r="AF68" s="199" t="s">
        <v>1970</v>
      </c>
      <c r="AG68" s="199" t="s">
        <v>1971</v>
      </c>
      <c r="AH68" s="199" t="s">
        <v>1846</v>
      </c>
      <c r="AI68" s="199" t="s">
        <v>410</v>
      </c>
      <c r="AJ68" s="199"/>
      <c r="AK68" s="199"/>
      <c r="AL68" s="199"/>
      <c r="AM68" s="199"/>
      <c r="AN68" s="199"/>
      <c r="AP68" s="199">
        <v>64</v>
      </c>
      <c r="AQ68" s="199" t="s">
        <v>2000</v>
      </c>
      <c r="AR68" s="199" t="s">
        <v>1369</v>
      </c>
    </row>
    <row r="69" spans="5:44">
      <c r="E69" s="199">
        <v>65</v>
      </c>
      <c r="F69" s="199" t="s">
        <v>420</v>
      </c>
      <c r="G69" s="199" t="s">
        <v>421</v>
      </c>
      <c r="I69" s="9" t="s">
        <v>834</v>
      </c>
      <c r="J69" s="9" t="s">
        <v>834</v>
      </c>
      <c r="K69" s="9">
        <v>659</v>
      </c>
      <c r="L69" s="9"/>
      <c r="M69" s="9"/>
      <c r="N69" s="9" t="s">
        <v>410</v>
      </c>
      <c r="O69" s="9" t="s">
        <v>689</v>
      </c>
      <c r="P69" s="9" t="s">
        <v>835</v>
      </c>
      <c r="Q69" s="9"/>
      <c r="R69" s="9"/>
      <c r="S69" s="9" t="b">
        <v>0</v>
      </c>
      <c r="T69" s="9"/>
      <c r="U69" s="9" t="s">
        <v>834</v>
      </c>
      <c r="X69" s="199">
        <v>61</v>
      </c>
      <c r="Y69" s="199" t="s">
        <v>1629</v>
      </c>
      <c r="Z69" s="199"/>
      <c r="AA69" s="199"/>
      <c r="AB69" s="199" t="s">
        <v>1032</v>
      </c>
      <c r="AC69" s="199"/>
      <c r="AE69" s="199">
        <v>65</v>
      </c>
      <c r="AF69" s="199" t="s">
        <v>1972</v>
      </c>
      <c r="AG69" s="199" t="s">
        <v>1973</v>
      </c>
      <c r="AH69" s="199" t="s">
        <v>1846</v>
      </c>
      <c r="AI69" s="199" t="s">
        <v>410</v>
      </c>
      <c r="AJ69" s="199"/>
      <c r="AK69" s="199"/>
      <c r="AL69" s="199"/>
      <c r="AM69" s="199"/>
      <c r="AN69" s="199"/>
      <c r="AP69" s="199">
        <v>65</v>
      </c>
      <c r="AQ69" s="199" t="s">
        <v>2002</v>
      </c>
      <c r="AR69" s="199" t="s">
        <v>1375</v>
      </c>
    </row>
    <row r="70" spans="5:44">
      <c r="E70" s="199">
        <v>66</v>
      </c>
      <c r="F70" s="199" t="s">
        <v>422</v>
      </c>
      <c r="G70" s="199" t="s">
        <v>423</v>
      </c>
      <c r="I70" s="9" t="s">
        <v>836</v>
      </c>
      <c r="J70" s="9" t="s">
        <v>836</v>
      </c>
      <c r="K70" s="9">
        <v>660</v>
      </c>
      <c r="L70" s="9"/>
      <c r="M70" s="9"/>
      <c r="N70" s="9" t="s">
        <v>410</v>
      </c>
      <c r="O70" s="9" t="s">
        <v>689</v>
      </c>
      <c r="P70" s="9" t="s">
        <v>830</v>
      </c>
      <c r="Q70" s="9"/>
      <c r="R70" s="9"/>
      <c r="S70" s="9" t="b">
        <v>0</v>
      </c>
      <c r="T70" s="9"/>
      <c r="U70" s="9" t="s">
        <v>836</v>
      </c>
      <c r="X70" s="199">
        <v>62</v>
      </c>
      <c r="Y70" s="199" t="s">
        <v>1630</v>
      </c>
      <c r="Z70" s="199"/>
      <c r="AA70" s="199"/>
      <c r="AB70" s="199" t="s">
        <v>1312</v>
      </c>
      <c r="AC70" s="199"/>
      <c r="AE70" s="199">
        <v>66</v>
      </c>
      <c r="AF70" s="199" t="s">
        <v>1974</v>
      </c>
      <c r="AG70" s="199" t="s">
        <v>1975</v>
      </c>
      <c r="AH70" s="199" t="s">
        <v>1846</v>
      </c>
      <c r="AI70" s="199" t="s">
        <v>410</v>
      </c>
      <c r="AJ70" s="199"/>
      <c r="AK70" s="199"/>
      <c r="AL70" s="199"/>
      <c r="AM70" s="199"/>
      <c r="AN70" s="199"/>
      <c r="AP70" s="199">
        <v>66</v>
      </c>
      <c r="AQ70" s="199" t="s">
        <v>2004</v>
      </c>
      <c r="AR70" s="199" t="s">
        <v>1207</v>
      </c>
    </row>
    <row r="71" spans="5:44">
      <c r="E71" s="199">
        <v>67</v>
      </c>
      <c r="F71" s="199" t="s">
        <v>424</v>
      </c>
      <c r="G71" s="199" t="s">
        <v>425</v>
      </c>
      <c r="I71" s="9" t="s">
        <v>837</v>
      </c>
      <c r="J71" s="9" t="s">
        <v>837</v>
      </c>
      <c r="K71" s="9">
        <v>661</v>
      </c>
      <c r="L71" s="9"/>
      <c r="M71" s="9"/>
      <c r="N71" s="9" t="s">
        <v>410</v>
      </c>
      <c r="O71" s="9" t="s">
        <v>720</v>
      </c>
      <c r="P71" s="9" t="s">
        <v>838</v>
      </c>
      <c r="Q71" s="9"/>
      <c r="R71" s="9"/>
      <c r="S71" s="9" t="b">
        <v>0</v>
      </c>
      <c r="T71" s="9"/>
      <c r="U71" s="9" t="s">
        <v>839</v>
      </c>
      <c r="X71" s="199">
        <v>63</v>
      </c>
      <c r="Y71" s="199" t="s">
        <v>1631</v>
      </c>
      <c r="Z71" s="199"/>
      <c r="AA71" s="199"/>
      <c r="AB71" s="199" t="s">
        <v>804</v>
      </c>
      <c r="AC71" s="199"/>
      <c r="AE71" s="199">
        <v>67</v>
      </c>
      <c r="AF71" s="199" t="s">
        <v>1976</v>
      </c>
      <c r="AG71" s="199" t="s">
        <v>1977</v>
      </c>
      <c r="AH71" s="199" t="s">
        <v>1846</v>
      </c>
      <c r="AI71" s="199" t="s">
        <v>410</v>
      </c>
      <c r="AJ71" s="199"/>
      <c r="AK71" s="199"/>
      <c r="AL71" s="199"/>
      <c r="AM71" s="199"/>
      <c r="AN71" s="199"/>
      <c r="AP71" s="199">
        <v>67</v>
      </c>
      <c r="AQ71" s="199" t="s">
        <v>2006</v>
      </c>
      <c r="AR71" s="199" t="s">
        <v>1186</v>
      </c>
    </row>
    <row r="72" spans="5:44">
      <c r="E72" s="199">
        <v>68</v>
      </c>
      <c r="F72" s="199" t="s">
        <v>426</v>
      </c>
      <c r="G72" s="199" t="s">
        <v>427</v>
      </c>
      <c r="I72" s="9" t="s">
        <v>840</v>
      </c>
      <c r="J72" s="9" t="s">
        <v>840</v>
      </c>
      <c r="K72" s="9">
        <v>662</v>
      </c>
      <c r="L72" s="9"/>
      <c r="M72" s="9"/>
      <c r="N72" s="9" t="s">
        <v>410</v>
      </c>
      <c r="O72" s="9" t="s">
        <v>689</v>
      </c>
      <c r="P72" s="9" t="s">
        <v>841</v>
      </c>
      <c r="Q72" s="9"/>
      <c r="R72" s="9"/>
      <c r="S72" s="9" t="b">
        <v>0</v>
      </c>
      <c r="T72" s="9"/>
      <c r="U72" s="9"/>
      <c r="X72" s="199">
        <v>64</v>
      </c>
      <c r="Y72" s="199" t="s">
        <v>1632</v>
      </c>
      <c r="Z72" s="199"/>
      <c r="AA72" s="199"/>
      <c r="AB72" s="199" t="s">
        <v>1471</v>
      </c>
      <c r="AC72" s="199"/>
      <c r="AE72" s="199">
        <v>68</v>
      </c>
      <c r="AF72" s="199" t="s">
        <v>1978</v>
      </c>
      <c r="AG72" s="199" t="s">
        <v>1979</v>
      </c>
      <c r="AH72" s="199" t="s">
        <v>1846</v>
      </c>
      <c r="AI72" s="199" t="s">
        <v>410</v>
      </c>
      <c r="AJ72" s="199"/>
      <c r="AK72" s="199"/>
      <c r="AL72" s="199"/>
      <c r="AM72" s="199"/>
      <c r="AN72" s="199"/>
      <c r="AP72" s="199">
        <v>68</v>
      </c>
      <c r="AQ72" s="199" t="s">
        <v>2008</v>
      </c>
      <c r="AR72" s="199" t="s">
        <v>1212</v>
      </c>
    </row>
    <row r="73" spans="5:44">
      <c r="E73" s="199">
        <v>69</v>
      </c>
      <c r="F73" s="199" t="s">
        <v>428</v>
      </c>
      <c r="G73" s="199" t="s">
        <v>429</v>
      </c>
      <c r="I73" s="9" t="s">
        <v>842</v>
      </c>
      <c r="J73" s="9" t="s">
        <v>842</v>
      </c>
      <c r="K73" s="9">
        <v>663</v>
      </c>
      <c r="L73" s="9"/>
      <c r="M73" s="9"/>
      <c r="N73" s="9" t="s">
        <v>410</v>
      </c>
      <c r="O73" s="9" t="s">
        <v>749</v>
      </c>
      <c r="P73" s="9" t="s">
        <v>843</v>
      </c>
      <c r="Q73" s="9"/>
      <c r="R73" s="9"/>
      <c r="S73" s="9" t="b">
        <v>0</v>
      </c>
      <c r="T73" s="9"/>
      <c r="U73" s="9" t="s">
        <v>817</v>
      </c>
      <c r="X73" s="199">
        <v>65</v>
      </c>
      <c r="Y73" s="199" t="s">
        <v>1633</v>
      </c>
      <c r="Z73" s="199"/>
      <c r="AA73" s="199"/>
      <c r="AB73" s="199" t="s">
        <v>961</v>
      </c>
      <c r="AC73" s="199"/>
      <c r="AE73" s="199">
        <v>69</v>
      </c>
      <c r="AF73" s="199" t="s">
        <v>1980</v>
      </c>
      <c r="AG73" s="199" t="s">
        <v>1981</v>
      </c>
      <c r="AH73" s="199" t="s">
        <v>1846</v>
      </c>
      <c r="AI73" s="199" t="s">
        <v>410</v>
      </c>
      <c r="AJ73" s="199"/>
      <c r="AK73" s="199"/>
      <c r="AL73" s="199"/>
      <c r="AM73" s="199"/>
      <c r="AN73" s="199"/>
      <c r="AP73" s="199">
        <v>69</v>
      </c>
      <c r="AQ73" s="199" t="s">
        <v>2028</v>
      </c>
      <c r="AR73" s="199" t="s">
        <v>748</v>
      </c>
    </row>
    <row r="74" spans="5:44">
      <c r="E74" s="199">
        <v>70</v>
      </c>
      <c r="F74" s="199" t="s">
        <v>430</v>
      </c>
      <c r="G74" s="199" t="s">
        <v>431</v>
      </c>
      <c r="I74" s="9" t="s">
        <v>844</v>
      </c>
      <c r="J74" s="9" t="s">
        <v>844</v>
      </c>
      <c r="K74" s="9">
        <v>664</v>
      </c>
      <c r="L74" s="9"/>
      <c r="M74" s="9"/>
      <c r="N74" s="9" t="s">
        <v>410</v>
      </c>
      <c r="O74" s="9" t="s">
        <v>689</v>
      </c>
      <c r="P74" s="9" t="s">
        <v>845</v>
      </c>
      <c r="Q74" s="9"/>
      <c r="R74" s="9"/>
      <c r="S74" s="9" t="b">
        <v>0</v>
      </c>
      <c r="T74" s="9"/>
      <c r="U74" s="9" t="s">
        <v>844</v>
      </c>
      <c r="X74" s="199">
        <v>66</v>
      </c>
      <c r="Y74" s="199" t="s">
        <v>1634</v>
      </c>
      <c r="Z74" s="199"/>
      <c r="AA74" s="199"/>
      <c r="AB74" s="199" t="s">
        <v>905</v>
      </c>
      <c r="AC74" s="199"/>
      <c r="AE74" s="199">
        <v>70</v>
      </c>
      <c r="AF74" s="199" t="s">
        <v>1982</v>
      </c>
      <c r="AG74" s="199" t="s">
        <v>1983</v>
      </c>
      <c r="AH74" s="199" t="s">
        <v>1846</v>
      </c>
      <c r="AI74" s="199" t="s">
        <v>410</v>
      </c>
      <c r="AJ74" s="199"/>
      <c r="AK74" s="199"/>
      <c r="AL74" s="199"/>
      <c r="AM74" s="199"/>
      <c r="AN74" s="199"/>
      <c r="AP74" s="199">
        <v>70</v>
      </c>
      <c r="AQ74" s="199" t="s">
        <v>2042</v>
      </c>
      <c r="AR74" s="199" t="s">
        <v>761</v>
      </c>
    </row>
    <row r="75" spans="5:44">
      <c r="E75" s="199">
        <v>71</v>
      </c>
      <c r="F75" s="199" t="s">
        <v>432</v>
      </c>
      <c r="G75" s="199" t="s">
        <v>433</v>
      </c>
      <c r="I75" s="9" t="s">
        <v>846</v>
      </c>
      <c r="J75" s="9" t="s">
        <v>846</v>
      </c>
      <c r="K75" s="9">
        <v>666</v>
      </c>
      <c r="L75" s="9"/>
      <c r="M75" s="9"/>
      <c r="N75" s="9" t="s">
        <v>410</v>
      </c>
      <c r="O75" s="9" t="s">
        <v>689</v>
      </c>
      <c r="P75" s="9" t="s">
        <v>845</v>
      </c>
      <c r="Q75" s="9"/>
      <c r="R75" s="9"/>
      <c r="S75" s="9" t="b">
        <v>0</v>
      </c>
      <c r="T75" s="9"/>
      <c r="U75" s="9" t="s">
        <v>846</v>
      </c>
      <c r="X75" s="199">
        <v>67</v>
      </c>
      <c r="Y75" s="199" t="s">
        <v>1635</v>
      </c>
      <c r="Z75" s="199"/>
      <c r="AA75" s="199"/>
      <c r="AB75" s="199" t="s">
        <v>1368</v>
      </c>
      <c r="AC75" s="199"/>
      <c r="AE75" s="199">
        <v>71</v>
      </c>
      <c r="AF75" s="199" t="s">
        <v>1984</v>
      </c>
      <c r="AG75" s="199" t="s">
        <v>1985</v>
      </c>
      <c r="AH75" s="199" t="s">
        <v>1846</v>
      </c>
      <c r="AI75" s="199" t="s">
        <v>410</v>
      </c>
      <c r="AJ75" s="199"/>
      <c r="AK75" s="199"/>
      <c r="AL75" s="199"/>
      <c r="AM75" s="199"/>
      <c r="AN75" s="199"/>
      <c r="AP75" s="199">
        <v>71</v>
      </c>
      <c r="AQ75" s="199" t="s">
        <v>2048</v>
      </c>
      <c r="AR75" s="199" t="s">
        <v>906</v>
      </c>
    </row>
    <row r="76" spans="5:44">
      <c r="E76" s="199">
        <v>72</v>
      </c>
      <c r="F76" s="199" t="s">
        <v>434</v>
      </c>
      <c r="G76" s="199" t="s">
        <v>435</v>
      </c>
      <c r="I76" s="9" t="s">
        <v>847</v>
      </c>
      <c r="J76" s="9" t="s">
        <v>847</v>
      </c>
      <c r="K76" s="9">
        <v>667</v>
      </c>
      <c r="L76" s="9"/>
      <c r="M76" s="9"/>
      <c r="N76" s="9" t="s">
        <v>410</v>
      </c>
      <c r="O76" s="9" t="s">
        <v>689</v>
      </c>
      <c r="P76" s="9" t="s">
        <v>848</v>
      </c>
      <c r="Q76" s="9"/>
      <c r="R76" s="9"/>
      <c r="S76" s="9" t="b">
        <v>0</v>
      </c>
      <c r="T76" s="9"/>
      <c r="U76" s="9" t="s">
        <v>847</v>
      </c>
      <c r="X76" s="199">
        <v>68</v>
      </c>
      <c r="Y76" s="199" t="s">
        <v>1636</v>
      </c>
      <c r="Z76" s="199"/>
      <c r="AA76" s="199"/>
      <c r="AB76" s="199" t="s">
        <v>881</v>
      </c>
      <c r="AC76" s="199"/>
      <c r="AE76" s="199">
        <v>72</v>
      </c>
      <c r="AF76" s="199" t="s">
        <v>1986</v>
      </c>
      <c r="AG76" s="199" t="s">
        <v>1987</v>
      </c>
      <c r="AH76" s="199" t="s">
        <v>1846</v>
      </c>
      <c r="AI76" s="199" t="s">
        <v>410</v>
      </c>
      <c r="AJ76" s="199"/>
      <c r="AK76" s="199"/>
      <c r="AL76" s="199"/>
      <c r="AM76" s="199"/>
      <c r="AN76" s="199"/>
      <c r="AP76" s="199">
        <v>72</v>
      </c>
      <c r="AQ76" s="199" t="s">
        <v>2050</v>
      </c>
      <c r="AR76" s="199" t="s">
        <v>894</v>
      </c>
    </row>
    <row r="77" spans="5:44">
      <c r="E77" s="199">
        <v>73</v>
      </c>
      <c r="F77" s="199" t="s">
        <v>436</v>
      </c>
      <c r="G77" s="199" t="s">
        <v>437</v>
      </c>
      <c r="I77" s="9" t="s">
        <v>849</v>
      </c>
      <c r="J77" s="9" t="s">
        <v>849</v>
      </c>
      <c r="K77" s="9">
        <v>668</v>
      </c>
      <c r="L77" s="9"/>
      <c r="M77" s="9"/>
      <c r="N77" s="9" t="s">
        <v>410</v>
      </c>
      <c r="O77" s="9" t="s">
        <v>768</v>
      </c>
      <c r="P77" s="9" t="s">
        <v>845</v>
      </c>
      <c r="Q77" s="9"/>
      <c r="R77" s="9"/>
      <c r="S77" s="9" t="b">
        <v>0</v>
      </c>
      <c r="T77" s="9"/>
      <c r="U77" s="9" t="s">
        <v>849</v>
      </c>
      <c r="X77" s="199">
        <v>69</v>
      </c>
      <c r="Y77" s="199" t="s">
        <v>1637</v>
      </c>
      <c r="Z77" s="199"/>
      <c r="AA77" s="199"/>
      <c r="AB77" s="199" t="s">
        <v>964</v>
      </c>
      <c r="AC77" s="199"/>
      <c r="AE77" s="199">
        <v>73</v>
      </c>
      <c r="AF77" s="199" t="s">
        <v>1988</v>
      </c>
      <c r="AG77" s="199" t="s">
        <v>1989</v>
      </c>
      <c r="AH77" s="199" t="s">
        <v>1846</v>
      </c>
      <c r="AI77" s="199" t="s">
        <v>410</v>
      </c>
      <c r="AJ77" s="199"/>
      <c r="AK77" s="199"/>
      <c r="AL77" s="199"/>
      <c r="AM77" s="199"/>
      <c r="AN77" s="199"/>
      <c r="AP77" s="199">
        <v>73</v>
      </c>
      <c r="AQ77" s="199" t="s">
        <v>2060</v>
      </c>
      <c r="AR77" s="199" t="s">
        <v>1511</v>
      </c>
    </row>
    <row r="78" spans="5:44">
      <c r="E78" s="199">
        <v>74</v>
      </c>
      <c r="F78" s="199" t="s">
        <v>438</v>
      </c>
      <c r="G78" s="199" t="s">
        <v>439</v>
      </c>
      <c r="I78" s="9" t="s">
        <v>850</v>
      </c>
      <c r="J78" s="9" t="s">
        <v>850</v>
      </c>
      <c r="K78" s="9">
        <v>669</v>
      </c>
      <c r="L78" s="9"/>
      <c r="M78" s="9"/>
      <c r="N78" s="9" t="s">
        <v>400</v>
      </c>
      <c r="O78" s="9" t="s">
        <v>720</v>
      </c>
      <c r="P78" s="9" t="s">
        <v>851</v>
      </c>
      <c r="Q78" s="9"/>
      <c r="R78" s="9"/>
      <c r="S78" s="9" t="b">
        <v>0</v>
      </c>
      <c r="T78" s="9"/>
      <c r="U78" s="9" t="s">
        <v>852</v>
      </c>
      <c r="X78" s="199">
        <v>70</v>
      </c>
      <c r="Y78" s="199" t="s">
        <v>1638</v>
      </c>
      <c r="Z78" s="199"/>
      <c r="AA78" s="199"/>
      <c r="AB78" s="199" t="s">
        <v>1072</v>
      </c>
      <c r="AC78" s="199"/>
      <c r="AE78" s="199">
        <v>74</v>
      </c>
      <c r="AF78" s="199" t="s">
        <v>1990</v>
      </c>
      <c r="AG78" s="199" t="s">
        <v>1991</v>
      </c>
      <c r="AH78" s="199" t="s">
        <v>1846</v>
      </c>
      <c r="AI78" s="199" t="s">
        <v>410</v>
      </c>
      <c r="AJ78" s="199"/>
      <c r="AK78" s="199"/>
      <c r="AL78" s="199"/>
      <c r="AM78" s="199"/>
      <c r="AN78" s="199"/>
      <c r="AP78" s="199">
        <v>74</v>
      </c>
      <c r="AQ78" s="199" t="s">
        <v>2062</v>
      </c>
      <c r="AR78" s="199" t="s">
        <v>1513</v>
      </c>
    </row>
    <row r="79" spans="5:44">
      <c r="E79" s="199">
        <v>75</v>
      </c>
      <c r="F79" s="199" t="s">
        <v>440</v>
      </c>
      <c r="G79" s="199" t="s">
        <v>441</v>
      </c>
      <c r="I79" s="9" t="s">
        <v>853</v>
      </c>
      <c r="J79" s="9" t="s">
        <v>853</v>
      </c>
      <c r="K79" s="9">
        <v>670</v>
      </c>
      <c r="L79" s="9"/>
      <c r="M79" s="9"/>
      <c r="N79" s="9" t="s">
        <v>410</v>
      </c>
      <c r="O79" s="9" t="s">
        <v>689</v>
      </c>
      <c r="P79" s="9" t="s">
        <v>854</v>
      </c>
      <c r="Q79" s="9"/>
      <c r="R79" s="9"/>
      <c r="S79" s="9" t="b">
        <v>0</v>
      </c>
      <c r="T79" s="9"/>
      <c r="U79" s="9" t="s">
        <v>853</v>
      </c>
      <c r="X79" s="199">
        <v>71</v>
      </c>
      <c r="Y79" s="199" t="s">
        <v>1639</v>
      </c>
      <c r="Z79" s="199"/>
      <c r="AA79" s="199"/>
      <c r="AB79" s="199" t="s">
        <v>1289</v>
      </c>
      <c r="AC79" s="199"/>
      <c r="AE79" s="199">
        <v>75</v>
      </c>
      <c r="AF79" s="199" t="s">
        <v>1992</v>
      </c>
      <c r="AG79" s="199" t="s">
        <v>1993</v>
      </c>
      <c r="AH79" s="199" t="s">
        <v>1846</v>
      </c>
      <c r="AI79" s="199" t="s">
        <v>410</v>
      </c>
      <c r="AJ79" s="199"/>
      <c r="AK79" s="199"/>
      <c r="AL79" s="199"/>
      <c r="AM79" s="199"/>
      <c r="AN79" s="199"/>
      <c r="AP79" s="199">
        <v>75</v>
      </c>
      <c r="AQ79" s="199" t="s">
        <v>2071</v>
      </c>
      <c r="AR79" s="199" t="s">
        <v>1293</v>
      </c>
    </row>
    <row r="80" spans="5:44">
      <c r="E80" s="199">
        <v>76</v>
      </c>
      <c r="F80" s="199" t="s">
        <v>442</v>
      </c>
      <c r="G80" s="199" t="s">
        <v>443</v>
      </c>
      <c r="I80" s="9" t="s">
        <v>855</v>
      </c>
      <c r="J80" s="9" t="s">
        <v>855</v>
      </c>
      <c r="K80" s="9">
        <v>671</v>
      </c>
      <c r="L80" s="9"/>
      <c r="M80" s="9"/>
      <c r="N80" s="9" t="s">
        <v>410</v>
      </c>
      <c r="O80" s="9" t="s">
        <v>720</v>
      </c>
      <c r="P80" s="9" t="s">
        <v>856</v>
      </c>
      <c r="Q80" s="9"/>
      <c r="R80" s="9"/>
      <c r="S80" s="9" t="b">
        <v>0</v>
      </c>
      <c r="T80" s="9"/>
      <c r="U80" s="9" t="s">
        <v>857</v>
      </c>
      <c r="X80" s="199">
        <v>72</v>
      </c>
      <c r="Y80" s="199" t="s">
        <v>1640</v>
      </c>
      <c r="Z80" s="199"/>
      <c r="AA80" s="199"/>
      <c r="AB80" s="199" t="s">
        <v>1067</v>
      </c>
      <c r="AC80" s="199"/>
      <c r="AE80" s="199">
        <v>76</v>
      </c>
      <c r="AF80" s="199" t="s">
        <v>1994</v>
      </c>
      <c r="AG80" s="199" t="s">
        <v>1995</v>
      </c>
      <c r="AH80" s="199" t="s">
        <v>1846</v>
      </c>
      <c r="AI80" s="199" t="s">
        <v>410</v>
      </c>
      <c r="AJ80" s="199"/>
      <c r="AK80" s="199"/>
      <c r="AL80" s="199"/>
      <c r="AM80" s="199"/>
      <c r="AN80" s="199"/>
      <c r="AP80" s="199">
        <v>76</v>
      </c>
      <c r="AQ80" s="199" t="s">
        <v>2071</v>
      </c>
      <c r="AR80" s="199" t="s">
        <v>754</v>
      </c>
    </row>
    <row r="81" spans="5:44">
      <c r="E81" s="199">
        <v>77</v>
      </c>
      <c r="F81" s="199" t="s">
        <v>444</v>
      </c>
      <c r="G81" s="199" t="s">
        <v>445</v>
      </c>
      <c r="I81" s="9" t="s">
        <v>858</v>
      </c>
      <c r="J81" s="9" t="s">
        <v>858</v>
      </c>
      <c r="K81" s="9">
        <v>672</v>
      </c>
      <c r="L81" s="9"/>
      <c r="M81" s="9"/>
      <c r="N81" s="9" t="s">
        <v>410</v>
      </c>
      <c r="O81" s="9" t="s">
        <v>724</v>
      </c>
      <c r="P81" s="9" t="s">
        <v>859</v>
      </c>
      <c r="Q81" s="9"/>
      <c r="R81" s="9"/>
      <c r="S81" s="9" t="b">
        <v>0</v>
      </c>
      <c r="T81" s="9"/>
      <c r="U81" s="9" t="s">
        <v>858</v>
      </c>
      <c r="X81" s="199">
        <v>73</v>
      </c>
      <c r="Y81" s="199" t="s">
        <v>1641</v>
      </c>
      <c r="Z81" s="199"/>
      <c r="AA81" s="199"/>
      <c r="AB81" s="199" t="s">
        <v>784</v>
      </c>
      <c r="AC81" s="199"/>
      <c r="AE81" s="199">
        <v>77</v>
      </c>
      <c r="AF81" s="199" t="s">
        <v>1996</v>
      </c>
      <c r="AG81" s="199" t="s">
        <v>1997</v>
      </c>
      <c r="AH81" s="199" t="s">
        <v>1846</v>
      </c>
      <c r="AI81" s="199" t="s">
        <v>410</v>
      </c>
      <c r="AJ81" s="199"/>
      <c r="AK81" s="199"/>
      <c r="AL81" s="199"/>
      <c r="AM81" s="199"/>
      <c r="AN81" s="199"/>
      <c r="AP81" s="199">
        <v>77</v>
      </c>
      <c r="AQ81" s="199" t="s">
        <v>2071</v>
      </c>
      <c r="AR81" s="199" t="s">
        <v>919</v>
      </c>
    </row>
    <row r="82" spans="5:44">
      <c r="E82" s="199">
        <v>78</v>
      </c>
      <c r="F82" s="199" t="s">
        <v>446</v>
      </c>
      <c r="G82" s="199" t="s">
        <v>447</v>
      </c>
      <c r="I82" s="9" t="s">
        <v>860</v>
      </c>
      <c r="J82" s="9" t="s">
        <v>860</v>
      </c>
      <c r="K82" s="9">
        <v>673</v>
      </c>
      <c r="L82" s="9"/>
      <c r="M82" s="9"/>
      <c r="N82" s="9" t="s">
        <v>410</v>
      </c>
      <c r="O82" s="9" t="s">
        <v>689</v>
      </c>
      <c r="P82" s="9" t="s">
        <v>861</v>
      </c>
      <c r="Q82" s="9"/>
      <c r="R82" s="9"/>
      <c r="S82" s="9" t="b">
        <v>0</v>
      </c>
      <c r="T82" s="9"/>
      <c r="U82" s="9" t="s">
        <v>860</v>
      </c>
      <c r="X82" s="199">
        <v>74</v>
      </c>
      <c r="Y82" s="199" t="s">
        <v>1642</v>
      </c>
      <c r="Z82" s="199"/>
      <c r="AA82" s="199"/>
      <c r="AB82" s="199" t="s">
        <v>1417</v>
      </c>
      <c r="AC82" s="199"/>
      <c r="AE82" s="199">
        <v>78</v>
      </c>
      <c r="AF82" s="199" t="s">
        <v>1998</v>
      </c>
      <c r="AG82" s="199" t="s">
        <v>1999</v>
      </c>
      <c r="AH82" s="199" t="s">
        <v>1846</v>
      </c>
      <c r="AI82" s="199" t="s">
        <v>410</v>
      </c>
      <c r="AJ82" s="199"/>
      <c r="AK82" s="199"/>
      <c r="AL82" s="199"/>
      <c r="AM82" s="199"/>
      <c r="AN82" s="199"/>
      <c r="AP82" s="199">
        <v>78</v>
      </c>
      <c r="AQ82" s="199" t="s">
        <v>2075</v>
      </c>
      <c r="AR82" s="199" t="s">
        <v>1546</v>
      </c>
    </row>
    <row r="83" spans="5:44">
      <c r="E83" s="199">
        <v>79</v>
      </c>
      <c r="F83" s="199" t="s">
        <v>448</v>
      </c>
      <c r="G83" s="199" t="s">
        <v>449</v>
      </c>
      <c r="I83" s="9" t="s">
        <v>862</v>
      </c>
      <c r="J83" s="9" t="s">
        <v>862</v>
      </c>
      <c r="K83" s="9">
        <v>674</v>
      </c>
      <c r="L83" s="9"/>
      <c r="M83" s="9"/>
      <c r="N83" s="9" t="s">
        <v>410</v>
      </c>
      <c r="O83" s="9" t="s">
        <v>689</v>
      </c>
      <c r="P83" s="9" t="s">
        <v>861</v>
      </c>
      <c r="Q83" s="9"/>
      <c r="R83" s="9"/>
      <c r="S83" s="9" t="b">
        <v>0</v>
      </c>
      <c r="T83" s="9"/>
      <c r="U83" s="9" t="s">
        <v>862</v>
      </c>
      <c r="X83" s="199">
        <v>75</v>
      </c>
      <c r="Y83" s="199" t="s">
        <v>1643</v>
      </c>
      <c r="Z83" s="199"/>
      <c r="AA83" s="199"/>
      <c r="AB83" s="199" t="s">
        <v>931</v>
      </c>
      <c r="AC83" s="199"/>
      <c r="AE83" s="199">
        <v>79</v>
      </c>
      <c r="AF83" s="199" t="s">
        <v>2000</v>
      </c>
      <c r="AG83" s="199" t="s">
        <v>2001</v>
      </c>
      <c r="AH83" s="199" t="s">
        <v>1846</v>
      </c>
      <c r="AI83" s="199" t="s">
        <v>410</v>
      </c>
      <c r="AJ83" s="199"/>
      <c r="AK83" s="199"/>
      <c r="AL83" s="199"/>
      <c r="AM83" s="199"/>
      <c r="AN83" s="199"/>
      <c r="AP83" s="199">
        <v>79</v>
      </c>
      <c r="AQ83" s="199" t="s">
        <v>2088</v>
      </c>
      <c r="AR83" s="199" t="s">
        <v>974</v>
      </c>
    </row>
    <row r="84" spans="5:44">
      <c r="E84" s="199">
        <v>80</v>
      </c>
      <c r="F84" s="199" t="s">
        <v>450</v>
      </c>
      <c r="G84" s="199" t="s">
        <v>451</v>
      </c>
      <c r="I84" s="9" t="s">
        <v>863</v>
      </c>
      <c r="J84" s="9" t="s">
        <v>863</v>
      </c>
      <c r="K84" s="9">
        <v>675</v>
      </c>
      <c r="L84" s="9"/>
      <c r="M84" s="9"/>
      <c r="N84" s="9" t="s">
        <v>410</v>
      </c>
      <c r="O84" s="9" t="s">
        <v>689</v>
      </c>
      <c r="P84" s="9" t="s">
        <v>864</v>
      </c>
      <c r="Q84" s="9"/>
      <c r="R84" s="9"/>
      <c r="S84" s="9" t="b">
        <v>0</v>
      </c>
      <c r="T84" s="9"/>
      <c r="U84" s="9" t="s">
        <v>863</v>
      </c>
      <c r="X84" s="199">
        <v>76</v>
      </c>
      <c r="Y84" s="199" t="s">
        <v>1644</v>
      </c>
      <c r="Z84" s="199"/>
      <c r="AA84" s="199"/>
      <c r="AB84" s="199" t="s">
        <v>933</v>
      </c>
      <c r="AC84" s="199"/>
      <c r="AE84" s="199">
        <v>80</v>
      </c>
      <c r="AF84" s="199" t="s">
        <v>2002</v>
      </c>
      <c r="AG84" s="199" t="s">
        <v>2003</v>
      </c>
      <c r="AH84" s="199" t="s">
        <v>1846</v>
      </c>
      <c r="AI84" s="199" t="s">
        <v>410</v>
      </c>
      <c r="AJ84" s="199"/>
      <c r="AK84" s="199"/>
      <c r="AL84" s="199"/>
      <c r="AM84" s="199"/>
      <c r="AN84" s="199"/>
      <c r="AP84" s="199">
        <v>80</v>
      </c>
      <c r="AQ84" s="199" t="s">
        <v>2088</v>
      </c>
      <c r="AR84" s="199" t="s">
        <v>1214</v>
      </c>
    </row>
    <row r="85" spans="5:44">
      <c r="E85" s="199">
        <v>81</v>
      </c>
      <c r="F85" s="199" t="s">
        <v>452</v>
      </c>
      <c r="G85" s="199" t="s">
        <v>453</v>
      </c>
      <c r="I85" s="9" t="s">
        <v>865</v>
      </c>
      <c r="J85" s="9" t="s">
        <v>865</v>
      </c>
      <c r="K85" s="9">
        <v>676</v>
      </c>
      <c r="L85" s="9"/>
      <c r="M85" s="9"/>
      <c r="N85" s="9" t="s">
        <v>410</v>
      </c>
      <c r="O85" s="9" t="s">
        <v>689</v>
      </c>
      <c r="P85" s="9" t="s">
        <v>864</v>
      </c>
      <c r="Q85" s="9"/>
      <c r="R85" s="9"/>
      <c r="S85" s="9" t="b">
        <v>0</v>
      </c>
      <c r="T85" s="9"/>
      <c r="U85" s="9" t="s">
        <v>865</v>
      </c>
      <c r="X85" s="199">
        <v>77</v>
      </c>
      <c r="Y85" s="199" t="s">
        <v>1645</v>
      </c>
      <c r="Z85" s="199"/>
      <c r="AA85" s="199"/>
      <c r="AB85" s="199" t="s">
        <v>1469</v>
      </c>
      <c r="AC85" s="199"/>
      <c r="AE85" s="199">
        <v>81</v>
      </c>
      <c r="AF85" s="199" t="s">
        <v>2004</v>
      </c>
      <c r="AG85" s="199" t="s">
        <v>2005</v>
      </c>
      <c r="AH85" s="199" t="s">
        <v>1846</v>
      </c>
      <c r="AI85" s="199" t="s">
        <v>410</v>
      </c>
      <c r="AJ85" s="199"/>
      <c r="AK85" s="199"/>
      <c r="AL85" s="199"/>
      <c r="AM85" s="199"/>
      <c r="AN85" s="199"/>
      <c r="AP85" s="199">
        <v>81</v>
      </c>
      <c r="AQ85" s="199" t="s">
        <v>2096</v>
      </c>
      <c r="AR85" s="199" t="s">
        <v>788</v>
      </c>
    </row>
    <row r="86" spans="5:44">
      <c r="E86" s="199">
        <v>82</v>
      </c>
      <c r="F86" s="199" t="s">
        <v>454</v>
      </c>
      <c r="G86" s="199" t="s">
        <v>455</v>
      </c>
      <c r="I86" s="9" t="s">
        <v>866</v>
      </c>
      <c r="J86" s="9" t="s">
        <v>866</v>
      </c>
      <c r="K86" s="9">
        <v>677</v>
      </c>
      <c r="L86" s="9"/>
      <c r="M86" s="9"/>
      <c r="N86" s="9" t="s">
        <v>410</v>
      </c>
      <c r="O86" s="9" t="s">
        <v>724</v>
      </c>
      <c r="P86" s="9" t="s">
        <v>752</v>
      </c>
      <c r="Q86" s="9"/>
      <c r="R86" s="9"/>
      <c r="S86" s="9" t="b">
        <v>0</v>
      </c>
      <c r="T86" s="9"/>
      <c r="U86" s="9" t="s">
        <v>712</v>
      </c>
      <c r="X86" s="199">
        <v>78</v>
      </c>
      <c r="Y86" s="199" t="s">
        <v>1646</v>
      </c>
      <c r="Z86" s="199"/>
      <c r="AA86" s="199"/>
      <c r="AB86" s="199" t="s">
        <v>1030</v>
      </c>
      <c r="AC86" s="199"/>
      <c r="AE86" s="199">
        <v>82</v>
      </c>
      <c r="AF86" s="199" t="s">
        <v>2006</v>
      </c>
      <c r="AG86" s="199" t="s">
        <v>2007</v>
      </c>
      <c r="AH86" s="199" t="s">
        <v>1846</v>
      </c>
      <c r="AI86" s="199" t="s">
        <v>410</v>
      </c>
      <c r="AJ86" s="199"/>
      <c r="AK86" s="199"/>
      <c r="AL86" s="199"/>
      <c r="AM86" s="199"/>
      <c r="AN86" s="199"/>
      <c r="AP86" s="199">
        <v>82</v>
      </c>
      <c r="AQ86" s="199" t="s">
        <v>2100</v>
      </c>
      <c r="AR86" s="199" t="s">
        <v>1221</v>
      </c>
    </row>
    <row r="87" spans="5:44">
      <c r="E87" s="199">
        <v>83</v>
      </c>
      <c r="F87" s="199" t="s">
        <v>456</v>
      </c>
      <c r="G87" s="199" t="s">
        <v>457</v>
      </c>
      <c r="I87" s="9" t="s">
        <v>867</v>
      </c>
      <c r="J87" s="9" t="s">
        <v>867</v>
      </c>
      <c r="K87" s="9">
        <v>678</v>
      </c>
      <c r="L87" s="9"/>
      <c r="M87" s="9"/>
      <c r="N87" s="9" t="s">
        <v>410</v>
      </c>
      <c r="O87" s="9" t="s">
        <v>689</v>
      </c>
      <c r="P87" s="9" t="s">
        <v>845</v>
      </c>
      <c r="Q87" s="9"/>
      <c r="R87" s="9"/>
      <c r="S87" s="9" t="b">
        <v>0</v>
      </c>
      <c r="T87" s="9"/>
      <c r="U87" s="9" t="s">
        <v>867</v>
      </c>
      <c r="X87" s="199">
        <v>79</v>
      </c>
      <c r="Y87" s="199" t="s">
        <v>1647</v>
      </c>
      <c r="Z87" s="199"/>
      <c r="AA87" s="199"/>
      <c r="AB87" s="199" t="s">
        <v>1217</v>
      </c>
      <c r="AC87" s="199"/>
      <c r="AE87" s="199">
        <v>83</v>
      </c>
      <c r="AF87" s="199" t="s">
        <v>2008</v>
      </c>
      <c r="AG87" s="199" t="s">
        <v>2009</v>
      </c>
      <c r="AH87" s="199" t="s">
        <v>1846</v>
      </c>
      <c r="AI87" s="199" t="s">
        <v>410</v>
      </c>
      <c r="AJ87" s="199"/>
      <c r="AK87" s="199"/>
      <c r="AL87" s="199"/>
      <c r="AM87" s="199"/>
      <c r="AN87" s="199"/>
      <c r="AP87" s="199">
        <v>83</v>
      </c>
      <c r="AQ87" s="199" t="s">
        <v>2104</v>
      </c>
      <c r="AR87" s="199" t="s">
        <v>1162</v>
      </c>
    </row>
    <row r="88" spans="5:44">
      <c r="E88" s="199">
        <v>84</v>
      </c>
      <c r="F88" s="199" t="s">
        <v>458</v>
      </c>
      <c r="G88" s="199" t="s">
        <v>459</v>
      </c>
      <c r="I88" s="9" t="s">
        <v>868</v>
      </c>
      <c r="J88" s="9" t="s">
        <v>868</v>
      </c>
      <c r="K88" s="9">
        <v>679</v>
      </c>
      <c r="L88" s="9"/>
      <c r="M88" s="9"/>
      <c r="N88" s="9" t="s">
        <v>400</v>
      </c>
      <c r="O88" s="9" t="s">
        <v>778</v>
      </c>
      <c r="P88" s="9" t="s">
        <v>859</v>
      </c>
      <c r="Q88" s="9"/>
      <c r="R88" s="9"/>
      <c r="S88" s="9" t="b">
        <v>0</v>
      </c>
      <c r="T88" s="9"/>
      <c r="U88" s="9"/>
      <c r="X88" s="199">
        <v>80</v>
      </c>
      <c r="Y88" s="199" t="s">
        <v>1648</v>
      </c>
      <c r="Z88" s="199"/>
      <c r="AA88" s="199"/>
      <c r="AB88" s="199" t="s">
        <v>1127</v>
      </c>
      <c r="AC88" s="199"/>
      <c r="AE88" s="199">
        <v>84</v>
      </c>
      <c r="AF88" s="199" t="s">
        <v>2010</v>
      </c>
      <c r="AG88" s="199" t="s">
        <v>2011</v>
      </c>
      <c r="AH88" s="199" t="s">
        <v>1846</v>
      </c>
      <c r="AI88" s="199" t="s">
        <v>410</v>
      </c>
      <c r="AJ88" s="199"/>
      <c r="AK88" s="199"/>
      <c r="AL88" s="199"/>
      <c r="AM88" s="199"/>
      <c r="AN88" s="199"/>
      <c r="AP88" s="199">
        <v>84</v>
      </c>
      <c r="AQ88" s="199" t="s">
        <v>2106</v>
      </c>
      <c r="AR88" s="199" t="s">
        <v>1397</v>
      </c>
    </row>
    <row r="89" spans="5:44">
      <c r="E89" s="199">
        <v>85</v>
      </c>
      <c r="F89" s="199" t="s">
        <v>460</v>
      </c>
      <c r="G89" s="199" t="s">
        <v>461</v>
      </c>
      <c r="I89" s="9" t="s">
        <v>869</v>
      </c>
      <c r="J89" s="9" t="s">
        <v>869</v>
      </c>
      <c r="K89" s="9">
        <v>680</v>
      </c>
      <c r="L89" s="9"/>
      <c r="M89" s="9"/>
      <c r="N89" s="9" t="s">
        <v>410</v>
      </c>
      <c r="O89" s="9" t="s">
        <v>689</v>
      </c>
      <c r="P89" s="9" t="s">
        <v>870</v>
      </c>
      <c r="Q89" s="9"/>
      <c r="R89" s="9"/>
      <c r="S89" s="9" t="b">
        <v>0</v>
      </c>
      <c r="T89" s="9"/>
      <c r="U89" s="9"/>
      <c r="X89" s="199">
        <v>81</v>
      </c>
      <c r="Y89" s="199" t="s">
        <v>1649</v>
      </c>
      <c r="Z89" s="199"/>
      <c r="AA89" s="199"/>
      <c r="AB89" s="199" t="s">
        <v>923</v>
      </c>
      <c r="AC89" s="199"/>
      <c r="AE89" s="199">
        <v>85</v>
      </c>
      <c r="AF89" s="199" t="s">
        <v>2012</v>
      </c>
      <c r="AG89" s="199" t="s">
        <v>2013</v>
      </c>
      <c r="AH89" s="199" t="s">
        <v>1846</v>
      </c>
      <c r="AI89" s="199" t="s">
        <v>410</v>
      </c>
      <c r="AJ89" s="199"/>
      <c r="AK89" s="199"/>
      <c r="AL89" s="199"/>
      <c r="AM89" s="199"/>
      <c r="AN89" s="199"/>
      <c r="AP89" s="199">
        <v>85</v>
      </c>
      <c r="AQ89" s="199" t="s">
        <v>2106</v>
      </c>
      <c r="AR89" s="199" t="s">
        <v>1450</v>
      </c>
    </row>
    <row r="90" spans="5:44">
      <c r="E90" s="199">
        <v>86</v>
      </c>
      <c r="F90" s="199" t="s">
        <v>462</v>
      </c>
      <c r="G90" s="199" t="s">
        <v>463</v>
      </c>
      <c r="I90" s="9" t="s">
        <v>871</v>
      </c>
      <c r="J90" s="9" t="s">
        <v>871</v>
      </c>
      <c r="K90" s="9">
        <v>681</v>
      </c>
      <c r="L90" s="9"/>
      <c r="M90" s="9"/>
      <c r="N90" s="9" t="s">
        <v>410</v>
      </c>
      <c r="O90" s="9" t="s">
        <v>724</v>
      </c>
      <c r="P90" s="9" t="s">
        <v>872</v>
      </c>
      <c r="Q90" s="9"/>
      <c r="R90" s="9"/>
      <c r="S90" s="9" t="b">
        <v>0</v>
      </c>
      <c r="T90" s="9"/>
      <c r="U90" s="9" t="s">
        <v>873</v>
      </c>
      <c r="X90" s="199">
        <v>82</v>
      </c>
      <c r="Y90" s="199" t="s">
        <v>1650</v>
      </c>
      <c r="Z90" s="199"/>
      <c r="AA90" s="199"/>
      <c r="AB90" s="199" t="s">
        <v>896</v>
      </c>
      <c r="AC90" s="199"/>
      <c r="AE90" s="199">
        <v>86</v>
      </c>
      <c r="AF90" s="199" t="s">
        <v>2014</v>
      </c>
      <c r="AG90" s="199" t="s">
        <v>2015</v>
      </c>
      <c r="AH90" s="199" t="s">
        <v>1846</v>
      </c>
      <c r="AI90" s="199" t="s">
        <v>410</v>
      </c>
      <c r="AJ90" s="199"/>
      <c r="AK90" s="199"/>
      <c r="AL90" s="199"/>
      <c r="AM90" s="199"/>
      <c r="AN90" s="199"/>
      <c r="AP90" s="199">
        <v>86</v>
      </c>
      <c r="AQ90" s="199" t="s">
        <v>2114</v>
      </c>
      <c r="AR90" s="199" t="s">
        <v>1204</v>
      </c>
    </row>
    <row r="91" spans="5:44">
      <c r="E91" s="199">
        <v>87</v>
      </c>
      <c r="F91" s="199" t="s">
        <v>464</v>
      </c>
      <c r="G91" s="199" t="s">
        <v>465</v>
      </c>
      <c r="I91" s="9" t="s">
        <v>874</v>
      </c>
      <c r="J91" s="9" t="s">
        <v>874</v>
      </c>
      <c r="K91" s="9">
        <v>682</v>
      </c>
      <c r="L91" s="9"/>
      <c r="M91" s="9"/>
      <c r="N91" s="9" t="s">
        <v>410</v>
      </c>
      <c r="O91" s="9" t="s">
        <v>720</v>
      </c>
      <c r="P91" s="9" t="s">
        <v>825</v>
      </c>
      <c r="Q91" s="9"/>
      <c r="R91" s="9"/>
      <c r="S91" s="9" t="b">
        <v>0</v>
      </c>
      <c r="T91" s="9"/>
      <c r="U91" s="9" t="s">
        <v>875</v>
      </c>
      <c r="X91" s="199">
        <v>83</v>
      </c>
      <c r="Y91" s="199" t="s">
        <v>1651</v>
      </c>
      <c r="Z91" s="199"/>
      <c r="AA91" s="199"/>
      <c r="AB91" s="199" t="s">
        <v>1652</v>
      </c>
      <c r="AC91" s="199"/>
      <c r="AE91" s="199">
        <v>87</v>
      </c>
      <c r="AF91" s="199" t="s">
        <v>2016</v>
      </c>
      <c r="AG91" s="199" t="s">
        <v>2017</v>
      </c>
      <c r="AH91" s="199" t="s">
        <v>1846</v>
      </c>
      <c r="AI91" s="199" t="s">
        <v>410</v>
      </c>
      <c r="AJ91" s="199"/>
      <c r="AK91" s="199"/>
      <c r="AL91" s="199"/>
      <c r="AM91" s="199"/>
      <c r="AN91" s="199"/>
      <c r="AP91" s="199">
        <v>87</v>
      </c>
      <c r="AQ91" s="199" t="s">
        <v>2116</v>
      </c>
      <c r="AR91" s="199" t="s">
        <v>1451</v>
      </c>
    </row>
    <row r="92" spans="5:44">
      <c r="E92" s="199">
        <v>88</v>
      </c>
      <c r="F92" s="199" t="s">
        <v>466</v>
      </c>
      <c r="G92" s="199" t="s">
        <v>467</v>
      </c>
      <c r="I92" s="9" t="s">
        <v>876</v>
      </c>
      <c r="J92" s="9" t="s">
        <v>876</v>
      </c>
      <c r="K92" s="9">
        <v>683</v>
      </c>
      <c r="L92" s="9"/>
      <c r="M92" s="9"/>
      <c r="N92" s="9" t="s">
        <v>410</v>
      </c>
      <c r="O92" s="9" t="s">
        <v>689</v>
      </c>
      <c r="P92" s="9" t="s">
        <v>877</v>
      </c>
      <c r="Q92" s="9"/>
      <c r="R92" s="9"/>
      <c r="S92" s="9" t="b">
        <v>0</v>
      </c>
      <c r="T92" s="9"/>
      <c r="U92" s="9" t="s">
        <v>876</v>
      </c>
      <c r="X92" s="199">
        <v>84</v>
      </c>
      <c r="Y92" s="199" t="s">
        <v>1611</v>
      </c>
      <c r="Z92" s="199"/>
      <c r="AA92" s="199"/>
      <c r="AB92" s="199" t="s">
        <v>1653</v>
      </c>
      <c r="AC92" s="199"/>
      <c r="AE92" s="199">
        <v>88</v>
      </c>
      <c r="AF92" s="199" t="s">
        <v>2018</v>
      </c>
      <c r="AG92" s="199" t="s">
        <v>2019</v>
      </c>
      <c r="AH92" s="199" t="s">
        <v>1846</v>
      </c>
      <c r="AI92" s="199" t="s">
        <v>410</v>
      </c>
      <c r="AJ92" s="199"/>
      <c r="AK92" s="199"/>
      <c r="AL92" s="199"/>
      <c r="AM92" s="199"/>
      <c r="AN92" s="199"/>
      <c r="AP92" s="199">
        <v>88</v>
      </c>
      <c r="AQ92" s="199" t="s">
        <v>2118</v>
      </c>
      <c r="AR92" s="199" t="s">
        <v>1453</v>
      </c>
    </row>
    <row r="93" spans="5:44">
      <c r="E93" s="199">
        <v>89</v>
      </c>
      <c r="F93" s="199" t="s">
        <v>468</v>
      </c>
      <c r="G93" s="199" t="s">
        <v>469</v>
      </c>
      <c r="I93" s="9" t="s">
        <v>878</v>
      </c>
      <c r="J93" s="9" t="s">
        <v>878</v>
      </c>
      <c r="K93" s="9">
        <v>684</v>
      </c>
      <c r="L93" s="9"/>
      <c r="M93" s="9"/>
      <c r="N93" s="9" t="s">
        <v>410</v>
      </c>
      <c r="O93" s="9" t="s">
        <v>749</v>
      </c>
      <c r="P93" s="9" t="s">
        <v>825</v>
      </c>
      <c r="Q93" s="9"/>
      <c r="R93" s="9"/>
      <c r="S93" s="9" t="b">
        <v>0</v>
      </c>
      <c r="T93" s="9"/>
      <c r="U93" s="9"/>
      <c r="X93" s="199">
        <v>85</v>
      </c>
      <c r="Y93" s="199" t="s">
        <v>1654</v>
      </c>
      <c r="Z93" s="199"/>
      <c r="AA93" s="199"/>
      <c r="AB93" s="199" t="s">
        <v>908</v>
      </c>
      <c r="AC93" s="199"/>
      <c r="AE93" s="199">
        <v>89</v>
      </c>
      <c r="AF93" s="199" t="s">
        <v>2020</v>
      </c>
      <c r="AG93" s="199" t="s">
        <v>2021</v>
      </c>
      <c r="AH93" s="199" t="s">
        <v>1846</v>
      </c>
      <c r="AI93" s="199" t="s">
        <v>410</v>
      </c>
      <c r="AJ93" s="199"/>
      <c r="AK93" s="199"/>
      <c r="AL93" s="199"/>
      <c r="AM93" s="199"/>
      <c r="AN93" s="199"/>
      <c r="AP93" s="199">
        <v>89</v>
      </c>
      <c r="AQ93" s="199" t="s">
        <v>2118</v>
      </c>
      <c r="AR93" s="199" t="s">
        <v>1010</v>
      </c>
    </row>
    <row r="94" spans="5:44">
      <c r="E94" s="199">
        <v>90</v>
      </c>
      <c r="F94" s="199" t="s">
        <v>470</v>
      </c>
      <c r="G94" s="199" t="s">
        <v>471</v>
      </c>
      <c r="I94" s="9" t="s">
        <v>879</v>
      </c>
      <c r="J94" s="9" t="s">
        <v>879</v>
      </c>
      <c r="K94" s="9">
        <v>685</v>
      </c>
      <c r="L94" s="9"/>
      <c r="M94" s="9"/>
      <c r="N94" s="9" t="s">
        <v>626</v>
      </c>
      <c r="O94" s="9" t="s">
        <v>749</v>
      </c>
      <c r="P94" s="9" t="s">
        <v>880</v>
      </c>
      <c r="Q94" s="9"/>
      <c r="R94" s="9"/>
      <c r="S94" s="9" t="b">
        <v>0</v>
      </c>
      <c r="T94" s="9"/>
      <c r="U94" s="9" t="s">
        <v>881</v>
      </c>
      <c r="X94" s="199">
        <v>86</v>
      </c>
      <c r="Y94" s="199" t="s">
        <v>1655</v>
      </c>
      <c r="Z94" s="199"/>
      <c r="AA94" s="199"/>
      <c r="AB94" s="199" t="s">
        <v>1482</v>
      </c>
      <c r="AC94" s="199"/>
      <c r="AE94" s="199">
        <v>90</v>
      </c>
      <c r="AF94" s="199" t="s">
        <v>2022</v>
      </c>
      <c r="AG94" s="199" t="s">
        <v>2023</v>
      </c>
      <c r="AH94" s="199" t="s">
        <v>1846</v>
      </c>
      <c r="AI94" s="199" t="s">
        <v>410</v>
      </c>
      <c r="AJ94" s="199"/>
      <c r="AK94" s="199"/>
      <c r="AL94" s="199"/>
      <c r="AM94" s="199"/>
      <c r="AN94" s="199"/>
      <c r="AP94" s="199">
        <v>90</v>
      </c>
      <c r="AQ94" s="199" t="s">
        <v>2126</v>
      </c>
      <c r="AR94" s="199" t="s">
        <v>971</v>
      </c>
    </row>
    <row r="95" spans="5:44">
      <c r="E95" s="199">
        <v>91</v>
      </c>
      <c r="F95" s="199" t="s">
        <v>472</v>
      </c>
      <c r="G95" s="199" t="s">
        <v>473</v>
      </c>
      <c r="I95" s="9" t="s">
        <v>882</v>
      </c>
      <c r="J95" s="9" t="s">
        <v>882</v>
      </c>
      <c r="K95" s="9">
        <v>686</v>
      </c>
      <c r="L95" s="9"/>
      <c r="M95" s="9"/>
      <c r="N95" s="9" t="s">
        <v>626</v>
      </c>
      <c r="O95" s="9" t="s">
        <v>720</v>
      </c>
      <c r="P95" s="9" t="s">
        <v>883</v>
      </c>
      <c r="Q95" s="9"/>
      <c r="R95" s="9"/>
      <c r="S95" s="9" t="b">
        <v>0</v>
      </c>
      <c r="T95" s="9"/>
      <c r="U95" s="9" t="s">
        <v>884</v>
      </c>
      <c r="X95" s="199">
        <v>87</v>
      </c>
      <c r="Y95" s="199" t="s">
        <v>1656</v>
      </c>
      <c r="Z95" s="199"/>
      <c r="AA95" s="199"/>
      <c r="AB95" s="199" t="s">
        <v>1657</v>
      </c>
      <c r="AC95" s="199"/>
      <c r="AE95" s="199">
        <v>91</v>
      </c>
      <c r="AF95" s="199" t="s">
        <v>2024</v>
      </c>
      <c r="AG95" s="199" t="s">
        <v>2025</v>
      </c>
      <c r="AH95" s="199" t="s">
        <v>1846</v>
      </c>
      <c r="AI95" s="199" t="s">
        <v>410</v>
      </c>
      <c r="AJ95" s="199"/>
      <c r="AK95" s="199"/>
      <c r="AL95" s="199"/>
      <c r="AM95" s="199"/>
      <c r="AN95" s="199"/>
      <c r="AP95" s="199">
        <v>91</v>
      </c>
      <c r="AQ95" s="199" t="s">
        <v>2141</v>
      </c>
      <c r="AR95" s="199" t="s">
        <v>1509</v>
      </c>
    </row>
    <row r="96" spans="5:44">
      <c r="E96" s="199">
        <v>92</v>
      </c>
      <c r="F96" s="199" t="s">
        <v>474</v>
      </c>
      <c r="G96" s="199" t="s">
        <v>475</v>
      </c>
      <c r="I96" s="9" t="s">
        <v>885</v>
      </c>
      <c r="J96" s="9" t="s">
        <v>885</v>
      </c>
      <c r="K96" s="9">
        <v>687</v>
      </c>
      <c r="L96" s="9"/>
      <c r="M96" s="9"/>
      <c r="N96" s="9" t="s">
        <v>410</v>
      </c>
      <c r="O96" s="9" t="s">
        <v>886</v>
      </c>
      <c r="P96" s="9" t="s">
        <v>887</v>
      </c>
      <c r="Q96" s="9"/>
      <c r="R96" s="9"/>
      <c r="S96" s="9" t="b">
        <v>0</v>
      </c>
      <c r="T96" s="9"/>
      <c r="U96" s="9" t="s">
        <v>888</v>
      </c>
      <c r="X96" s="199">
        <v>88</v>
      </c>
      <c r="Y96" s="199" t="s">
        <v>1658</v>
      </c>
      <c r="Z96" s="199"/>
      <c r="AA96" s="199"/>
      <c r="AB96" s="199" t="s">
        <v>1659</v>
      </c>
      <c r="AC96" s="199"/>
      <c r="AE96" s="199">
        <v>92</v>
      </c>
      <c r="AF96" s="199" t="s">
        <v>2026</v>
      </c>
      <c r="AG96" s="199" t="s">
        <v>2027</v>
      </c>
      <c r="AH96" s="199" t="s">
        <v>1846</v>
      </c>
      <c r="AI96" s="199" t="s">
        <v>410</v>
      </c>
      <c r="AJ96" s="199"/>
      <c r="AK96" s="199"/>
      <c r="AL96" s="199"/>
      <c r="AM96" s="199"/>
      <c r="AN96" s="199"/>
      <c r="AP96" s="199">
        <v>92</v>
      </c>
      <c r="AQ96" s="199" t="s">
        <v>2143</v>
      </c>
      <c r="AR96" s="199" t="s">
        <v>879</v>
      </c>
    </row>
    <row r="97" spans="5:44">
      <c r="E97" s="199">
        <v>93</v>
      </c>
      <c r="F97" s="199" t="s">
        <v>476</v>
      </c>
      <c r="G97" s="199" t="s">
        <v>477</v>
      </c>
      <c r="I97" s="9" t="s">
        <v>889</v>
      </c>
      <c r="J97" s="9" t="s">
        <v>889</v>
      </c>
      <c r="K97" s="9">
        <v>688</v>
      </c>
      <c r="L97" s="9"/>
      <c r="M97" s="9"/>
      <c r="N97" s="9" t="s">
        <v>400</v>
      </c>
      <c r="O97" s="9" t="s">
        <v>886</v>
      </c>
      <c r="P97" s="9" t="s">
        <v>890</v>
      </c>
      <c r="Q97" s="9"/>
      <c r="R97" s="9"/>
      <c r="S97" s="9" t="b">
        <v>0</v>
      </c>
      <c r="T97" s="9"/>
      <c r="U97" s="9" t="s">
        <v>891</v>
      </c>
      <c r="X97" s="199">
        <v>89</v>
      </c>
      <c r="Y97" s="199" t="s">
        <v>1660</v>
      </c>
      <c r="Z97" s="199"/>
      <c r="AA97" s="199"/>
      <c r="AB97" s="199" t="s">
        <v>1661</v>
      </c>
      <c r="AC97" s="199"/>
      <c r="AE97" s="199">
        <v>93</v>
      </c>
      <c r="AF97" s="199" t="s">
        <v>2028</v>
      </c>
      <c r="AG97" s="199" t="s">
        <v>2029</v>
      </c>
      <c r="AH97" s="199" t="s">
        <v>1846</v>
      </c>
      <c r="AI97" s="199" t="s">
        <v>410</v>
      </c>
      <c r="AJ97" s="199"/>
      <c r="AK97" s="199"/>
      <c r="AL97" s="199"/>
      <c r="AM97" s="199"/>
      <c r="AN97" s="199"/>
      <c r="AP97" s="199">
        <v>93</v>
      </c>
      <c r="AQ97" s="199" t="s">
        <v>2147</v>
      </c>
      <c r="AR97" s="199" t="s">
        <v>985</v>
      </c>
    </row>
    <row r="98" spans="5:44">
      <c r="E98" s="199">
        <v>94</v>
      </c>
      <c r="F98" s="199" t="s">
        <v>478</v>
      </c>
      <c r="G98" s="199" t="s">
        <v>479</v>
      </c>
      <c r="I98" s="9" t="s">
        <v>892</v>
      </c>
      <c r="J98" s="9" t="s">
        <v>892</v>
      </c>
      <c r="K98" s="9">
        <v>689</v>
      </c>
      <c r="L98" s="9"/>
      <c r="M98" s="9"/>
      <c r="N98" s="9" t="s">
        <v>626</v>
      </c>
      <c r="O98" s="9" t="s">
        <v>886</v>
      </c>
      <c r="P98" s="9" t="s">
        <v>783</v>
      </c>
      <c r="Q98" s="9"/>
      <c r="R98" s="9"/>
      <c r="S98" s="9" t="b">
        <v>0</v>
      </c>
      <c r="T98" s="9"/>
      <c r="U98" s="9" t="s">
        <v>893</v>
      </c>
      <c r="X98" s="199">
        <v>90</v>
      </c>
      <c r="Y98" s="199" t="s">
        <v>1662</v>
      </c>
      <c r="Z98" s="199"/>
      <c r="AA98" s="199"/>
      <c r="AB98" s="199" t="s">
        <v>812</v>
      </c>
      <c r="AC98" s="199"/>
      <c r="AE98" s="199">
        <v>94</v>
      </c>
      <c r="AF98" s="199" t="s">
        <v>2030</v>
      </c>
      <c r="AG98" s="199" t="s">
        <v>2031</v>
      </c>
      <c r="AH98" s="199" t="s">
        <v>1846</v>
      </c>
      <c r="AI98" s="199" t="s">
        <v>410</v>
      </c>
      <c r="AJ98" s="199"/>
      <c r="AK98" s="199"/>
      <c r="AL98" s="199"/>
      <c r="AM98" s="199"/>
      <c r="AN98" s="199"/>
      <c r="AP98" s="199">
        <v>94</v>
      </c>
      <c r="AQ98" s="199" t="s">
        <v>2149</v>
      </c>
      <c r="AR98" s="199" t="s">
        <v>960</v>
      </c>
    </row>
    <row r="99" spans="5:44">
      <c r="E99" s="199">
        <v>95</v>
      </c>
      <c r="F99" s="199" t="s">
        <v>480</v>
      </c>
      <c r="G99" s="199" t="s">
        <v>481</v>
      </c>
      <c r="I99" s="9" t="s">
        <v>894</v>
      </c>
      <c r="J99" s="9" t="s">
        <v>894</v>
      </c>
      <c r="K99" s="9">
        <v>690</v>
      </c>
      <c r="L99" s="9"/>
      <c r="M99" s="9"/>
      <c r="N99" s="9" t="s">
        <v>400</v>
      </c>
      <c r="O99" s="9" t="s">
        <v>749</v>
      </c>
      <c r="P99" s="9" t="s">
        <v>895</v>
      </c>
      <c r="Q99" s="9"/>
      <c r="R99" s="9"/>
      <c r="S99" s="9" t="b">
        <v>0</v>
      </c>
      <c r="T99" s="9"/>
      <c r="U99" s="9" t="s">
        <v>896</v>
      </c>
      <c r="X99" s="199">
        <v>91</v>
      </c>
      <c r="Y99" s="199" t="s">
        <v>1663</v>
      </c>
      <c r="Z99" s="199"/>
      <c r="AA99" s="199"/>
      <c r="AB99" s="199" t="s">
        <v>1664</v>
      </c>
      <c r="AC99" s="199"/>
      <c r="AE99" s="199">
        <v>95</v>
      </c>
      <c r="AF99" s="199" t="s">
        <v>2032</v>
      </c>
      <c r="AG99" s="199" t="s">
        <v>2033</v>
      </c>
      <c r="AH99" s="199" t="s">
        <v>1846</v>
      </c>
      <c r="AI99" s="199" t="s">
        <v>410</v>
      </c>
      <c r="AJ99" s="199"/>
      <c r="AK99" s="199"/>
      <c r="AL99" s="199"/>
      <c r="AM99" s="199"/>
      <c r="AN99" s="199"/>
      <c r="AP99" s="199">
        <v>95</v>
      </c>
      <c r="AQ99" s="199" t="s">
        <v>2151</v>
      </c>
      <c r="AR99" s="199" t="s">
        <v>1215</v>
      </c>
    </row>
    <row r="100" spans="5:44">
      <c r="E100" s="199">
        <v>96</v>
      </c>
      <c r="F100" s="199" t="s">
        <v>482</v>
      </c>
      <c r="G100" s="199" t="s">
        <v>483</v>
      </c>
      <c r="I100" s="9" t="s">
        <v>897</v>
      </c>
      <c r="J100" s="9" t="s">
        <v>897</v>
      </c>
      <c r="K100" s="9">
        <v>691</v>
      </c>
      <c r="L100" s="9"/>
      <c r="M100" s="9"/>
      <c r="N100" s="9" t="s">
        <v>400</v>
      </c>
      <c r="O100" s="9" t="s">
        <v>720</v>
      </c>
      <c r="P100" s="9" t="s">
        <v>898</v>
      </c>
      <c r="Q100" s="9"/>
      <c r="R100" s="9"/>
      <c r="S100" s="9" t="b">
        <v>0</v>
      </c>
      <c r="T100" s="9"/>
      <c r="U100" s="9" t="s">
        <v>899</v>
      </c>
      <c r="X100" s="199">
        <v>92</v>
      </c>
      <c r="Y100" s="199" t="s">
        <v>1665</v>
      </c>
      <c r="Z100" s="199"/>
      <c r="AA100" s="199"/>
      <c r="AB100" s="199" t="s">
        <v>793</v>
      </c>
      <c r="AC100" s="199"/>
      <c r="AE100" s="199">
        <v>96</v>
      </c>
      <c r="AF100" s="199" t="s">
        <v>2034</v>
      </c>
      <c r="AG100" s="199" t="s">
        <v>2035</v>
      </c>
      <c r="AH100" s="199" t="s">
        <v>1846</v>
      </c>
      <c r="AI100" s="199" t="s">
        <v>410</v>
      </c>
      <c r="AJ100" s="199"/>
      <c r="AK100" s="199"/>
      <c r="AL100" s="199"/>
      <c r="AM100" s="199"/>
      <c r="AN100" s="199"/>
      <c r="AP100" s="199">
        <v>96</v>
      </c>
      <c r="AQ100" s="199" t="s">
        <v>2153</v>
      </c>
      <c r="AR100" s="199" t="s">
        <v>982</v>
      </c>
    </row>
    <row r="101" spans="5:44">
      <c r="E101" s="199">
        <v>97</v>
      </c>
      <c r="F101" s="199" t="s">
        <v>484</v>
      </c>
      <c r="G101" s="199" t="s">
        <v>485</v>
      </c>
      <c r="I101" s="9" t="s">
        <v>900</v>
      </c>
      <c r="J101" s="9" t="s">
        <v>900</v>
      </c>
      <c r="K101" s="9">
        <v>692</v>
      </c>
      <c r="L101" s="9"/>
      <c r="M101" s="9"/>
      <c r="N101" s="9" t="s">
        <v>410</v>
      </c>
      <c r="O101" s="9" t="s">
        <v>720</v>
      </c>
      <c r="P101" s="9" t="s">
        <v>901</v>
      </c>
      <c r="Q101" s="9"/>
      <c r="R101" s="9"/>
      <c r="S101" s="9" t="b">
        <v>0</v>
      </c>
      <c r="T101" s="9"/>
      <c r="U101" s="9"/>
      <c r="X101" s="199">
        <v>93</v>
      </c>
      <c r="Y101" s="199" t="s">
        <v>1666</v>
      </c>
      <c r="Z101" s="199"/>
      <c r="AA101" s="199"/>
      <c r="AB101" s="199" t="s">
        <v>1667</v>
      </c>
      <c r="AC101" s="199"/>
      <c r="AE101" s="199">
        <v>97</v>
      </c>
      <c r="AF101" s="199" t="s">
        <v>2036</v>
      </c>
      <c r="AG101" s="199" t="s">
        <v>2037</v>
      </c>
      <c r="AH101" s="199" t="s">
        <v>1846</v>
      </c>
      <c r="AI101" s="199" t="s">
        <v>410</v>
      </c>
      <c r="AJ101" s="199"/>
      <c r="AK101" s="199"/>
      <c r="AL101" s="199"/>
      <c r="AM101" s="199"/>
      <c r="AN101" s="199"/>
      <c r="AP101" s="199">
        <v>97</v>
      </c>
      <c r="AQ101" s="199" t="s">
        <v>2155</v>
      </c>
      <c r="AR101" s="199" t="s">
        <v>1467</v>
      </c>
    </row>
    <row r="102" spans="5:44">
      <c r="E102" s="199">
        <v>98</v>
      </c>
      <c r="F102" s="199" t="s">
        <v>486</v>
      </c>
      <c r="G102" s="199" t="s">
        <v>487</v>
      </c>
      <c r="I102" s="9" t="s">
        <v>902</v>
      </c>
      <c r="J102" s="9" t="s">
        <v>902</v>
      </c>
      <c r="K102" s="9">
        <v>693</v>
      </c>
      <c r="L102" s="9"/>
      <c r="M102" s="9"/>
      <c r="N102" s="9" t="s">
        <v>626</v>
      </c>
      <c r="O102" s="9" t="s">
        <v>724</v>
      </c>
      <c r="P102" s="9" t="s">
        <v>903</v>
      </c>
      <c r="Q102" s="9"/>
      <c r="R102" s="9"/>
      <c r="S102" s="9" t="b">
        <v>0</v>
      </c>
      <c r="T102" s="9"/>
      <c r="U102" s="9"/>
      <c r="X102" s="199">
        <v>94</v>
      </c>
      <c r="Y102" s="199" t="s">
        <v>1668</v>
      </c>
      <c r="Z102" s="199"/>
      <c r="AA102" s="199"/>
      <c r="AB102" s="199" t="s">
        <v>1669</v>
      </c>
      <c r="AC102" s="199"/>
      <c r="AE102" s="199">
        <v>98</v>
      </c>
      <c r="AF102" s="199" t="s">
        <v>2038</v>
      </c>
      <c r="AG102" s="199" t="s">
        <v>2039</v>
      </c>
      <c r="AH102" s="199" t="s">
        <v>1846</v>
      </c>
      <c r="AI102" s="199" t="s">
        <v>410</v>
      </c>
      <c r="AJ102" s="199"/>
      <c r="AK102" s="199"/>
      <c r="AL102" s="199"/>
      <c r="AM102" s="199"/>
      <c r="AN102" s="199"/>
      <c r="AP102" s="199">
        <v>98</v>
      </c>
      <c r="AQ102" s="199" t="s">
        <v>2159</v>
      </c>
      <c r="AR102" s="199" t="s">
        <v>1507</v>
      </c>
    </row>
    <row r="103" spans="5:44">
      <c r="E103" s="199">
        <v>99</v>
      </c>
      <c r="F103" s="199" t="s">
        <v>488</v>
      </c>
      <c r="G103" s="199" t="s">
        <v>489</v>
      </c>
      <c r="I103" s="9" t="s">
        <v>904</v>
      </c>
      <c r="J103" s="9" t="s">
        <v>904</v>
      </c>
      <c r="K103" s="9">
        <v>694</v>
      </c>
      <c r="L103" s="9"/>
      <c r="M103" s="9"/>
      <c r="N103" s="9" t="s">
        <v>626</v>
      </c>
      <c r="O103" s="9" t="s">
        <v>724</v>
      </c>
      <c r="P103" s="9" t="s">
        <v>903</v>
      </c>
      <c r="Q103" s="9"/>
      <c r="R103" s="9"/>
      <c r="S103" s="9" t="b">
        <v>0</v>
      </c>
      <c r="T103" s="9"/>
      <c r="U103" s="9" t="s">
        <v>905</v>
      </c>
      <c r="X103" s="199">
        <v>95</v>
      </c>
      <c r="Y103" s="199" t="s">
        <v>1670</v>
      </c>
      <c r="Z103" s="199"/>
      <c r="AA103" s="199"/>
      <c r="AB103" s="199" t="s">
        <v>1057</v>
      </c>
      <c r="AC103" s="199"/>
      <c r="AE103" s="199">
        <v>99</v>
      </c>
      <c r="AF103" s="199" t="s">
        <v>2040</v>
      </c>
      <c r="AG103" s="199" t="s">
        <v>2041</v>
      </c>
      <c r="AH103" s="199" t="s">
        <v>1846</v>
      </c>
      <c r="AI103" s="199" t="s">
        <v>410</v>
      </c>
      <c r="AJ103" s="199"/>
      <c r="AK103" s="199"/>
      <c r="AL103" s="199"/>
      <c r="AM103" s="199"/>
      <c r="AN103" s="199"/>
      <c r="AP103" s="199">
        <v>99</v>
      </c>
      <c r="AQ103" s="199" t="s">
        <v>2161</v>
      </c>
      <c r="AR103" s="199" t="s">
        <v>1519</v>
      </c>
    </row>
    <row r="104" spans="5:44">
      <c r="E104" s="199">
        <v>100</v>
      </c>
      <c r="F104" s="199" t="s">
        <v>490</v>
      </c>
      <c r="G104" s="199" t="s">
        <v>491</v>
      </c>
      <c r="I104" s="9" t="s">
        <v>906</v>
      </c>
      <c r="J104" s="9" t="s">
        <v>906</v>
      </c>
      <c r="K104" s="9">
        <v>695</v>
      </c>
      <c r="L104" s="9"/>
      <c r="M104" s="9"/>
      <c r="N104" s="9" t="s">
        <v>400</v>
      </c>
      <c r="O104" s="9" t="s">
        <v>778</v>
      </c>
      <c r="P104" s="9" t="s">
        <v>907</v>
      </c>
      <c r="Q104" s="9"/>
      <c r="R104" s="9"/>
      <c r="S104" s="9" t="b">
        <v>0</v>
      </c>
      <c r="T104" s="9"/>
      <c r="U104" s="9" t="s">
        <v>908</v>
      </c>
      <c r="X104" s="199">
        <v>96</v>
      </c>
      <c r="Y104" s="199" t="s">
        <v>1671</v>
      </c>
      <c r="Z104" s="199"/>
      <c r="AA104" s="199"/>
      <c r="AB104" s="199" t="s">
        <v>1510</v>
      </c>
      <c r="AC104" s="199"/>
      <c r="AE104" s="199">
        <v>100</v>
      </c>
      <c r="AF104" s="199" t="s">
        <v>2042</v>
      </c>
      <c r="AG104" s="199" t="s">
        <v>2043</v>
      </c>
      <c r="AH104" s="199" t="s">
        <v>1846</v>
      </c>
      <c r="AI104" s="199" t="s">
        <v>410</v>
      </c>
      <c r="AJ104" s="199"/>
      <c r="AK104" s="199"/>
      <c r="AL104" s="199"/>
      <c r="AM104" s="199"/>
      <c r="AN104" s="199"/>
      <c r="AP104" s="199">
        <v>100</v>
      </c>
      <c r="AQ104" s="199" t="s">
        <v>2163</v>
      </c>
      <c r="AR104" s="199" t="s">
        <v>1409</v>
      </c>
    </row>
    <row r="105" spans="5:44">
      <c r="E105" s="199">
        <v>101</v>
      </c>
      <c r="F105" s="199" t="s">
        <v>492</v>
      </c>
      <c r="G105" s="199" t="s">
        <v>493</v>
      </c>
      <c r="I105" s="9" t="s">
        <v>909</v>
      </c>
      <c r="J105" s="9" t="s">
        <v>909</v>
      </c>
      <c r="K105" s="9">
        <v>696</v>
      </c>
      <c r="L105" s="9"/>
      <c r="M105" s="9"/>
      <c r="N105" s="9" t="s">
        <v>400</v>
      </c>
      <c r="O105" s="9" t="s">
        <v>724</v>
      </c>
      <c r="P105" s="9" t="s">
        <v>910</v>
      </c>
      <c r="Q105" s="9"/>
      <c r="R105" s="9"/>
      <c r="S105" s="9" t="b">
        <v>0</v>
      </c>
      <c r="T105" s="9"/>
      <c r="U105" s="9"/>
      <c r="X105" s="199">
        <v>97</v>
      </c>
      <c r="Y105" s="199" t="s">
        <v>1672</v>
      </c>
      <c r="Z105" s="199"/>
      <c r="AA105" s="199"/>
      <c r="AB105" s="199" t="s">
        <v>763</v>
      </c>
      <c r="AC105" s="199"/>
      <c r="AE105" s="199">
        <v>101</v>
      </c>
      <c r="AF105" s="199" t="s">
        <v>2044</v>
      </c>
      <c r="AG105" s="199" t="s">
        <v>2045</v>
      </c>
      <c r="AH105" s="199" t="s">
        <v>1846</v>
      </c>
      <c r="AI105" s="199" t="s">
        <v>410</v>
      </c>
      <c r="AJ105" s="199"/>
      <c r="AK105" s="199"/>
      <c r="AL105" s="199"/>
      <c r="AM105" s="199"/>
      <c r="AN105" s="199"/>
      <c r="AP105" s="199">
        <v>101</v>
      </c>
      <c r="AQ105" s="199" t="s">
        <v>2165</v>
      </c>
      <c r="AR105" s="199" t="s">
        <v>936</v>
      </c>
    </row>
    <row r="106" spans="5:44">
      <c r="E106" s="199">
        <v>102</v>
      </c>
      <c r="F106" s="199" t="s">
        <v>494</v>
      </c>
      <c r="G106" s="199" t="s">
        <v>495</v>
      </c>
      <c r="I106" s="9" t="s">
        <v>911</v>
      </c>
      <c r="J106" s="9" t="s">
        <v>911</v>
      </c>
      <c r="K106" s="9">
        <v>697</v>
      </c>
      <c r="L106" s="9"/>
      <c r="M106" s="9"/>
      <c r="N106" s="9" t="s">
        <v>410</v>
      </c>
      <c r="O106" s="9" t="s">
        <v>724</v>
      </c>
      <c r="P106" s="9" t="s">
        <v>912</v>
      </c>
      <c r="Q106" s="9"/>
      <c r="R106" s="9"/>
      <c r="S106" s="9" t="b">
        <v>0</v>
      </c>
      <c r="T106" s="9"/>
      <c r="U106" s="9"/>
      <c r="X106" s="199">
        <v>98</v>
      </c>
      <c r="Y106" s="199" t="s">
        <v>1673</v>
      </c>
      <c r="Z106" s="199"/>
      <c r="AA106" s="199"/>
      <c r="AB106" s="199" t="s">
        <v>750</v>
      </c>
      <c r="AC106" s="199"/>
      <c r="AE106" s="199">
        <v>102</v>
      </c>
      <c r="AF106" s="199" t="s">
        <v>2046</v>
      </c>
      <c r="AG106" s="199" t="s">
        <v>2047</v>
      </c>
      <c r="AH106" s="199" t="s">
        <v>1846</v>
      </c>
      <c r="AI106" s="199" t="s">
        <v>410</v>
      </c>
      <c r="AJ106" s="199"/>
      <c r="AK106" s="199"/>
      <c r="AL106" s="199"/>
      <c r="AM106" s="199"/>
      <c r="AN106" s="199"/>
      <c r="AP106" s="199">
        <v>102</v>
      </c>
      <c r="AQ106" s="199" t="s">
        <v>2167</v>
      </c>
      <c r="AR106" s="199" t="s">
        <v>942</v>
      </c>
    </row>
    <row r="107" spans="5:44">
      <c r="E107" s="199">
        <v>103</v>
      </c>
      <c r="F107" s="199" t="s">
        <v>496</v>
      </c>
      <c r="G107" s="199" t="s">
        <v>497</v>
      </c>
      <c r="I107" s="9" t="s">
        <v>913</v>
      </c>
      <c r="J107" s="9" t="s">
        <v>913</v>
      </c>
      <c r="K107" s="9">
        <v>698</v>
      </c>
      <c r="L107" s="9"/>
      <c r="M107" s="9"/>
      <c r="N107" s="9" t="s">
        <v>410</v>
      </c>
      <c r="O107" s="9" t="s">
        <v>914</v>
      </c>
      <c r="P107" s="9" t="s">
        <v>915</v>
      </c>
      <c r="Q107" s="9"/>
      <c r="R107" s="9"/>
      <c r="S107" s="9" t="b">
        <v>0</v>
      </c>
      <c r="T107" s="9"/>
      <c r="U107" s="9"/>
      <c r="X107" s="199">
        <v>99</v>
      </c>
      <c r="Y107" s="199" t="s">
        <v>1674</v>
      </c>
      <c r="Z107" s="199"/>
      <c r="AA107" s="199"/>
      <c r="AB107" s="199" t="s">
        <v>1114</v>
      </c>
      <c r="AC107" s="199"/>
      <c r="AE107" s="199">
        <v>103</v>
      </c>
      <c r="AF107" s="199" t="s">
        <v>2048</v>
      </c>
      <c r="AG107" s="199" t="s">
        <v>2049</v>
      </c>
      <c r="AH107" s="199" t="s">
        <v>1846</v>
      </c>
      <c r="AI107" s="199" t="s">
        <v>410</v>
      </c>
      <c r="AJ107" s="199"/>
      <c r="AK107" s="199"/>
      <c r="AL107" s="199"/>
      <c r="AM107" s="199"/>
      <c r="AN107" s="199"/>
      <c r="AP107" s="199">
        <v>103</v>
      </c>
      <c r="AQ107" s="199" t="s">
        <v>2171</v>
      </c>
      <c r="AR107" s="199" t="s">
        <v>897</v>
      </c>
    </row>
    <row r="108" spans="5:44">
      <c r="E108" s="199">
        <v>104</v>
      </c>
      <c r="F108" s="199" t="s">
        <v>498</v>
      </c>
      <c r="G108" s="199" t="s">
        <v>499</v>
      </c>
      <c r="I108" s="9" t="s">
        <v>916</v>
      </c>
      <c r="J108" s="9" t="s">
        <v>916</v>
      </c>
      <c r="K108" s="9">
        <v>699</v>
      </c>
      <c r="L108" s="9"/>
      <c r="M108" s="9"/>
      <c r="N108" s="9" t="s">
        <v>410</v>
      </c>
      <c r="O108" s="9" t="s">
        <v>749</v>
      </c>
      <c r="P108" s="9" t="s">
        <v>877</v>
      </c>
      <c r="Q108" s="9"/>
      <c r="R108" s="9"/>
      <c r="S108" s="9" t="b">
        <v>0</v>
      </c>
      <c r="T108" s="9"/>
      <c r="U108" s="9"/>
      <c r="X108" s="199">
        <v>100</v>
      </c>
      <c r="Y108" s="199"/>
      <c r="Z108" s="199"/>
      <c r="AA108" s="199"/>
      <c r="AB108" s="199" t="s">
        <v>1675</v>
      </c>
      <c r="AC108" s="199"/>
      <c r="AE108" s="199">
        <v>104</v>
      </c>
      <c r="AF108" s="199" t="s">
        <v>2050</v>
      </c>
      <c r="AG108" s="199" t="s">
        <v>2051</v>
      </c>
      <c r="AH108" s="199" t="s">
        <v>1846</v>
      </c>
      <c r="AI108" s="199" t="s">
        <v>410</v>
      </c>
      <c r="AJ108" s="199"/>
      <c r="AK108" s="199"/>
      <c r="AL108" s="199"/>
      <c r="AM108" s="199"/>
      <c r="AN108" s="199"/>
      <c r="AP108" s="199">
        <v>104</v>
      </c>
      <c r="AQ108" s="199" t="s">
        <v>2173</v>
      </c>
      <c r="AR108" s="199" t="s">
        <v>1015</v>
      </c>
    </row>
    <row r="109" spans="5:44">
      <c r="E109" s="199">
        <v>105</v>
      </c>
      <c r="F109" s="199" t="s">
        <v>500</v>
      </c>
      <c r="G109" s="199" t="s">
        <v>501</v>
      </c>
      <c r="I109" s="9" t="s">
        <v>917</v>
      </c>
      <c r="J109" s="9" t="s">
        <v>917</v>
      </c>
      <c r="K109" s="9">
        <v>700</v>
      </c>
      <c r="L109" s="9"/>
      <c r="M109" s="9"/>
      <c r="N109" s="9" t="s">
        <v>410</v>
      </c>
      <c r="O109" s="9" t="s">
        <v>768</v>
      </c>
      <c r="P109" s="9" t="s">
        <v>918</v>
      </c>
      <c r="Q109" s="9"/>
      <c r="R109" s="9"/>
      <c r="S109" s="9" t="b">
        <v>0</v>
      </c>
      <c r="T109" s="9"/>
      <c r="U109" s="9"/>
      <c r="X109" s="199">
        <v>101</v>
      </c>
      <c r="Y109" s="199"/>
      <c r="Z109" s="199"/>
      <c r="AA109" s="199"/>
      <c r="AB109" s="199" t="s">
        <v>1676</v>
      </c>
      <c r="AC109" s="199"/>
      <c r="AE109" s="199">
        <v>105</v>
      </c>
      <c r="AF109" s="199" t="s">
        <v>2052</v>
      </c>
      <c r="AG109" s="199" t="s">
        <v>2053</v>
      </c>
      <c r="AH109" s="199" t="s">
        <v>1846</v>
      </c>
      <c r="AI109" s="199" t="s">
        <v>410</v>
      </c>
      <c r="AJ109" s="199"/>
      <c r="AK109" s="199"/>
      <c r="AL109" s="199"/>
      <c r="AM109" s="199"/>
      <c r="AN109" s="199"/>
      <c r="AP109" s="199">
        <v>105</v>
      </c>
      <c r="AQ109" s="199" t="s">
        <v>2175</v>
      </c>
      <c r="AR109" s="199" t="s">
        <v>1529</v>
      </c>
    </row>
    <row r="110" spans="5:44">
      <c r="E110" s="199">
        <v>106</v>
      </c>
      <c r="F110" s="199" t="s">
        <v>502</v>
      </c>
      <c r="G110" s="199" t="s">
        <v>503</v>
      </c>
      <c r="I110" s="9" t="s">
        <v>919</v>
      </c>
      <c r="J110" s="9" t="s">
        <v>919</v>
      </c>
      <c r="K110" s="9">
        <v>701</v>
      </c>
      <c r="L110" s="9"/>
      <c r="M110" s="9"/>
      <c r="N110" s="9" t="s">
        <v>410</v>
      </c>
      <c r="O110" s="9" t="s">
        <v>749</v>
      </c>
      <c r="P110" s="9" t="s">
        <v>920</v>
      </c>
      <c r="Q110" s="9"/>
      <c r="R110" s="9"/>
      <c r="S110" s="9" t="b">
        <v>0</v>
      </c>
      <c r="T110" s="9"/>
      <c r="U110" s="9" t="s">
        <v>921</v>
      </c>
      <c r="X110" s="199">
        <v>102</v>
      </c>
      <c r="Y110" s="199" t="s">
        <v>1677</v>
      </c>
      <c r="Z110" s="199"/>
      <c r="AA110" s="199"/>
      <c r="AB110" s="199" t="s">
        <v>1176</v>
      </c>
      <c r="AC110" s="199"/>
      <c r="AE110" s="199">
        <v>106</v>
      </c>
      <c r="AF110" s="199" t="s">
        <v>2054</v>
      </c>
      <c r="AG110" s="199" t="s">
        <v>2055</v>
      </c>
      <c r="AH110" s="199" t="s">
        <v>1846</v>
      </c>
      <c r="AI110" s="199" t="s">
        <v>410</v>
      </c>
      <c r="AJ110" s="199"/>
      <c r="AK110" s="199"/>
      <c r="AL110" s="199"/>
      <c r="AM110" s="199"/>
      <c r="AN110" s="199"/>
      <c r="AP110" s="199">
        <v>106</v>
      </c>
      <c r="AQ110" s="199" t="s">
        <v>2181</v>
      </c>
      <c r="AR110" s="199" t="s">
        <v>1441</v>
      </c>
    </row>
    <row r="111" spans="5:44">
      <c r="E111" s="199">
        <v>107</v>
      </c>
      <c r="F111" s="199" t="s">
        <v>504</v>
      </c>
      <c r="G111" s="199" t="s">
        <v>505</v>
      </c>
      <c r="I111" s="9" t="s">
        <v>922</v>
      </c>
      <c r="J111" s="9" t="s">
        <v>922</v>
      </c>
      <c r="K111" s="9">
        <v>702</v>
      </c>
      <c r="L111" s="9"/>
      <c r="M111" s="9"/>
      <c r="N111" s="9" t="s">
        <v>626</v>
      </c>
      <c r="O111" s="9" t="s">
        <v>749</v>
      </c>
      <c r="P111" s="9" t="s">
        <v>816</v>
      </c>
      <c r="Q111" s="9"/>
      <c r="R111" s="9"/>
      <c r="S111" s="9" t="b">
        <v>0</v>
      </c>
      <c r="T111" s="9"/>
      <c r="U111" s="9" t="s">
        <v>923</v>
      </c>
      <c r="X111" s="199">
        <v>103</v>
      </c>
      <c r="Y111" s="199" t="s">
        <v>1678</v>
      </c>
      <c r="Z111" s="199"/>
      <c r="AA111" s="199"/>
      <c r="AB111" s="199" t="s">
        <v>1381</v>
      </c>
      <c r="AC111" s="199"/>
      <c r="AE111" s="199">
        <v>107</v>
      </c>
      <c r="AF111" s="199" t="s">
        <v>2056</v>
      </c>
      <c r="AG111" s="199" t="s">
        <v>2057</v>
      </c>
      <c r="AH111" s="199" t="s">
        <v>1846</v>
      </c>
      <c r="AI111" s="199" t="s">
        <v>410</v>
      </c>
      <c r="AJ111" s="199"/>
      <c r="AK111" s="199"/>
      <c r="AL111" s="199"/>
      <c r="AM111" s="199"/>
      <c r="AN111" s="199"/>
      <c r="AP111" s="199">
        <v>107</v>
      </c>
      <c r="AQ111" s="199" t="s">
        <v>2181</v>
      </c>
      <c r="AR111" s="199" t="s">
        <v>1515</v>
      </c>
    </row>
    <row r="112" spans="5:44">
      <c r="E112" s="199">
        <v>108</v>
      </c>
      <c r="F112" s="199" t="s">
        <v>506</v>
      </c>
      <c r="G112" s="199" t="s">
        <v>507</v>
      </c>
      <c r="I112" s="9" t="s">
        <v>924</v>
      </c>
      <c r="J112" s="9" t="s">
        <v>924</v>
      </c>
      <c r="K112" s="9">
        <v>703</v>
      </c>
      <c r="L112" s="9"/>
      <c r="M112" s="9"/>
      <c r="N112" s="9" t="s">
        <v>626</v>
      </c>
      <c r="O112" s="9" t="s">
        <v>745</v>
      </c>
      <c r="P112" s="9" t="s">
        <v>925</v>
      </c>
      <c r="Q112" s="9"/>
      <c r="R112" s="9"/>
      <c r="S112" s="9" t="b">
        <v>0</v>
      </c>
      <c r="T112" s="9"/>
      <c r="U112" s="9"/>
      <c r="X112" s="199">
        <v>104</v>
      </c>
      <c r="Y112" s="199"/>
      <c r="Z112" s="199"/>
      <c r="AA112" s="199"/>
      <c r="AB112" s="199" t="s">
        <v>1254</v>
      </c>
      <c r="AC112" s="199"/>
      <c r="AE112" s="199">
        <v>108</v>
      </c>
      <c r="AF112" s="199" t="s">
        <v>2058</v>
      </c>
      <c r="AG112" s="199" t="s">
        <v>2059</v>
      </c>
      <c r="AH112" s="199" t="s">
        <v>1846</v>
      </c>
      <c r="AI112" s="199" t="s">
        <v>410</v>
      </c>
      <c r="AJ112" s="199"/>
      <c r="AK112" s="199"/>
      <c r="AL112" s="199"/>
      <c r="AM112" s="199"/>
      <c r="AN112" s="199"/>
      <c r="AP112" s="199">
        <v>108</v>
      </c>
      <c r="AQ112" s="199" t="s">
        <v>2187</v>
      </c>
      <c r="AR112" s="199" t="s">
        <v>1352</v>
      </c>
    </row>
    <row r="113" spans="5:44">
      <c r="E113" s="199">
        <v>109</v>
      </c>
      <c r="F113" s="199" t="s">
        <v>508</v>
      </c>
      <c r="G113" s="199" t="s">
        <v>509</v>
      </c>
      <c r="I113" s="9" t="s">
        <v>926</v>
      </c>
      <c r="J113" s="9" t="s">
        <v>926</v>
      </c>
      <c r="K113" s="9">
        <v>704</v>
      </c>
      <c r="L113" s="9"/>
      <c r="M113" s="9"/>
      <c r="N113" s="9" t="s">
        <v>410</v>
      </c>
      <c r="O113" s="9" t="s">
        <v>689</v>
      </c>
      <c r="P113" s="9" t="s">
        <v>927</v>
      </c>
      <c r="Q113" s="9"/>
      <c r="R113" s="9"/>
      <c r="S113" s="9" t="b">
        <v>0</v>
      </c>
      <c r="T113" s="9"/>
      <c r="U113" s="9"/>
      <c r="X113" s="199">
        <v>105</v>
      </c>
      <c r="Y113" s="199"/>
      <c r="Z113" s="199"/>
      <c r="AA113" s="199"/>
      <c r="AB113" s="199" t="s">
        <v>1182</v>
      </c>
      <c r="AC113" s="199"/>
      <c r="AE113" s="199">
        <v>109</v>
      </c>
      <c r="AF113" s="199" t="s">
        <v>2060</v>
      </c>
      <c r="AG113" s="199" t="s">
        <v>2061</v>
      </c>
      <c r="AH113" s="199" t="s">
        <v>1846</v>
      </c>
      <c r="AI113" s="199" t="s">
        <v>410</v>
      </c>
      <c r="AJ113" s="199"/>
      <c r="AK113" s="199"/>
      <c r="AL113" s="199"/>
      <c r="AM113" s="199"/>
      <c r="AN113" s="199"/>
      <c r="AP113" s="199">
        <v>109</v>
      </c>
      <c r="AQ113" s="199" t="s">
        <v>2189</v>
      </c>
      <c r="AR113" s="199" t="s">
        <v>1354</v>
      </c>
    </row>
    <row r="114" spans="5:44">
      <c r="E114" s="199">
        <v>110</v>
      </c>
      <c r="F114" s="199" t="s">
        <v>510</v>
      </c>
      <c r="G114" s="199" t="s">
        <v>511</v>
      </c>
      <c r="I114" s="9" t="s">
        <v>928</v>
      </c>
      <c r="J114" s="9" t="s">
        <v>928</v>
      </c>
      <c r="K114" s="9">
        <v>705</v>
      </c>
      <c r="L114" s="9"/>
      <c r="M114" s="9"/>
      <c r="N114" s="9" t="s">
        <v>626</v>
      </c>
      <c r="O114" s="9" t="s">
        <v>745</v>
      </c>
      <c r="P114" s="9" t="s">
        <v>925</v>
      </c>
      <c r="Q114" s="9"/>
      <c r="R114" s="9"/>
      <c r="S114" s="9" t="b">
        <v>0</v>
      </c>
      <c r="T114" s="9"/>
      <c r="U114" s="9"/>
      <c r="X114" s="199">
        <v>106</v>
      </c>
      <c r="Y114" s="199"/>
      <c r="Z114" s="199"/>
      <c r="AA114" s="199"/>
      <c r="AB114" s="199" t="s">
        <v>1198</v>
      </c>
      <c r="AC114" s="199"/>
      <c r="AE114" s="199">
        <v>110</v>
      </c>
      <c r="AF114" s="199" t="s">
        <v>2062</v>
      </c>
      <c r="AG114" s="199" t="s">
        <v>2063</v>
      </c>
      <c r="AH114" s="199" t="s">
        <v>1846</v>
      </c>
      <c r="AI114" s="199" t="s">
        <v>410</v>
      </c>
      <c r="AJ114" s="199"/>
      <c r="AK114" s="199"/>
      <c r="AL114" s="199"/>
      <c r="AM114" s="199"/>
      <c r="AN114" s="199"/>
      <c r="AP114" s="199">
        <v>110</v>
      </c>
      <c r="AQ114" s="199" t="s">
        <v>2191</v>
      </c>
      <c r="AR114" s="199" t="s">
        <v>1356</v>
      </c>
    </row>
    <row r="115" spans="5:44">
      <c r="E115" s="199">
        <v>111</v>
      </c>
      <c r="F115" s="199" t="s">
        <v>512</v>
      </c>
      <c r="G115" s="199" t="s">
        <v>513</v>
      </c>
      <c r="I115" s="9" t="s">
        <v>929</v>
      </c>
      <c r="J115" s="9" t="s">
        <v>929</v>
      </c>
      <c r="K115" s="9">
        <v>706</v>
      </c>
      <c r="L115" s="9"/>
      <c r="M115" s="9"/>
      <c r="N115" s="9" t="s">
        <v>626</v>
      </c>
      <c r="O115" s="9" t="s">
        <v>745</v>
      </c>
      <c r="P115" s="9" t="s">
        <v>925</v>
      </c>
      <c r="Q115" s="9"/>
      <c r="R115" s="9"/>
      <c r="S115" s="9" t="b">
        <v>0</v>
      </c>
      <c r="T115" s="9"/>
      <c r="U115" s="9"/>
      <c r="X115" s="199">
        <v>107</v>
      </c>
      <c r="Y115" s="199" t="s">
        <v>1679</v>
      </c>
      <c r="Z115" s="199"/>
      <c r="AA115" s="199"/>
      <c r="AB115" s="199" t="s">
        <v>1376</v>
      </c>
      <c r="AC115" s="199"/>
      <c r="AE115" s="199">
        <v>111</v>
      </c>
      <c r="AF115" s="199" t="s">
        <v>2064</v>
      </c>
      <c r="AG115" s="199"/>
      <c r="AH115" s="199" t="s">
        <v>1846</v>
      </c>
      <c r="AI115" s="199" t="s">
        <v>410</v>
      </c>
      <c r="AJ115" s="199"/>
      <c r="AK115" s="199"/>
      <c r="AL115" s="199"/>
      <c r="AM115" s="199"/>
      <c r="AN115" s="199"/>
      <c r="AP115" s="199">
        <v>111</v>
      </c>
      <c r="AQ115" s="199" t="s">
        <v>2193</v>
      </c>
      <c r="AR115" s="199" t="s">
        <v>968</v>
      </c>
    </row>
    <row r="116" spans="5:44">
      <c r="E116" s="199">
        <v>112</v>
      </c>
      <c r="F116" s="199" t="s">
        <v>514</v>
      </c>
      <c r="G116" s="199" t="s">
        <v>515</v>
      </c>
      <c r="I116" s="9" t="s">
        <v>930</v>
      </c>
      <c r="J116" s="9" t="s">
        <v>930</v>
      </c>
      <c r="K116" s="9">
        <v>707</v>
      </c>
      <c r="L116" s="9"/>
      <c r="M116" s="9"/>
      <c r="N116" s="9" t="s">
        <v>626</v>
      </c>
      <c r="O116" s="9" t="s">
        <v>749</v>
      </c>
      <c r="P116" s="9" t="s">
        <v>925</v>
      </c>
      <c r="Q116" s="9"/>
      <c r="R116" s="9"/>
      <c r="S116" s="9" t="b">
        <v>0</v>
      </c>
      <c r="T116" s="9"/>
      <c r="U116" s="9" t="s">
        <v>931</v>
      </c>
      <c r="X116" s="199">
        <v>108</v>
      </c>
      <c r="Y116" s="199" t="s">
        <v>1680</v>
      </c>
      <c r="Z116" s="199"/>
      <c r="AA116" s="199"/>
      <c r="AB116" s="199" t="s">
        <v>1203</v>
      </c>
      <c r="AC116" s="199"/>
      <c r="AE116" s="199">
        <v>112</v>
      </c>
      <c r="AF116" s="199" t="s">
        <v>2065</v>
      </c>
      <c r="AG116" s="199" t="s">
        <v>2066</v>
      </c>
      <c r="AH116" s="199" t="s">
        <v>1846</v>
      </c>
      <c r="AI116" s="199" t="s">
        <v>410</v>
      </c>
      <c r="AJ116" s="199"/>
      <c r="AK116" s="199"/>
      <c r="AL116" s="199"/>
      <c r="AM116" s="199"/>
      <c r="AN116" s="199"/>
      <c r="AP116" s="199">
        <v>112</v>
      </c>
      <c r="AQ116" s="199" t="s">
        <v>2195</v>
      </c>
      <c r="AR116" s="199" t="s">
        <v>774</v>
      </c>
    </row>
    <row r="117" spans="5:44">
      <c r="E117" s="199">
        <v>113</v>
      </c>
      <c r="F117" s="199" t="s">
        <v>516</v>
      </c>
      <c r="G117" s="199" t="s">
        <v>517</v>
      </c>
      <c r="I117" s="9" t="s">
        <v>932</v>
      </c>
      <c r="J117" s="9" t="s">
        <v>932</v>
      </c>
      <c r="K117" s="9">
        <v>708</v>
      </c>
      <c r="L117" s="9"/>
      <c r="M117" s="9"/>
      <c r="N117" s="9" t="s">
        <v>626</v>
      </c>
      <c r="O117" s="9" t="s">
        <v>749</v>
      </c>
      <c r="P117" s="9" t="s">
        <v>925</v>
      </c>
      <c r="Q117" s="9"/>
      <c r="R117" s="9"/>
      <c r="S117" s="9" t="b">
        <v>0</v>
      </c>
      <c r="T117" s="9"/>
      <c r="U117" s="9" t="s">
        <v>933</v>
      </c>
      <c r="X117" s="199">
        <v>109</v>
      </c>
      <c r="Y117" s="199" t="s">
        <v>1681</v>
      </c>
      <c r="Z117" s="199"/>
      <c r="AA117" s="199"/>
      <c r="AB117" s="199" t="s">
        <v>1185</v>
      </c>
      <c r="AC117" s="199"/>
      <c r="AE117" s="199">
        <v>113</v>
      </c>
      <c r="AF117" s="199" t="s">
        <v>2067</v>
      </c>
      <c r="AG117" s="199" t="s">
        <v>2068</v>
      </c>
      <c r="AH117" s="199" t="s">
        <v>1846</v>
      </c>
      <c r="AI117" s="199" t="s">
        <v>410</v>
      </c>
      <c r="AJ117" s="199"/>
      <c r="AK117" s="199"/>
      <c r="AL117" s="199"/>
      <c r="AM117" s="199"/>
      <c r="AN117" s="199"/>
      <c r="AP117" s="199">
        <v>113</v>
      </c>
      <c r="AQ117" s="199" t="s">
        <v>2197</v>
      </c>
      <c r="AR117" s="199" t="s">
        <v>1498</v>
      </c>
    </row>
    <row r="118" spans="5:44">
      <c r="E118" s="199">
        <v>114</v>
      </c>
      <c r="F118" s="199" t="s">
        <v>518</v>
      </c>
      <c r="G118" s="199" t="s">
        <v>519</v>
      </c>
      <c r="I118" s="9" t="s">
        <v>934</v>
      </c>
      <c r="J118" s="9" t="s">
        <v>934</v>
      </c>
      <c r="K118" s="9">
        <v>709</v>
      </c>
      <c r="L118" s="9"/>
      <c r="M118" s="9"/>
      <c r="N118" s="9" t="s">
        <v>410</v>
      </c>
      <c r="O118" s="9" t="s">
        <v>689</v>
      </c>
      <c r="P118" s="9" t="s">
        <v>935</v>
      </c>
      <c r="Q118" s="9"/>
      <c r="R118" s="9"/>
      <c r="S118" s="9" t="b">
        <v>0</v>
      </c>
      <c r="T118" s="9"/>
      <c r="U118" s="9"/>
      <c r="X118" s="199">
        <v>110</v>
      </c>
      <c r="Y118" s="199" t="s">
        <v>1682</v>
      </c>
      <c r="Z118" s="199"/>
      <c r="AA118" s="199"/>
      <c r="AB118" s="199" t="s">
        <v>957</v>
      </c>
      <c r="AC118" s="199"/>
      <c r="AE118" s="199">
        <v>114</v>
      </c>
      <c r="AF118" s="199" t="s">
        <v>2069</v>
      </c>
      <c r="AG118" s="199" t="s">
        <v>2070</v>
      </c>
      <c r="AH118" s="199" t="s">
        <v>1846</v>
      </c>
      <c r="AI118" s="199" t="s">
        <v>410</v>
      </c>
      <c r="AJ118" s="199"/>
      <c r="AK118" s="199"/>
      <c r="AL118" s="199"/>
      <c r="AM118" s="199"/>
      <c r="AN118" s="199"/>
      <c r="AP118" s="199">
        <v>114</v>
      </c>
      <c r="AQ118" s="199" t="s">
        <v>2199</v>
      </c>
      <c r="AR118" s="199" t="s">
        <v>1501</v>
      </c>
    </row>
    <row r="119" spans="5:44">
      <c r="E119" s="199">
        <v>115</v>
      </c>
      <c r="F119" s="199" t="s">
        <v>520</v>
      </c>
      <c r="G119" s="199" t="s">
        <v>521</v>
      </c>
      <c r="I119" s="9" t="s">
        <v>936</v>
      </c>
      <c r="J119" s="9" t="s">
        <v>936</v>
      </c>
      <c r="K119" s="9">
        <v>710</v>
      </c>
      <c r="L119" s="9"/>
      <c r="M119" s="9"/>
      <c r="N119" s="9" t="s">
        <v>410</v>
      </c>
      <c r="O119" s="9" t="s">
        <v>749</v>
      </c>
      <c r="P119" s="9" t="s">
        <v>937</v>
      </c>
      <c r="Q119" s="9"/>
      <c r="R119" s="9"/>
      <c r="S119" s="9" t="b">
        <v>0</v>
      </c>
      <c r="T119" s="9"/>
      <c r="U119" s="9" t="s">
        <v>938</v>
      </c>
      <c r="X119" s="199">
        <v>111</v>
      </c>
      <c r="Y119" s="199" t="s">
        <v>1683</v>
      </c>
      <c r="Z119" s="199"/>
      <c r="AA119" s="199"/>
      <c r="AB119" s="199" t="s">
        <v>1684</v>
      </c>
      <c r="AC119" s="199"/>
      <c r="AE119" s="199">
        <v>115</v>
      </c>
      <c r="AF119" s="199" t="s">
        <v>2071</v>
      </c>
      <c r="AG119" s="199" t="s">
        <v>2072</v>
      </c>
      <c r="AH119" s="199" t="s">
        <v>1846</v>
      </c>
      <c r="AI119" s="199" t="s">
        <v>410</v>
      </c>
      <c r="AJ119" s="199"/>
      <c r="AK119" s="199"/>
      <c r="AL119" s="199"/>
      <c r="AM119" s="199"/>
      <c r="AN119" s="199"/>
      <c r="AP119" s="199">
        <v>115</v>
      </c>
      <c r="AQ119" s="199" t="s">
        <v>2202</v>
      </c>
      <c r="AR119" s="199" t="s">
        <v>950</v>
      </c>
    </row>
    <row r="120" spans="5:44">
      <c r="E120" s="199">
        <v>116</v>
      </c>
      <c r="F120" s="199" t="s">
        <v>522</v>
      </c>
      <c r="G120" s="199" t="s">
        <v>523</v>
      </c>
      <c r="I120" s="9" t="s">
        <v>939</v>
      </c>
      <c r="J120" s="9" t="s">
        <v>939</v>
      </c>
      <c r="K120" s="9">
        <v>711</v>
      </c>
      <c r="L120" s="9"/>
      <c r="M120" s="9"/>
      <c r="N120" s="9" t="s">
        <v>626</v>
      </c>
      <c r="O120" s="9" t="s">
        <v>720</v>
      </c>
      <c r="P120" s="9" t="s">
        <v>940</v>
      </c>
      <c r="Q120" s="9"/>
      <c r="R120" s="9"/>
      <c r="S120" s="9" t="b">
        <v>0</v>
      </c>
      <c r="T120" s="9"/>
      <c r="U120" s="9" t="s">
        <v>941</v>
      </c>
      <c r="X120" s="199">
        <v>112</v>
      </c>
      <c r="Y120" s="199" t="s">
        <v>1685</v>
      </c>
      <c r="Z120" s="199"/>
      <c r="AA120" s="199"/>
      <c r="AB120" s="199" t="s">
        <v>1686</v>
      </c>
      <c r="AC120" s="199"/>
      <c r="AE120" s="199">
        <v>116</v>
      </c>
      <c r="AF120" s="199" t="s">
        <v>2073</v>
      </c>
      <c r="AG120" s="199" t="s">
        <v>2074</v>
      </c>
      <c r="AH120" s="199" t="s">
        <v>1846</v>
      </c>
      <c r="AI120" s="199" t="s">
        <v>410</v>
      </c>
      <c r="AJ120" s="199"/>
      <c r="AK120" s="199"/>
      <c r="AL120" s="199"/>
      <c r="AM120" s="199"/>
      <c r="AN120" s="199"/>
      <c r="AP120" s="199">
        <v>116</v>
      </c>
      <c r="AQ120" s="199" t="s">
        <v>2204</v>
      </c>
      <c r="AR120" s="199" t="s">
        <v>1532</v>
      </c>
    </row>
    <row r="121" spans="5:44">
      <c r="E121" s="199">
        <v>117</v>
      </c>
      <c r="F121" s="199" t="s">
        <v>524</v>
      </c>
      <c r="G121" s="199" t="s">
        <v>525</v>
      </c>
      <c r="I121" s="9" t="s">
        <v>942</v>
      </c>
      <c r="J121" s="9" t="s">
        <v>942</v>
      </c>
      <c r="K121" s="9">
        <v>712</v>
      </c>
      <c r="L121" s="9"/>
      <c r="M121" s="9"/>
      <c r="N121" s="9" t="s">
        <v>626</v>
      </c>
      <c r="O121" s="9" t="s">
        <v>720</v>
      </c>
      <c r="P121" s="9" t="s">
        <v>940</v>
      </c>
      <c r="Q121" s="9"/>
      <c r="R121" s="9"/>
      <c r="S121" s="9" t="b">
        <v>0</v>
      </c>
      <c r="T121" s="9"/>
      <c r="U121" s="9" t="s">
        <v>943</v>
      </c>
      <c r="X121" s="199">
        <v>113</v>
      </c>
      <c r="Y121" s="199" t="s">
        <v>1687</v>
      </c>
      <c r="Z121" s="199"/>
      <c r="AA121" s="199"/>
      <c r="AB121" s="199" t="s">
        <v>1688</v>
      </c>
      <c r="AC121" s="199"/>
      <c r="AE121" s="199">
        <v>117</v>
      </c>
      <c r="AF121" s="199" t="s">
        <v>2075</v>
      </c>
      <c r="AG121" s="199" t="s">
        <v>2076</v>
      </c>
      <c r="AH121" s="199" t="s">
        <v>1846</v>
      </c>
      <c r="AI121" s="199" t="s">
        <v>410</v>
      </c>
      <c r="AJ121" s="199"/>
      <c r="AK121" s="199"/>
      <c r="AL121" s="199"/>
      <c r="AM121" s="199"/>
      <c r="AN121" s="199"/>
      <c r="AP121" s="199">
        <v>117</v>
      </c>
      <c r="AQ121" s="199" t="s">
        <v>2204</v>
      </c>
      <c r="AR121" s="199" t="s">
        <v>1004</v>
      </c>
    </row>
    <row r="122" spans="5:44">
      <c r="E122" s="199">
        <v>118</v>
      </c>
      <c r="F122" s="199" t="s">
        <v>526</v>
      </c>
      <c r="G122" s="199" t="s">
        <v>527</v>
      </c>
      <c r="I122" s="9" t="s">
        <v>944</v>
      </c>
      <c r="J122" s="9" t="s">
        <v>944</v>
      </c>
      <c r="K122" s="9">
        <v>713</v>
      </c>
      <c r="L122" s="9"/>
      <c r="M122" s="9"/>
      <c r="N122" s="9" t="s">
        <v>626</v>
      </c>
      <c r="O122" s="9" t="s">
        <v>720</v>
      </c>
      <c r="P122" s="9" t="s">
        <v>940</v>
      </c>
      <c r="Q122" s="9"/>
      <c r="R122" s="9"/>
      <c r="S122" s="9" t="b">
        <v>0</v>
      </c>
      <c r="T122" s="9"/>
      <c r="U122" s="9" t="s">
        <v>945</v>
      </c>
      <c r="X122" s="199">
        <v>114</v>
      </c>
      <c r="Y122" s="199"/>
      <c r="Z122" s="199"/>
      <c r="AA122" s="199"/>
      <c r="AB122" s="199" t="s">
        <v>1689</v>
      </c>
      <c r="AC122" s="199"/>
      <c r="AE122" s="199">
        <v>118</v>
      </c>
      <c r="AF122" s="199" t="s">
        <v>2077</v>
      </c>
      <c r="AG122" s="199"/>
      <c r="AH122" s="199" t="s">
        <v>1846</v>
      </c>
      <c r="AI122" s="199" t="s">
        <v>410</v>
      </c>
      <c r="AJ122" s="199"/>
      <c r="AK122" s="199"/>
      <c r="AL122" s="199"/>
      <c r="AM122" s="199"/>
      <c r="AN122" s="199"/>
      <c r="AP122" s="199">
        <v>118</v>
      </c>
      <c r="AQ122" s="199" t="s">
        <v>2216</v>
      </c>
      <c r="AR122" s="199" t="s">
        <v>1444</v>
      </c>
    </row>
    <row r="123" spans="5:44">
      <c r="E123" s="199">
        <v>119</v>
      </c>
      <c r="F123" s="199" t="s">
        <v>528</v>
      </c>
      <c r="G123" s="199" t="s">
        <v>529</v>
      </c>
      <c r="I123" s="9" t="s">
        <v>946</v>
      </c>
      <c r="J123" s="9" t="s">
        <v>946</v>
      </c>
      <c r="K123" s="9">
        <v>714</v>
      </c>
      <c r="L123" s="9"/>
      <c r="M123" s="9"/>
      <c r="N123" s="9" t="s">
        <v>410</v>
      </c>
      <c r="O123" s="9" t="s">
        <v>724</v>
      </c>
      <c r="P123" s="9" t="s">
        <v>947</v>
      </c>
      <c r="Q123" s="9"/>
      <c r="R123" s="9"/>
      <c r="S123" s="9" t="b">
        <v>0</v>
      </c>
      <c r="T123" s="9"/>
      <c r="U123" s="9"/>
      <c r="X123" s="199">
        <v>115</v>
      </c>
      <c r="Y123" s="199" t="s">
        <v>1690</v>
      </c>
      <c r="Z123" s="199"/>
      <c r="AA123" s="199"/>
      <c r="AB123" s="199" t="s">
        <v>1164</v>
      </c>
      <c r="AC123" s="199"/>
      <c r="AE123" s="199">
        <v>119</v>
      </c>
      <c r="AF123" s="199" t="s">
        <v>2078</v>
      </c>
      <c r="AG123" s="199"/>
      <c r="AH123" s="199" t="s">
        <v>1846</v>
      </c>
      <c r="AI123" s="199" t="s">
        <v>410</v>
      </c>
      <c r="AJ123" s="199"/>
      <c r="AK123" s="199"/>
      <c r="AL123" s="199"/>
      <c r="AM123" s="199"/>
      <c r="AN123" s="199"/>
      <c r="AP123" s="199">
        <v>119</v>
      </c>
      <c r="AQ123" s="199" t="s">
        <v>2222</v>
      </c>
      <c r="AR123" s="199" t="s">
        <v>824</v>
      </c>
    </row>
    <row r="124" spans="5:44">
      <c r="E124" s="199">
        <v>120</v>
      </c>
      <c r="F124" s="199" t="s">
        <v>530</v>
      </c>
      <c r="G124" s="199" t="s">
        <v>531</v>
      </c>
      <c r="I124" s="9" t="s">
        <v>948</v>
      </c>
      <c r="J124" s="9" t="s">
        <v>948</v>
      </c>
      <c r="K124" s="9">
        <v>715</v>
      </c>
      <c r="L124" s="9"/>
      <c r="M124" s="9"/>
      <c r="N124" s="9" t="s">
        <v>410</v>
      </c>
      <c r="O124" s="9" t="s">
        <v>689</v>
      </c>
      <c r="P124" s="9" t="s">
        <v>949</v>
      </c>
      <c r="Q124" s="9"/>
      <c r="R124" s="9"/>
      <c r="S124" s="9" t="b">
        <v>0</v>
      </c>
      <c r="T124" s="9"/>
      <c r="U124" s="9"/>
      <c r="X124" s="199">
        <v>116</v>
      </c>
      <c r="Y124" s="199" t="s">
        <v>1691</v>
      </c>
      <c r="Z124" s="199"/>
      <c r="AA124" s="199"/>
      <c r="AB124" s="199" t="s">
        <v>1187</v>
      </c>
      <c r="AC124" s="199"/>
      <c r="AE124" s="199">
        <v>120</v>
      </c>
      <c r="AF124" s="199" t="s">
        <v>2079</v>
      </c>
      <c r="AG124" s="199"/>
      <c r="AH124" s="199" t="s">
        <v>1846</v>
      </c>
      <c r="AI124" s="199" t="s">
        <v>410</v>
      </c>
      <c r="AJ124" s="199"/>
      <c r="AK124" s="199"/>
      <c r="AL124" s="199"/>
      <c r="AM124" s="199"/>
      <c r="AN124" s="199"/>
      <c r="AP124" s="199">
        <v>120</v>
      </c>
      <c r="AQ124" s="199" t="s">
        <v>2226</v>
      </c>
      <c r="AR124" s="199" t="s">
        <v>939</v>
      </c>
    </row>
    <row r="125" spans="5:44">
      <c r="E125" s="199">
        <v>121</v>
      </c>
      <c r="F125" s="199" t="s">
        <v>532</v>
      </c>
      <c r="G125" s="199" t="s">
        <v>533</v>
      </c>
      <c r="I125" s="9" t="s">
        <v>950</v>
      </c>
      <c r="J125" s="9" t="s">
        <v>950</v>
      </c>
      <c r="K125" s="9">
        <v>716</v>
      </c>
      <c r="L125" s="9"/>
      <c r="M125" s="9"/>
      <c r="N125" s="9" t="s">
        <v>400</v>
      </c>
      <c r="O125" s="9" t="s">
        <v>720</v>
      </c>
      <c r="P125" s="9" t="s">
        <v>951</v>
      </c>
      <c r="Q125" s="9"/>
      <c r="R125" s="9"/>
      <c r="S125" s="9" t="b">
        <v>0</v>
      </c>
      <c r="T125" s="9"/>
      <c r="U125" s="9" t="s">
        <v>899</v>
      </c>
      <c r="X125" s="199">
        <v>117</v>
      </c>
      <c r="Y125" s="199" t="s">
        <v>1692</v>
      </c>
      <c r="Z125" s="199"/>
      <c r="AA125" s="199"/>
      <c r="AB125" s="199" t="s">
        <v>735</v>
      </c>
      <c r="AC125" s="199"/>
      <c r="AE125" s="199">
        <v>121</v>
      </c>
      <c r="AF125" s="199" t="s">
        <v>2080</v>
      </c>
      <c r="AG125" s="199" t="s">
        <v>2081</v>
      </c>
      <c r="AH125" s="199" t="s">
        <v>1846</v>
      </c>
      <c r="AI125" s="199" t="s">
        <v>410</v>
      </c>
      <c r="AJ125" s="199"/>
      <c r="AK125" s="199"/>
      <c r="AL125" s="199"/>
      <c r="AM125" s="199"/>
      <c r="AN125" s="199"/>
      <c r="AP125" s="199">
        <v>121</v>
      </c>
      <c r="AQ125" s="199" t="s">
        <v>2234</v>
      </c>
      <c r="AR125" s="199" t="s">
        <v>1399</v>
      </c>
    </row>
    <row r="126" spans="5:44">
      <c r="E126" s="199">
        <v>122</v>
      </c>
      <c r="F126" s="199" t="s">
        <v>534</v>
      </c>
      <c r="G126" s="199" t="s">
        <v>535</v>
      </c>
      <c r="I126" s="9" t="s">
        <v>952</v>
      </c>
      <c r="J126" s="9" t="s">
        <v>952</v>
      </c>
      <c r="K126" s="9">
        <v>717</v>
      </c>
      <c r="L126" s="9"/>
      <c r="M126" s="9"/>
      <c r="N126" s="9" t="s">
        <v>410</v>
      </c>
      <c r="O126" s="9" t="s">
        <v>689</v>
      </c>
      <c r="P126" s="9" t="s">
        <v>953</v>
      </c>
      <c r="Q126" s="9"/>
      <c r="R126" s="9"/>
      <c r="S126" s="9" t="b">
        <v>0</v>
      </c>
      <c r="T126" s="9"/>
      <c r="U126" s="9"/>
      <c r="X126" s="199">
        <v>118</v>
      </c>
      <c r="Y126" s="199" t="s">
        <v>1691</v>
      </c>
      <c r="Z126" s="199"/>
      <c r="AA126" s="199"/>
      <c r="AB126" s="199" t="s">
        <v>742</v>
      </c>
      <c r="AC126" s="199"/>
      <c r="AE126" s="199">
        <v>122</v>
      </c>
      <c r="AF126" s="199" t="s">
        <v>2082</v>
      </c>
      <c r="AG126" s="199" t="s">
        <v>2083</v>
      </c>
      <c r="AH126" s="199" t="s">
        <v>1846</v>
      </c>
      <c r="AI126" s="199" t="s">
        <v>410</v>
      </c>
      <c r="AJ126" s="199"/>
      <c r="AK126" s="199"/>
      <c r="AL126" s="199"/>
      <c r="AM126" s="199"/>
      <c r="AN126" s="199"/>
      <c r="AP126" s="199">
        <v>122</v>
      </c>
      <c r="AQ126" s="199" t="s">
        <v>2244</v>
      </c>
      <c r="AR126" s="199" t="s">
        <v>1175</v>
      </c>
    </row>
    <row r="127" spans="5:44">
      <c r="E127" s="199">
        <v>123</v>
      </c>
      <c r="F127" s="199" t="s">
        <v>536</v>
      </c>
      <c r="G127" s="199" t="s">
        <v>537</v>
      </c>
      <c r="I127" s="9" t="s">
        <v>954</v>
      </c>
      <c r="J127" s="9" t="s">
        <v>954</v>
      </c>
      <c r="K127" s="9">
        <v>718</v>
      </c>
      <c r="L127" s="9"/>
      <c r="M127" s="9"/>
      <c r="N127" s="9" t="s">
        <v>410</v>
      </c>
      <c r="O127" s="9" t="s">
        <v>768</v>
      </c>
      <c r="P127" s="9" t="s">
        <v>953</v>
      </c>
      <c r="Q127" s="9"/>
      <c r="R127" s="9"/>
      <c r="S127" s="9" t="b">
        <v>0</v>
      </c>
      <c r="T127" s="9"/>
      <c r="U127" s="9"/>
      <c r="X127" s="199">
        <v>119</v>
      </c>
      <c r="Y127" s="199" t="s">
        <v>1691</v>
      </c>
      <c r="Z127" s="199"/>
      <c r="AA127" s="199"/>
      <c r="AB127" s="199" t="s">
        <v>1193</v>
      </c>
      <c r="AC127" s="199"/>
      <c r="AE127" s="199">
        <v>123</v>
      </c>
      <c r="AF127" s="199" t="s">
        <v>2084</v>
      </c>
      <c r="AG127" s="199" t="s">
        <v>2085</v>
      </c>
      <c r="AH127" s="199" t="s">
        <v>1846</v>
      </c>
      <c r="AI127" s="199" t="s">
        <v>410</v>
      </c>
      <c r="AJ127" s="199"/>
      <c r="AK127" s="199"/>
      <c r="AL127" s="199"/>
      <c r="AM127" s="199"/>
      <c r="AN127" s="199"/>
      <c r="AP127" s="199">
        <v>123</v>
      </c>
      <c r="AQ127" s="199" t="s">
        <v>2245</v>
      </c>
      <c r="AR127" s="199" t="s">
        <v>1343</v>
      </c>
    </row>
    <row r="128" spans="5:44">
      <c r="E128" s="199">
        <v>124</v>
      </c>
      <c r="F128" s="199" t="s">
        <v>538</v>
      </c>
      <c r="G128" s="199" t="s">
        <v>539</v>
      </c>
      <c r="I128" s="9" t="s">
        <v>955</v>
      </c>
      <c r="J128" s="9" t="s">
        <v>955</v>
      </c>
      <c r="K128" s="9">
        <v>719</v>
      </c>
      <c r="L128" s="9"/>
      <c r="M128" s="9"/>
      <c r="N128" s="9" t="s">
        <v>410</v>
      </c>
      <c r="O128" s="9" t="s">
        <v>720</v>
      </c>
      <c r="P128" s="9" t="s">
        <v>956</v>
      </c>
      <c r="Q128" s="9"/>
      <c r="R128" s="9"/>
      <c r="S128" s="9" t="b">
        <v>0</v>
      </c>
      <c r="T128" s="9"/>
      <c r="U128" s="9" t="s">
        <v>957</v>
      </c>
      <c r="X128" s="199">
        <v>120</v>
      </c>
      <c r="Y128" s="199" t="s">
        <v>712</v>
      </c>
      <c r="Z128" s="199"/>
      <c r="AA128" s="199"/>
      <c r="AB128" s="199" t="s">
        <v>1693</v>
      </c>
      <c r="AC128" s="199"/>
      <c r="AE128" s="199">
        <v>124</v>
      </c>
      <c r="AF128" s="199" t="s">
        <v>2086</v>
      </c>
      <c r="AG128" s="199" t="s">
        <v>2087</v>
      </c>
      <c r="AH128" s="199" t="s">
        <v>1846</v>
      </c>
      <c r="AI128" s="199" t="s">
        <v>410</v>
      </c>
      <c r="AJ128" s="199"/>
      <c r="AK128" s="199"/>
      <c r="AL128" s="199"/>
      <c r="AM128" s="199"/>
      <c r="AN128" s="199"/>
      <c r="AP128" s="199">
        <v>124</v>
      </c>
      <c r="AQ128" s="199" t="s">
        <v>2247</v>
      </c>
      <c r="AR128" s="199" t="s">
        <v>719</v>
      </c>
    </row>
    <row r="129" spans="5:44">
      <c r="E129" s="199">
        <v>125</v>
      </c>
      <c r="F129" s="199" t="s">
        <v>540</v>
      </c>
      <c r="G129" s="199" t="s">
        <v>541</v>
      </c>
      <c r="I129" s="9" t="s">
        <v>958</v>
      </c>
      <c r="J129" s="9" t="s">
        <v>958</v>
      </c>
      <c r="K129" s="9">
        <v>720</v>
      </c>
      <c r="L129" s="9"/>
      <c r="M129" s="9"/>
      <c r="N129" s="9" t="s">
        <v>410</v>
      </c>
      <c r="O129" s="9" t="s">
        <v>689</v>
      </c>
      <c r="P129" s="9" t="s">
        <v>959</v>
      </c>
      <c r="Q129" s="9"/>
      <c r="R129" s="9"/>
      <c r="S129" s="9" t="b">
        <v>0</v>
      </c>
      <c r="T129" s="9"/>
      <c r="U129" s="9"/>
      <c r="X129" s="199">
        <v>121</v>
      </c>
      <c r="Y129" s="199"/>
      <c r="Z129" s="199"/>
      <c r="AA129" s="199"/>
      <c r="AB129" s="199" t="s">
        <v>1211</v>
      </c>
      <c r="AC129" s="199"/>
      <c r="AE129" s="199">
        <v>125</v>
      </c>
      <c r="AF129" s="199" t="s">
        <v>2088</v>
      </c>
      <c r="AG129" s="199" t="s">
        <v>2089</v>
      </c>
      <c r="AH129" s="199" t="s">
        <v>1846</v>
      </c>
      <c r="AI129" s="199" t="s">
        <v>410</v>
      </c>
      <c r="AJ129" s="199"/>
      <c r="AK129" s="199"/>
      <c r="AL129" s="199"/>
      <c r="AM129" s="199"/>
      <c r="AN129" s="199"/>
      <c r="AP129" s="199">
        <v>125</v>
      </c>
      <c r="AQ129" s="199" t="s">
        <v>2255</v>
      </c>
      <c r="AR129" s="199" t="s">
        <v>1447</v>
      </c>
    </row>
    <row r="130" spans="5:44">
      <c r="E130" s="199">
        <v>126</v>
      </c>
      <c r="F130" s="199" t="s">
        <v>542</v>
      </c>
      <c r="G130" s="199" t="s">
        <v>543</v>
      </c>
      <c r="I130" s="9" t="s">
        <v>960</v>
      </c>
      <c r="J130" s="9" t="s">
        <v>960</v>
      </c>
      <c r="K130" s="9">
        <v>721</v>
      </c>
      <c r="L130" s="9"/>
      <c r="M130" s="9"/>
      <c r="N130" s="9" t="s">
        <v>536</v>
      </c>
      <c r="O130" s="9" t="s">
        <v>749</v>
      </c>
      <c r="P130" s="9" t="s">
        <v>959</v>
      </c>
      <c r="Q130" s="9"/>
      <c r="R130" s="9"/>
      <c r="S130" s="9" t="b">
        <v>0</v>
      </c>
      <c r="T130" s="9"/>
      <c r="U130" s="9" t="s">
        <v>961</v>
      </c>
      <c r="X130" s="199">
        <v>122</v>
      </c>
      <c r="Y130" s="199" t="s">
        <v>1694</v>
      </c>
      <c r="Z130" s="199"/>
      <c r="AA130" s="199"/>
      <c r="AB130" s="199" t="s">
        <v>852</v>
      </c>
      <c r="AC130" s="199"/>
      <c r="AE130" s="199">
        <v>126</v>
      </c>
      <c r="AF130" s="199" t="s">
        <v>2090</v>
      </c>
      <c r="AG130" s="199" t="s">
        <v>2091</v>
      </c>
      <c r="AH130" s="199" t="s">
        <v>1846</v>
      </c>
      <c r="AI130" s="199" t="s">
        <v>410</v>
      </c>
      <c r="AJ130" s="199"/>
      <c r="AK130" s="199"/>
      <c r="AL130" s="199"/>
      <c r="AM130" s="199"/>
      <c r="AN130" s="199"/>
      <c r="AP130" s="199">
        <v>126</v>
      </c>
      <c r="AQ130" s="199" t="s">
        <v>2257</v>
      </c>
      <c r="AR130" s="199" t="s">
        <v>1388</v>
      </c>
    </row>
    <row r="131" spans="5:44">
      <c r="E131" s="199">
        <v>127</v>
      </c>
      <c r="F131" s="199" t="s">
        <v>544</v>
      </c>
      <c r="G131" s="199" t="s">
        <v>545</v>
      </c>
      <c r="I131" s="9" t="s">
        <v>962</v>
      </c>
      <c r="J131" s="9" t="s">
        <v>962</v>
      </c>
      <c r="K131" s="9">
        <v>722</v>
      </c>
      <c r="L131" s="9"/>
      <c r="M131" s="9"/>
      <c r="N131" s="9" t="s">
        <v>400</v>
      </c>
      <c r="O131" s="9" t="s">
        <v>749</v>
      </c>
      <c r="P131" s="9" t="s">
        <v>963</v>
      </c>
      <c r="Q131" s="9"/>
      <c r="R131" s="9"/>
      <c r="S131" s="9" t="b">
        <v>0</v>
      </c>
      <c r="T131" s="9"/>
      <c r="U131" s="9" t="s">
        <v>964</v>
      </c>
      <c r="X131" s="199">
        <v>123</v>
      </c>
      <c r="Y131" s="199" t="s">
        <v>1695</v>
      </c>
      <c r="Z131" s="199"/>
      <c r="AA131" s="199"/>
      <c r="AB131" s="199" t="s">
        <v>1364</v>
      </c>
      <c r="AC131" s="199"/>
      <c r="AE131" s="199">
        <v>127</v>
      </c>
      <c r="AF131" s="199" t="s">
        <v>2092</v>
      </c>
      <c r="AG131" s="199" t="s">
        <v>2093</v>
      </c>
      <c r="AH131" s="199" t="s">
        <v>1846</v>
      </c>
      <c r="AI131" s="199" t="s">
        <v>410</v>
      </c>
      <c r="AJ131" s="199"/>
      <c r="AK131" s="199"/>
      <c r="AL131" s="199"/>
      <c r="AM131" s="199"/>
      <c r="AN131" s="199"/>
      <c r="AP131" s="199">
        <v>127</v>
      </c>
      <c r="AQ131" s="199" t="s">
        <v>2257</v>
      </c>
      <c r="AR131" s="199" t="s">
        <v>1403</v>
      </c>
    </row>
    <row r="132" spans="5:44">
      <c r="E132" s="199">
        <v>128</v>
      </c>
      <c r="F132" s="199" t="s">
        <v>546</v>
      </c>
      <c r="G132" s="199" t="s">
        <v>547</v>
      </c>
      <c r="I132" s="9" t="s">
        <v>965</v>
      </c>
      <c r="J132" s="9" t="s">
        <v>965</v>
      </c>
      <c r="K132" s="9">
        <v>723</v>
      </c>
      <c r="L132" s="9"/>
      <c r="M132" s="9"/>
      <c r="N132" s="9" t="s">
        <v>626</v>
      </c>
      <c r="O132" s="9" t="s">
        <v>720</v>
      </c>
      <c r="P132" s="9" t="s">
        <v>966</v>
      </c>
      <c r="Q132" s="9"/>
      <c r="R132" s="9"/>
      <c r="S132" s="9" t="b">
        <v>0</v>
      </c>
      <c r="T132" s="9"/>
      <c r="U132" s="9" t="s">
        <v>967</v>
      </c>
      <c r="X132" s="199">
        <v>124</v>
      </c>
      <c r="Y132" s="199" t="s">
        <v>1696</v>
      </c>
      <c r="Z132" s="199"/>
      <c r="AA132" s="199"/>
      <c r="AB132" s="199" t="s">
        <v>1372</v>
      </c>
      <c r="AC132" s="199"/>
      <c r="AE132" s="199">
        <v>128</v>
      </c>
      <c r="AF132" s="199" t="s">
        <v>2094</v>
      </c>
      <c r="AG132" s="199" t="s">
        <v>2095</v>
      </c>
      <c r="AH132" s="199" t="s">
        <v>1846</v>
      </c>
      <c r="AI132" s="199" t="s">
        <v>410</v>
      </c>
      <c r="AJ132" s="199"/>
      <c r="AK132" s="199"/>
      <c r="AL132" s="199"/>
      <c r="AM132" s="199"/>
      <c r="AN132" s="199"/>
      <c r="AP132" s="199">
        <v>128</v>
      </c>
      <c r="AQ132" s="199" t="s">
        <v>2259</v>
      </c>
      <c r="AR132" s="199" t="s">
        <v>1345</v>
      </c>
    </row>
    <row r="133" spans="5:44">
      <c r="E133" s="199">
        <v>129</v>
      </c>
      <c r="F133" s="199" t="s">
        <v>548</v>
      </c>
      <c r="G133" s="199" t="s">
        <v>549</v>
      </c>
      <c r="I133" s="9" t="s">
        <v>968</v>
      </c>
      <c r="J133" s="9" t="s">
        <v>968</v>
      </c>
      <c r="K133" s="9">
        <v>724</v>
      </c>
      <c r="L133" s="9"/>
      <c r="M133" s="9"/>
      <c r="N133" s="9" t="s">
        <v>626</v>
      </c>
      <c r="O133" s="9" t="s">
        <v>720</v>
      </c>
      <c r="P133" s="9" t="s">
        <v>969</v>
      </c>
      <c r="Q133" s="9"/>
      <c r="R133" s="9"/>
      <c r="S133" s="9" t="b">
        <v>0</v>
      </c>
      <c r="T133" s="9"/>
      <c r="U133" s="9" t="s">
        <v>970</v>
      </c>
      <c r="X133" s="199">
        <v>125</v>
      </c>
      <c r="Y133" s="199" t="s">
        <v>1697</v>
      </c>
      <c r="Z133" s="199"/>
      <c r="AA133" s="199"/>
      <c r="AB133" s="199" t="s">
        <v>1698</v>
      </c>
      <c r="AC133" s="199"/>
      <c r="AE133" s="199">
        <v>129</v>
      </c>
      <c r="AF133" s="199" t="s">
        <v>2096</v>
      </c>
      <c r="AG133" s="199" t="s">
        <v>2097</v>
      </c>
      <c r="AH133" s="199" t="s">
        <v>1846</v>
      </c>
      <c r="AI133" s="199" t="s">
        <v>410</v>
      </c>
      <c r="AJ133" s="199"/>
      <c r="AK133" s="199"/>
      <c r="AL133" s="199"/>
      <c r="AM133" s="199"/>
      <c r="AN133" s="199"/>
      <c r="AP133" s="199">
        <v>129</v>
      </c>
      <c r="AQ133" s="199" t="s">
        <v>2265</v>
      </c>
      <c r="AR133" s="199" t="s">
        <v>882</v>
      </c>
    </row>
    <row r="134" spans="5:44">
      <c r="E134" s="199">
        <v>130</v>
      </c>
      <c r="F134" s="199" t="s">
        <v>550</v>
      </c>
      <c r="G134" s="199" t="s">
        <v>551</v>
      </c>
      <c r="I134" s="9" t="s">
        <v>971</v>
      </c>
      <c r="J134" s="9" t="s">
        <v>971</v>
      </c>
      <c r="K134" s="9">
        <v>725</v>
      </c>
      <c r="L134" s="9"/>
      <c r="M134" s="9"/>
      <c r="N134" s="9" t="s">
        <v>410</v>
      </c>
      <c r="O134" s="9" t="s">
        <v>749</v>
      </c>
      <c r="P134" s="9" t="s">
        <v>972</v>
      </c>
      <c r="Q134" s="9"/>
      <c r="R134" s="9"/>
      <c r="S134" s="9" t="b">
        <v>0</v>
      </c>
      <c r="T134" s="9"/>
      <c r="U134" s="9" t="s">
        <v>973</v>
      </c>
      <c r="X134" s="199">
        <v>126</v>
      </c>
      <c r="Y134" s="199" t="s">
        <v>1699</v>
      </c>
      <c r="Z134" s="199"/>
      <c r="AA134" s="199"/>
      <c r="AB134" s="199" t="s">
        <v>1169</v>
      </c>
      <c r="AC134" s="199"/>
      <c r="AE134" s="199">
        <v>130</v>
      </c>
      <c r="AF134" s="199" t="s">
        <v>2098</v>
      </c>
      <c r="AG134" s="199" t="s">
        <v>2099</v>
      </c>
      <c r="AH134" s="199" t="s">
        <v>1846</v>
      </c>
      <c r="AI134" s="199" t="s">
        <v>410</v>
      </c>
      <c r="AJ134" s="199"/>
      <c r="AK134" s="199"/>
      <c r="AL134" s="199"/>
      <c r="AM134" s="199"/>
      <c r="AN134" s="199"/>
      <c r="AP134" s="199">
        <v>130</v>
      </c>
      <c r="AQ134" s="199" t="s">
        <v>2270</v>
      </c>
      <c r="AR134" s="199" t="s">
        <v>944</v>
      </c>
    </row>
    <row r="135" spans="5:44">
      <c r="E135" s="199">
        <v>131</v>
      </c>
      <c r="F135" s="199" t="s">
        <v>552</v>
      </c>
      <c r="G135" s="199" t="s">
        <v>553</v>
      </c>
      <c r="I135" s="9" t="s">
        <v>974</v>
      </c>
      <c r="J135" s="9" t="s">
        <v>974</v>
      </c>
      <c r="K135" s="9">
        <v>726</v>
      </c>
      <c r="L135" s="9"/>
      <c r="M135" s="9"/>
      <c r="N135" s="9" t="s">
        <v>410</v>
      </c>
      <c r="O135" s="9" t="s">
        <v>749</v>
      </c>
      <c r="P135" s="9" t="s">
        <v>975</v>
      </c>
      <c r="Q135" s="9"/>
      <c r="R135" s="9"/>
      <c r="S135" s="9" t="b">
        <v>0</v>
      </c>
      <c r="T135" s="9"/>
      <c r="U135" s="9" t="s">
        <v>976</v>
      </c>
      <c r="X135" s="199">
        <v>127</v>
      </c>
      <c r="Y135" s="199" t="s">
        <v>1696</v>
      </c>
      <c r="Z135" s="199"/>
      <c r="AA135" s="199"/>
      <c r="AB135" s="199" t="s">
        <v>1407</v>
      </c>
      <c r="AC135" s="199"/>
      <c r="AE135" s="199">
        <v>131</v>
      </c>
      <c r="AF135" s="199" t="s">
        <v>2100</v>
      </c>
      <c r="AG135" s="199" t="s">
        <v>2101</v>
      </c>
      <c r="AH135" s="199" t="s">
        <v>1846</v>
      </c>
      <c r="AI135" s="199" t="s">
        <v>410</v>
      </c>
      <c r="AJ135" s="199"/>
      <c r="AK135" s="199"/>
      <c r="AL135" s="199"/>
      <c r="AM135" s="199"/>
      <c r="AN135" s="199"/>
      <c r="AP135" s="199">
        <v>131</v>
      </c>
      <c r="AQ135" s="199" t="s">
        <v>2274</v>
      </c>
      <c r="AR135" s="199" t="s">
        <v>756</v>
      </c>
    </row>
    <row r="136" spans="5:44">
      <c r="E136" s="199">
        <v>132</v>
      </c>
      <c r="F136" s="199" t="s">
        <v>554</v>
      </c>
      <c r="G136" s="199" t="s">
        <v>555</v>
      </c>
      <c r="I136" s="9" t="s">
        <v>977</v>
      </c>
      <c r="J136" s="9" t="s">
        <v>977</v>
      </c>
      <c r="K136" s="9">
        <v>727</v>
      </c>
      <c r="L136" s="9"/>
      <c r="M136" s="9"/>
      <c r="N136" s="9" t="s">
        <v>410</v>
      </c>
      <c r="O136" s="9" t="s">
        <v>724</v>
      </c>
      <c r="P136" s="9" t="s">
        <v>978</v>
      </c>
      <c r="Q136" s="9"/>
      <c r="R136" s="9"/>
      <c r="S136" s="9" t="b">
        <v>0</v>
      </c>
      <c r="T136" s="9"/>
      <c r="U136" s="9" t="s">
        <v>979</v>
      </c>
      <c r="X136" s="199">
        <v>128</v>
      </c>
      <c r="Y136" s="199" t="s">
        <v>1700</v>
      </c>
      <c r="Z136" s="199"/>
      <c r="AA136" s="199"/>
      <c r="AB136" s="199" t="s">
        <v>1701</v>
      </c>
      <c r="AC136" s="199"/>
      <c r="AE136" s="199">
        <v>132</v>
      </c>
      <c r="AF136" s="199" t="s">
        <v>2102</v>
      </c>
      <c r="AG136" s="199" t="s">
        <v>2103</v>
      </c>
      <c r="AH136" s="199" t="s">
        <v>1846</v>
      </c>
      <c r="AI136" s="199" t="s">
        <v>410</v>
      </c>
      <c r="AJ136" s="199"/>
      <c r="AK136" s="199"/>
      <c r="AL136" s="199"/>
      <c r="AM136" s="199"/>
      <c r="AN136" s="199"/>
      <c r="AP136" s="199">
        <v>132</v>
      </c>
      <c r="AQ136" s="199" t="s">
        <v>2274</v>
      </c>
      <c r="AR136" s="199" t="s">
        <v>1351</v>
      </c>
    </row>
    <row r="137" spans="5:44">
      <c r="E137" s="199">
        <v>133</v>
      </c>
      <c r="F137" s="199" t="s">
        <v>556</v>
      </c>
      <c r="G137" s="199" t="s">
        <v>557</v>
      </c>
      <c r="I137" s="9" t="s">
        <v>980</v>
      </c>
      <c r="J137" s="9" t="s">
        <v>980</v>
      </c>
      <c r="K137" s="9">
        <v>728</v>
      </c>
      <c r="L137" s="9"/>
      <c r="M137" s="9"/>
      <c r="N137" s="9" t="s">
        <v>410</v>
      </c>
      <c r="O137" s="9" t="s">
        <v>724</v>
      </c>
      <c r="P137" s="9" t="s">
        <v>981</v>
      </c>
      <c r="Q137" s="9"/>
      <c r="R137" s="9"/>
      <c r="S137" s="9" t="b">
        <v>0</v>
      </c>
      <c r="T137" s="9"/>
      <c r="U137" s="9"/>
      <c r="X137" s="199">
        <v>129</v>
      </c>
      <c r="Y137" s="199" t="s">
        <v>1702</v>
      </c>
      <c r="Z137" s="199"/>
      <c r="AA137" s="199"/>
      <c r="AB137" s="199" t="s">
        <v>1703</v>
      </c>
      <c r="AC137" s="199"/>
      <c r="AE137" s="199">
        <v>133</v>
      </c>
      <c r="AF137" s="199" t="s">
        <v>2104</v>
      </c>
      <c r="AG137" s="199" t="s">
        <v>2105</v>
      </c>
      <c r="AH137" s="199" t="s">
        <v>1846</v>
      </c>
      <c r="AI137" s="199" t="s">
        <v>410</v>
      </c>
      <c r="AJ137" s="199"/>
      <c r="AK137" s="199"/>
      <c r="AL137" s="199"/>
      <c r="AM137" s="199"/>
      <c r="AN137" s="199"/>
      <c r="AP137" s="199">
        <v>133</v>
      </c>
      <c r="AQ137" s="199" t="s">
        <v>2284</v>
      </c>
      <c r="AR137" s="199" t="s">
        <v>1485</v>
      </c>
    </row>
    <row r="138" spans="5:44">
      <c r="E138" s="199">
        <v>134</v>
      </c>
      <c r="F138" s="199" t="s">
        <v>558</v>
      </c>
      <c r="G138" s="199" t="s">
        <v>559</v>
      </c>
      <c r="I138" s="9" t="s">
        <v>982</v>
      </c>
      <c r="J138" s="9" t="s">
        <v>982</v>
      </c>
      <c r="K138" s="9">
        <v>729</v>
      </c>
      <c r="L138" s="9"/>
      <c r="M138" s="9"/>
      <c r="N138" s="9" t="s">
        <v>400</v>
      </c>
      <c r="O138" s="9" t="s">
        <v>749</v>
      </c>
      <c r="P138" s="9" t="s">
        <v>983</v>
      </c>
      <c r="Q138" s="9"/>
      <c r="R138" s="9"/>
      <c r="S138" s="9" t="b">
        <v>0</v>
      </c>
      <c r="T138" s="9"/>
      <c r="U138" s="9" t="s">
        <v>984</v>
      </c>
      <c r="X138" s="199">
        <v>130</v>
      </c>
      <c r="Y138" s="199" t="s">
        <v>1704</v>
      </c>
      <c r="Z138" s="199"/>
      <c r="AA138" s="199"/>
      <c r="AB138" s="199" t="s">
        <v>1705</v>
      </c>
      <c r="AC138" s="199"/>
      <c r="AE138" s="199">
        <v>134</v>
      </c>
      <c r="AF138" s="199" t="s">
        <v>2106</v>
      </c>
      <c r="AG138" s="199" t="s">
        <v>2107</v>
      </c>
      <c r="AH138" s="199" t="s">
        <v>1846</v>
      </c>
      <c r="AI138" s="199" t="s">
        <v>410</v>
      </c>
      <c r="AJ138" s="199"/>
      <c r="AK138" s="199"/>
      <c r="AL138" s="199"/>
      <c r="AM138" s="199"/>
      <c r="AN138" s="199"/>
      <c r="AP138" s="199">
        <v>134</v>
      </c>
      <c r="AQ138" s="199" t="s">
        <v>2288</v>
      </c>
      <c r="AR138" s="199" t="s">
        <v>1438</v>
      </c>
    </row>
    <row r="139" spans="5:44">
      <c r="E139" s="199">
        <v>135</v>
      </c>
      <c r="F139" s="199" t="s">
        <v>560</v>
      </c>
      <c r="G139" s="199" t="s">
        <v>561</v>
      </c>
      <c r="I139" s="9" t="s">
        <v>985</v>
      </c>
      <c r="J139" s="9" t="s">
        <v>985</v>
      </c>
      <c r="K139" s="9">
        <v>730</v>
      </c>
      <c r="L139" s="9"/>
      <c r="M139" s="9"/>
      <c r="N139" s="9" t="s">
        <v>400</v>
      </c>
      <c r="O139" s="9" t="s">
        <v>749</v>
      </c>
      <c r="P139" s="9" t="s">
        <v>986</v>
      </c>
      <c r="Q139" s="9"/>
      <c r="R139" s="9"/>
      <c r="S139" s="9" t="b">
        <v>0</v>
      </c>
      <c r="T139" s="9"/>
      <c r="U139" s="9" t="s">
        <v>987</v>
      </c>
      <c r="X139" s="199">
        <v>131</v>
      </c>
      <c r="Y139" s="199" t="s">
        <v>1706</v>
      </c>
      <c r="Z139" s="199"/>
      <c r="AA139" s="199"/>
      <c r="AB139" s="199" t="s">
        <v>1707</v>
      </c>
      <c r="AC139" s="199"/>
      <c r="AE139" s="199">
        <v>135</v>
      </c>
      <c r="AF139" s="199" t="s">
        <v>2108</v>
      </c>
      <c r="AG139" s="199" t="s">
        <v>2109</v>
      </c>
      <c r="AH139" s="199" t="s">
        <v>1846</v>
      </c>
      <c r="AI139" s="199" t="s">
        <v>410</v>
      </c>
      <c r="AJ139" s="199"/>
      <c r="AK139" s="199"/>
      <c r="AL139" s="199"/>
      <c r="AM139" s="199"/>
      <c r="AN139" s="199"/>
      <c r="AP139" s="199">
        <v>135</v>
      </c>
      <c r="AQ139" s="199" t="s">
        <v>2292</v>
      </c>
      <c r="AR139" s="199" t="s">
        <v>1131</v>
      </c>
    </row>
    <row r="140" spans="5:44">
      <c r="E140" s="199">
        <v>136</v>
      </c>
      <c r="F140" s="199" t="s">
        <v>562</v>
      </c>
      <c r="G140" s="199" t="s">
        <v>563</v>
      </c>
      <c r="I140" s="9" t="s">
        <v>988</v>
      </c>
      <c r="J140" s="9" t="s">
        <v>988</v>
      </c>
      <c r="K140" s="9">
        <v>731</v>
      </c>
      <c r="L140" s="9"/>
      <c r="M140" s="9"/>
      <c r="N140" s="9" t="s">
        <v>410</v>
      </c>
      <c r="O140" s="9" t="s">
        <v>720</v>
      </c>
      <c r="P140" s="9" t="s">
        <v>989</v>
      </c>
      <c r="Q140" s="9"/>
      <c r="R140" s="9"/>
      <c r="S140" s="9" t="b">
        <v>0</v>
      </c>
      <c r="T140" s="9"/>
      <c r="U140" s="9"/>
      <c r="X140" s="199">
        <v>132</v>
      </c>
      <c r="Y140" s="199" t="s">
        <v>1708</v>
      </c>
      <c r="Z140" s="199"/>
      <c r="AA140" s="199"/>
      <c r="AB140" s="199" t="s">
        <v>1709</v>
      </c>
      <c r="AC140" s="199"/>
      <c r="AE140" s="199">
        <v>136</v>
      </c>
      <c r="AF140" s="199" t="s">
        <v>2110</v>
      </c>
      <c r="AG140" s="199" t="s">
        <v>2111</v>
      </c>
      <c r="AH140" s="199" t="s">
        <v>1846</v>
      </c>
      <c r="AI140" s="199" t="s">
        <v>410</v>
      </c>
      <c r="AJ140" s="199"/>
      <c r="AK140" s="199"/>
      <c r="AL140" s="199"/>
      <c r="AM140" s="199"/>
      <c r="AN140" s="199"/>
      <c r="AP140" s="199">
        <v>136</v>
      </c>
      <c r="AQ140" s="199" t="s">
        <v>2294</v>
      </c>
      <c r="AR140" s="199" t="s">
        <v>1517</v>
      </c>
    </row>
    <row r="141" spans="5:44">
      <c r="E141" s="199">
        <v>137</v>
      </c>
      <c r="F141" s="199" t="s">
        <v>564</v>
      </c>
      <c r="G141" s="199" t="s">
        <v>565</v>
      </c>
      <c r="I141" s="9" t="s">
        <v>990</v>
      </c>
      <c r="J141" s="9" t="s">
        <v>990</v>
      </c>
      <c r="K141" s="9">
        <v>732</v>
      </c>
      <c r="L141" s="9"/>
      <c r="M141" s="9"/>
      <c r="N141" s="9" t="s">
        <v>410</v>
      </c>
      <c r="O141" s="9" t="s">
        <v>749</v>
      </c>
      <c r="P141" s="9" t="s">
        <v>991</v>
      </c>
      <c r="Q141" s="9"/>
      <c r="R141" s="9"/>
      <c r="S141" s="9" t="b">
        <v>0</v>
      </c>
      <c r="T141" s="9"/>
      <c r="U141" s="9"/>
      <c r="X141" s="199">
        <v>133</v>
      </c>
      <c r="Y141" s="199" t="s">
        <v>1690</v>
      </c>
      <c r="Z141" s="199"/>
      <c r="AA141" s="199"/>
      <c r="AB141" s="199" t="s">
        <v>1379</v>
      </c>
      <c r="AC141" s="199"/>
      <c r="AE141" s="199">
        <v>137</v>
      </c>
      <c r="AF141" s="199" t="s">
        <v>2112</v>
      </c>
      <c r="AG141" s="199" t="s">
        <v>2113</v>
      </c>
      <c r="AH141" s="199" t="s">
        <v>1846</v>
      </c>
      <c r="AI141" s="199" t="s">
        <v>410</v>
      </c>
      <c r="AJ141" s="199"/>
      <c r="AK141" s="199"/>
      <c r="AL141" s="199"/>
      <c r="AM141" s="199"/>
      <c r="AN141" s="199"/>
      <c r="AP141" s="199">
        <v>137</v>
      </c>
      <c r="AQ141" s="199" t="s">
        <v>2296</v>
      </c>
      <c r="AR141" s="199" t="s">
        <v>1178</v>
      </c>
    </row>
    <row r="142" spans="5:44">
      <c r="E142" s="199">
        <v>138</v>
      </c>
      <c r="F142" s="199" t="s">
        <v>566</v>
      </c>
      <c r="G142" s="199" t="s">
        <v>567</v>
      </c>
      <c r="I142" s="9" t="s">
        <v>992</v>
      </c>
      <c r="J142" s="9" t="s">
        <v>992</v>
      </c>
      <c r="K142" s="9">
        <v>733</v>
      </c>
      <c r="L142" s="9"/>
      <c r="M142" s="9"/>
      <c r="N142" s="9" t="s">
        <v>410</v>
      </c>
      <c r="O142" s="9" t="s">
        <v>689</v>
      </c>
      <c r="P142" s="9" t="s">
        <v>953</v>
      </c>
      <c r="Q142" s="9"/>
      <c r="R142" s="9"/>
      <c r="S142" s="9" t="b">
        <v>0</v>
      </c>
      <c r="T142" s="9"/>
      <c r="U142" s="9"/>
      <c r="X142" s="199">
        <v>134</v>
      </c>
      <c r="Y142" s="199" t="s">
        <v>1710</v>
      </c>
      <c r="Z142" s="199"/>
      <c r="AA142" s="199"/>
      <c r="AB142" s="199" t="s">
        <v>1206</v>
      </c>
      <c r="AC142" s="199"/>
      <c r="AE142" s="199">
        <v>138</v>
      </c>
      <c r="AF142" s="199" t="s">
        <v>2114</v>
      </c>
      <c r="AG142" s="199" t="s">
        <v>2115</v>
      </c>
      <c r="AH142" s="199" t="s">
        <v>1846</v>
      </c>
      <c r="AI142" s="199" t="s">
        <v>410</v>
      </c>
      <c r="AJ142" s="199"/>
      <c r="AK142" s="199"/>
      <c r="AL142" s="199"/>
      <c r="AM142" s="199"/>
      <c r="AN142" s="199"/>
      <c r="AP142" s="199">
        <v>138</v>
      </c>
      <c r="AQ142" s="199" t="s">
        <v>2298</v>
      </c>
      <c r="AR142" s="199" t="s">
        <v>1384</v>
      </c>
    </row>
    <row r="143" spans="5:44">
      <c r="E143" s="199">
        <v>139</v>
      </c>
      <c r="F143" s="199" t="s">
        <v>568</v>
      </c>
      <c r="G143" s="199" t="s">
        <v>569</v>
      </c>
      <c r="I143" s="9" t="s">
        <v>993</v>
      </c>
      <c r="J143" s="9" t="s">
        <v>993</v>
      </c>
      <c r="K143" s="9">
        <v>734</v>
      </c>
      <c r="L143" s="9"/>
      <c r="M143" s="9"/>
      <c r="N143" s="9" t="s">
        <v>410</v>
      </c>
      <c r="O143" s="9" t="s">
        <v>689</v>
      </c>
      <c r="P143" s="9" t="s">
        <v>994</v>
      </c>
      <c r="Q143" s="9"/>
      <c r="R143" s="9"/>
      <c r="S143" s="9" t="b">
        <v>0</v>
      </c>
      <c r="T143" s="9"/>
      <c r="U143" s="9"/>
      <c r="X143" s="199">
        <v>135</v>
      </c>
      <c r="Y143" s="199" t="s">
        <v>1711</v>
      </c>
      <c r="Z143" s="199"/>
      <c r="AA143" s="199"/>
      <c r="AB143" s="199" t="s">
        <v>1012</v>
      </c>
      <c r="AC143" s="199"/>
      <c r="AE143" s="199">
        <v>139</v>
      </c>
      <c r="AF143" s="199" t="s">
        <v>2116</v>
      </c>
      <c r="AG143" s="199" t="s">
        <v>2117</v>
      </c>
      <c r="AH143" s="199" t="s">
        <v>1846</v>
      </c>
      <c r="AI143" s="199" t="s">
        <v>410</v>
      </c>
      <c r="AJ143" s="199"/>
      <c r="AK143" s="199"/>
      <c r="AL143" s="199"/>
      <c r="AM143" s="199"/>
      <c r="AN143" s="199"/>
      <c r="AP143" s="199">
        <v>139</v>
      </c>
      <c r="AQ143" s="199" t="s">
        <v>2298</v>
      </c>
      <c r="AR143" s="199" t="s">
        <v>1401</v>
      </c>
    </row>
    <row r="144" spans="5:44">
      <c r="E144" s="199">
        <v>140</v>
      </c>
      <c r="F144" s="199" t="s">
        <v>570</v>
      </c>
      <c r="G144" s="199" t="s">
        <v>571</v>
      </c>
      <c r="I144" s="9" t="s">
        <v>995</v>
      </c>
      <c r="J144" s="9" t="s">
        <v>995</v>
      </c>
      <c r="K144" s="9">
        <v>735</v>
      </c>
      <c r="L144" s="9"/>
      <c r="M144" s="9"/>
      <c r="N144" s="9" t="s">
        <v>410</v>
      </c>
      <c r="O144" s="9" t="s">
        <v>689</v>
      </c>
      <c r="P144" s="9" t="s">
        <v>994</v>
      </c>
      <c r="Q144" s="9"/>
      <c r="R144" s="9"/>
      <c r="S144" s="9" t="b">
        <v>0</v>
      </c>
      <c r="T144" s="9"/>
      <c r="U144" s="9"/>
      <c r="X144" s="199">
        <v>136</v>
      </c>
      <c r="Y144" s="199" t="s">
        <v>1712</v>
      </c>
      <c r="Z144" s="199"/>
      <c r="AA144" s="199"/>
      <c r="AB144" s="199" t="s">
        <v>787</v>
      </c>
      <c r="AC144" s="199"/>
      <c r="AE144" s="199">
        <v>140</v>
      </c>
      <c r="AF144" s="199" t="s">
        <v>2118</v>
      </c>
      <c r="AG144" s="199" t="s">
        <v>2119</v>
      </c>
      <c r="AH144" s="199" t="s">
        <v>1846</v>
      </c>
      <c r="AI144" s="199" t="s">
        <v>410</v>
      </c>
      <c r="AJ144" s="199"/>
      <c r="AK144" s="199"/>
      <c r="AL144" s="199"/>
      <c r="AM144" s="199"/>
      <c r="AN144" s="199"/>
      <c r="AP144" s="199">
        <v>140</v>
      </c>
      <c r="AQ144" s="199" t="s">
        <v>2300</v>
      </c>
      <c r="AR144" s="199" t="s">
        <v>1386</v>
      </c>
    </row>
    <row r="145" spans="5:44">
      <c r="E145" s="199">
        <v>141</v>
      </c>
      <c r="F145" s="199" t="s">
        <v>572</v>
      </c>
      <c r="G145" s="199" t="s">
        <v>573</v>
      </c>
      <c r="I145" s="9" t="s">
        <v>996</v>
      </c>
      <c r="J145" s="9" t="s">
        <v>996</v>
      </c>
      <c r="K145" s="9">
        <v>736</v>
      </c>
      <c r="L145" s="9"/>
      <c r="M145" s="9"/>
      <c r="N145" s="9" t="s">
        <v>410</v>
      </c>
      <c r="O145" s="9" t="s">
        <v>689</v>
      </c>
      <c r="P145" s="9" t="s">
        <v>994</v>
      </c>
      <c r="Q145" s="9"/>
      <c r="R145" s="9"/>
      <c r="S145" s="9" t="b">
        <v>0</v>
      </c>
      <c r="T145" s="9"/>
      <c r="U145" s="9"/>
      <c r="X145" s="199">
        <v>137</v>
      </c>
      <c r="Y145" s="199" t="s">
        <v>1713</v>
      </c>
      <c r="Z145" s="199"/>
      <c r="AA145" s="199"/>
      <c r="AB145" s="199" t="s">
        <v>1286</v>
      </c>
      <c r="AC145" s="199"/>
      <c r="AE145" s="199">
        <v>141</v>
      </c>
      <c r="AF145" s="199" t="s">
        <v>2120</v>
      </c>
      <c r="AG145" s="199" t="s">
        <v>2121</v>
      </c>
      <c r="AH145" s="199" t="s">
        <v>1846</v>
      </c>
      <c r="AI145" s="199" t="s">
        <v>410</v>
      </c>
      <c r="AJ145" s="199"/>
      <c r="AK145" s="199"/>
      <c r="AL145" s="199"/>
      <c r="AM145" s="199"/>
      <c r="AN145" s="199"/>
      <c r="AP145" s="199">
        <v>141</v>
      </c>
      <c r="AQ145" s="199" t="s">
        <v>2300</v>
      </c>
      <c r="AR145" s="199" t="s">
        <v>1402</v>
      </c>
    </row>
    <row r="146" spans="5:44">
      <c r="E146" s="199">
        <v>142</v>
      </c>
      <c r="F146" s="199" t="s">
        <v>574</v>
      </c>
      <c r="G146" s="199" t="s">
        <v>575</v>
      </c>
      <c r="I146" s="9" t="s">
        <v>997</v>
      </c>
      <c r="J146" s="9" t="s">
        <v>997</v>
      </c>
      <c r="K146" s="9">
        <v>737</v>
      </c>
      <c r="L146" s="9"/>
      <c r="M146" s="9"/>
      <c r="N146" s="9" t="s">
        <v>410</v>
      </c>
      <c r="O146" s="9" t="s">
        <v>914</v>
      </c>
      <c r="P146" s="9" t="s">
        <v>991</v>
      </c>
      <c r="Q146" s="9"/>
      <c r="R146" s="9"/>
      <c r="S146" s="9" t="b">
        <v>0</v>
      </c>
      <c r="T146" s="9"/>
      <c r="U146" s="9"/>
      <c r="X146" s="199">
        <v>138</v>
      </c>
      <c r="Y146" s="199" t="s">
        <v>1714</v>
      </c>
      <c r="Z146" s="199"/>
      <c r="AA146" s="199"/>
      <c r="AB146" s="199" t="s">
        <v>1238</v>
      </c>
      <c r="AC146" s="199"/>
      <c r="AE146" s="199">
        <v>142</v>
      </c>
      <c r="AF146" s="199" t="s">
        <v>2122</v>
      </c>
      <c r="AG146" s="199" t="s">
        <v>2123</v>
      </c>
      <c r="AH146" s="199" t="s">
        <v>1846</v>
      </c>
      <c r="AI146" s="199" t="s">
        <v>410</v>
      </c>
      <c r="AJ146" s="199"/>
      <c r="AK146" s="199"/>
      <c r="AL146" s="199"/>
      <c r="AM146" s="199"/>
      <c r="AN146" s="199"/>
      <c r="AP146" s="199">
        <v>142</v>
      </c>
      <c r="AQ146" s="199" t="s">
        <v>2302</v>
      </c>
      <c r="AR146" s="199" t="s">
        <v>1526</v>
      </c>
    </row>
    <row r="147" spans="5:44">
      <c r="E147" s="199">
        <v>143</v>
      </c>
      <c r="F147" s="199" t="s">
        <v>576</v>
      </c>
      <c r="G147" s="199" t="s">
        <v>577</v>
      </c>
      <c r="I147" s="9" t="s">
        <v>998</v>
      </c>
      <c r="J147" s="9" t="s">
        <v>998</v>
      </c>
      <c r="K147" s="9">
        <v>738</v>
      </c>
      <c r="L147" s="9"/>
      <c r="M147" s="9"/>
      <c r="N147" s="9" t="s">
        <v>410</v>
      </c>
      <c r="O147" s="9" t="s">
        <v>689</v>
      </c>
      <c r="P147" s="9" t="s">
        <v>999</v>
      </c>
      <c r="Q147" s="9"/>
      <c r="R147" s="9"/>
      <c r="S147" s="9" t="b">
        <v>0</v>
      </c>
      <c r="T147" s="9"/>
      <c r="U147" s="9"/>
      <c r="X147" s="199">
        <v>139</v>
      </c>
      <c r="Y147" s="199" t="s">
        <v>1715</v>
      </c>
      <c r="Z147" s="199"/>
      <c r="AA147" s="199"/>
      <c r="AB147" s="199" t="s">
        <v>1241</v>
      </c>
      <c r="AC147" s="199"/>
      <c r="AE147" s="199">
        <v>143</v>
      </c>
      <c r="AF147" s="199" t="s">
        <v>2124</v>
      </c>
      <c r="AG147" s="199" t="s">
        <v>2125</v>
      </c>
      <c r="AH147" s="199" t="s">
        <v>1846</v>
      </c>
      <c r="AI147" s="199" t="s">
        <v>410</v>
      </c>
      <c r="AJ147" s="199"/>
      <c r="AK147" s="199"/>
      <c r="AL147" s="199"/>
      <c r="AM147" s="199"/>
      <c r="AN147" s="199"/>
      <c r="AP147" s="199">
        <v>143</v>
      </c>
      <c r="AQ147" s="199" t="s">
        <v>2309</v>
      </c>
      <c r="AR147" s="199" t="s">
        <v>874</v>
      </c>
    </row>
    <row r="148" spans="5:44">
      <c r="E148" s="199">
        <v>144</v>
      </c>
      <c r="F148" s="199" t="s">
        <v>578</v>
      </c>
      <c r="G148" s="199" t="s">
        <v>579</v>
      </c>
      <c r="I148" s="9" t="s">
        <v>1000</v>
      </c>
      <c r="J148" s="9" t="s">
        <v>1000</v>
      </c>
      <c r="K148" s="9">
        <v>739</v>
      </c>
      <c r="L148" s="9"/>
      <c r="M148" s="9"/>
      <c r="N148" s="9" t="s">
        <v>410</v>
      </c>
      <c r="O148" s="9" t="s">
        <v>689</v>
      </c>
      <c r="P148" s="9" t="s">
        <v>1001</v>
      </c>
      <c r="Q148" s="9"/>
      <c r="R148" s="9"/>
      <c r="S148" s="9" t="b">
        <v>0</v>
      </c>
      <c r="T148" s="9"/>
      <c r="U148" s="9"/>
      <c r="X148" s="199">
        <v>140</v>
      </c>
      <c r="Y148" s="199" t="s">
        <v>1680</v>
      </c>
      <c r="Z148" s="199"/>
      <c r="AA148" s="199"/>
      <c r="AB148" s="199" t="s">
        <v>1339</v>
      </c>
      <c r="AC148" s="199"/>
      <c r="AE148" s="199">
        <v>144</v>
      </c>
      <c r="AF148" s="199" t="s">
        <v>2126</v>
      </c>
      <c r="AG148" s="199" t="s">
        <v>2127</v>
      </c>
      <c r="AH148" s="199" t="s">
        <v>1846</v>
      </c>
      <c r="AI148" s="199" t="s">
        <v>410</v>
      </c>
      <c r="AJ148" s="199"/>
      <c r="AK148" s="199"/>
      <c r="AL148" s="199"/>
      <c r="AM148" s="199"/>
      <c r="AN148" s="199"/>
      <c r="AP148" s="199">
        <v>144</v>
      </c>
      <c r="AQ148" s="199" t="s">
        <v>2309</v>
      </c>
      <c r="AR148" s="199" t="s">
        <v>1170</v>
      </c>
    </row>
    <row r="149" spans="5:44">
      <c r="E149" s="199">
        <v>145</v>
      </c>
      <c r="F149" s="199" t="s">
        <v>580</v>
      </c>
      <c r="G149" s="199" t="s">
        <v>581</v>
      </c>
      <c r="I149" s="9" t="s">
        <v>1002</v>
      </c>
      <c r="J149" s="9" t="s">
        <v>1002</v>
      </c>
      <c r="K149" s="9">
        <v>740</v>
      </c>
      <c r="L149" s="9"/>
      <c r="M149" s="9"/>
      <c r="N149" s="9" t="s">
        <v>410</v>
      </c>
      <c r="O149" s="9" t="s">
        <v>778</v>
      </c>
      <c r="P149" s="9" t="s">
        <v>1003</v>
      </c>
      <c r="Q149" s="9"/>
      <c r="R149" s="9"/>
      <c r="S149" s="9" t="b">
        <v>0</v>
      </c>
      <c r="T149" s="9"/>
      <c r="U149" s="9"/>
      <c r="X149" s="199">
        <v>141</v>
      </c>
      <c r="Y149" s="199" t="s">
        <v>1716</v>
      </c>
      <c r="Z149" s="199"/>
      <c r="AA149" s="199"/>
      <c r="AB149" s="199" t="s">
        <v>973</v>
      </c>
      <c r="AC149" s="199"/>
      <c r="AE149" s="199">
        <v>145</v>
      </c>
      <c r="AF149" s="199" t="s">
        <v>2128</v>
      </c>
      <c r="AG149" s="199"/>
      <c r="AH149" s="199" t="s">
        <v>1846</v>
      </c>
      <c r="AI149" s="199" t="s">
        <v>410</v>
      </c>
      <c r="AJ149" s="199"/>
      <c r="AK149" s="199"/>
      <c r="AL149" s="199"/>
      <c r="AM149" s="199"/>
      <c r="AN149" s="199"/>
      <c r="AP149" s="199">
        <v>145</v>
      </c>
      <c r="AQ149" s="199" t="s">
        <v>2331</v>
      </c>
      <c r="AR149" s="199" t="s">
        <v>1574</v>
      </c>
    </row>
    <row r="150" spans="5:44">
      <c r="E150" s="199">
        <v>146</v>
      </c>
      <c r="F150" s="199" t="s">
        <v>582</v>
      </c>
      <c r="G150" s="199" t="s">
        <v>583</v>
      </c>
      <c r="I150" s="9" t="s">
        <v>1004</v>
      </c>
      <c r="J150" s="9" t="s">
        <v>1004</v>
      </c>
      <c r="K150" s="9">
        <v>741</v>
      </c>
      <c r="L150" s="9"/>
      <c r="M150" s="9"/>
      <c r="N150" s="9" t="s">
        <v>400</v>
      </c>
      <c r="O150" s="9" t="s">
        <v>720</v>
      </c>
      <c r="P150" s="9" t="s">
        <v>1005</v>
      </c>
      <c r="Q150" s="9"/>
      <c r="R150" s="9"/>
      <c r="S150" s="9" t="b">
        <v>0</v>
      </c>
      <c r="T150" s="9"/>
      <c r="U150" s="9" t="s">
        <v>1006</v>
      </c>
      <c r="X150" s="199">
        <v>142</v>
      </c>
      <c r="Y150" s="199" t="s">
        <v>1717</v>
      </c>
      <c r="Z150" s="199"/>
      <c r="AA150" s="199"/>
      <c r="AB150" s="199" t="s">
        <v>1718</v>
      </c>
      <c r="AC150" s="199"/>
      <c r="AE150" s="199">
        <v>146</v>
      </c>
      <c r="AF150" s="199" t="s">
        <v>2129</v>
      </c>
      <c r="AG150" s="199" t="s">
        <v>2130</v>
      </c>
      <c r="AH150" s="199" t="s">
        <v>1846</v>
      </c>
      <c r="AI150" s="199" t="s">
        <v>410</v>
      </c>
      <c r="AJ150" s="199"/>
      <c r="AK150" s="199"/>
      <c r="AL150" s="199"/>
      <c r="AM150" s="199"/>
      <c r="AN150" s="199"/>
      <c r="AP150" s="199">
        <v>146</v>
      </c>
      <c r="AQ150" s="199" t="s">
        <v>2340</v>
      </c>
      <c r="AR150" s="199" t="s">
        <v>831</v>
      </c>
    </row>
    <row r="151" spans="5:44">
      <c r="E151" s="199">
        <v>147</v>
      </c>
      <c r="F151" s="199" t="s">
        <v>584</v>
      </c>
      <c r="G151" s="199" t="s">
        <v>585</v>
      </c>
      <c r="I151" s="9" t="s">
        <v>1007</v>
      </c>
      <c r="J151" s="9" t="s">
        <v>1007</v>
      </c>
      <c r="K151" s="9">
        <v>742</v>
      </c>
      <c r="L151" s="9"/>
      <c r="M151" s="9"/>
      <c r="N151" s="9" t="s">
        <v>400</v>
      </c>
      <c r="O151" s="9" t="s">
        <v>768</v>
      </c>
      <c r="P151" s="9" t="s">
        <v>1008</v>
      </c>
      <c r="Q151" s="9"/>
      <c r="R151" s="9"/>
      <c r="S151" s="9" t="b">
        <v>0</v>
      </c>
      <c r="T151" s="9"/>
      <c r="U151" s="9"/>
      <c r="X151" s="199">
        <v>143</v>
      </c>
      <c r="Y151" s="199" t="s">
        <v>1719</v>
      </c>
      <c r="Z151" s="199"/>
      <c r="AA151" s="199"/>
      <c r="AB151" s="199" t="s">
        <v>1346</v>
      </c>
      <c r="AC151" s="199"/>
      <c r="AE151" s="199">
        <v>147</v>
      </c>
      <c r="AF151" s="199" t="s">
        <v>2131</v>
      </c>
      <c r="AG151" s="199" t="s">
        <v>2132</v>
      </c>
      <c r="AH151" s="199" t="s">
        <v>1846</v>
      </c>
      <c r="AI151" s="199" t="s">
        <v>410</v>
      </c>
      <c r="AJ151" s="199"/>
      <c r="AK151" s="199"/>
      <c r="AL151" s="199"/>
      <c r="AM151" s="199"/>
      <c r="AN151" s="199"/>
      <c r="AP151" s="199">
        <v>147</v>
      </c>
      <c r="AQ151" s="199" t="s">
        <v>2342</v>
      </c>
      <c r="AR151" s="199" t="s">
        <v>837</v>
      </c>
    </row>
    <row r="152" spans="5:44">
      <c r="E152" s="199">
        <v>148</v>
      </c>
      <c r="F152" s="199" t="s">
        <v>586</v>
      </c>
      <c r="G152" s="199" t="s">
        <v>587</v>
      </c>
      <c r="I152" s="9" t="s">
        <v>1009</v>
      </c>
      <c r="J152" s="9" t="s">
        <v>1009</v>
      </c>
      <c r="K152" s="9">
        <v>743</v>
      </c>
      <c r="L152" s="9"/>
      <c r="M152" s="9"/>
      <c r="N152" s="9" t="s">
        <v>400</v>
      </c>
      <c r="O152" s="9" t="s">
        <v>724</v>
      </c>
      <c r="P152" s="9" t="s">
        <v>999</v>
      </c>
      <c r="Q152" s="9"/>
      <c r="R152" s="9"/>
      <c r="S152" s="9" t="b">
        <v>0</v>
      </c>
      <c r="T152" s="9"/>
      <c r="U152" s="9" t="s">
        <v>809</v>
      </c>
      <c r="X152" s="199">
        <v>144</v>
      </c>
      <c r="Y152" s="199" t="s">
        <v>1720</v>
      </c>
      <c r="Z152" s="199"/>
      <c r="AA152" s="199"/>
      <c r="AB152" s="199" t="s">
        <v>839</v>
      </c>
      <c r="AC152" s="199"/>
      <c r="AE152" s="199">
        <v>148</v>
      </c>
      <c r="AF152" s="199" t="s">
        <v>2133</v>
      </c>
      <c r="AG152" s="199" t="s">
        <v>2134</v>
      </c>
      <c r="AH152" s="199" t="s">
        <v>1846</v>
      </c>
      <c r="AI152" s="199" t="s">
        <v>410</v>
      </c>
      <c r="AJ152" s="199"/>
      <c r="AK152" s="199"/>
      <c r="AL152" s="199"/>
      <c r="AM152" s="199"/>
      <c r="AN152" s="199"/>
      <c r="AP152" s="199">
        <v>148</v>
      </c>
      <c r="AQ152" s="199" t="s">
        <v>2350</v>
      </c>
      <c r="AR152" s="199" t="s">
        <v>1358</v>
      </c>
    </row>
    <row r="153" spans="5:44">
      <c r="E153" s="199">
        <v>149</v>
      </c>
      <c r="F153" s="199" t="s">
        <v>588</v>
      </c>
      <c r="G153" s="199" t="s">
        <v>589</v>
      </c>
      <c r="I153" s="9" t="s">
        <v>1010</v>
      </c>
      <c r="J153" s="9" t="s">
        <v>1010</v>
      </c>
      <c r="K153" s="9">
        <v>744</v>
      </c>
      <c r="L153" s="9"/>
      <c r="M153" s="9"/>
      <c r="N153" s="9" t="s">
        <v>410</v>
      </c>
      <c r="O153" s="9" t="s">
        <v>749</v>
      </c>
      <c r="P153" s="9" t="s">
        <v>1011</v>
      </c>
      <c r="Q153" s="9"/>
      <c r="R153" s="9"/>
      <c r="S153" s="9" t="b">
        <v>0</v>
      </c>
      <c r="T153" s="9"/>
      <c r="U153" s="9" t="s">
        <v>1012</v>
      </c>
      <c r="X153" s="199">
        <v>145</v>
      </c>
      <c r="Y153" s="199" t="s">
        <v>1721</v>
      </c>
      <c r="Z153" s="199"/>
      <c r="AA153" s="199"/>
      <c r="AB153" s="199" t="s">
        <v>1353</v>
      </c>
      <c r="AC153" s="199"/>
      <c r="AE153" s="199">
        <v>149</v>
      </c>
      <c r="AF153" s="199" t="s">
        <v>2135</v>
      </c>
      <c r="AG153" s="199" t="s">
        <v>2136</v>
      </c>
      <c r="AH153" s="199" t="s">
        <v>1846</v>
      </c>
      <c r="AI153" s="199" t="s">
        <v>410</v>
      </c>
      <c r="AJ153" s="199"/>
      <c r="AK153" s="199"/>
      <c r="AL153" s="199"/>
      <c r="AM153" s="199"/>
      <c r="AN153" s="199"/>
      <c r="AP153" s="199">
        <v>149</v>
      </c>
      <c r="AQ153" s="199" t="s">
        <v>2356</v>
      </c>
      <c r="AR153" s="199" t="s">
        <v>1462</v>
      </c>
    </row>
    <row r="154" spans="5:44">
      <c r="E154" s="199">
        <v>150</v>
      </c>
      <c r="F154" s="199" t="s">
        <v>590</v>
      </c>
      <c r="G154" s="199" t="s">
        <v>591</v>
      </c>
      <c r="I154" s="9" t="s">
        <v>1013</v>
      </c>
      <c r="J154" s="9" t="s">
        <v>1013</v>
      </c>
      <c r="K154" s="9">
        <v>745</v>
      </c>
      <c r="L154" s="9"/>
      <c r="M154" s="9"/>
      <c r="N154" s="9" t="s">
        <v>410</v>
      </c>
      <c r="O154" s="9" t="s">
        <v>749</v>
      </c>
      <c r="P154" s="9" t="s">
        <v>1014</v>
      </c>
      <c r="Q154" s="9"/>
      <c r="R154" s="9"/>
      <c r="S154" s="9" t="b">
        <v>0</v>
      </c>
      <c r="T154" s="9"/>
      <c r="U154" s="9" t="s">
        <v>787</v>
      </c>
      <c r="X154" s="199">
        <v>146</v>
      </c>
      <c r="Y154" s="199" t="s">
        <v>1722</v>
      </c>
      <c r="Z154" s="199"/>
      <c r="AA154" s="199"/>
      <c r="AB154" s="199" t="s">
        <v>1355</v>
      </c>
      <c r="AC154" s="199"/>
      <c r="AE154" s="199">
        <v>150</v>
      </c>
      <c r="AF154" s="199" t="s">
        <v>2137</v>
      </c>
      <c r="AG154" s="199" t="s">
        <v>2138</v>
      </c>
      <c r="AH154" s="199" t="s">
        <v>1846</v>
      </c>
      <c r="AI154" s="199" t="s">
        <v>410</v>
      </c>
      <c r="AJ154" s="199"/>
      <c r="AK154" s="199"/>
      <c r="AL154" s="199"/>
      <c r="AM154" s="199"/>
      <c r="AN154" s="199"/>
      <c r="AP154" s="199">
        <v>150</v>
      </c>
      <c r="AQ154" s="199" t="s">
        <v>2358</v>
      </c>
      <c r="AR154" s="199" t="s">
        <v>1465</v>
      </c>
    </row>
    <row r="155" spans="5:44">
      <c r="E155" s="199">
        <v>151</v>
      </c>
      <c r="F155" s="199" t="s">
        <v>592</v>
      </c>
      <c r="G155" s="199" t="s">
        <v>593</v>
      </c>
      <c r="I155" s="9" t="s">
        <v>1015</v>
      </c>
      <c r="J155" s="9" t="s">
        <v>1015</v>
      </c>
      <c r="K155" s="9">
        <v>746</v>
      </c>
      <c r="L155" s="9"/>
      <c r="M155" s="9"/>
      <c r="N155" s="9" t="s">
        <v>626</v>
      </c>
      <c r="O155" s="9" t="s">
        <v>720</v>
      </c>
      <c r="P155" s="9" t="s">
        <v>1016</v>
      </c>
      <c r="Q155" s="9"/>
      <c r="R155" s="9"/>
      <c r="S155" s="9" t="b">
        <v>0</v>
      </c>
      <c r="T155" s="9"/>
      <c r="U155" s="9" t="s">
        <v>1017</v>
      </c>
      <c r="X155" s="199">
        <v>147</v>
      </c>
      <c r="Y155" s="199" t="s">
        <v>1723</v>
      </c>
      <c r="Z155" s="199"/>
      <c r="AA155" s="199"/>
      <c r="AB155" s="199" t="s">
        <v>1124</v>
      </c>
      <c r="AC155" s="199"/>
      <c r="AE155" s="199">
        <v>151</v>
      </c>
      <c r="AF155" s="199" t="s">
        <v>2139</v>
      </c>
      <c r="AG155" s="199" t="s">
        <v>2140</v>
      </c>
      <c r="AH155" s="199" t="s">
        <v>1846</v>
      </c>
      <c r="AI155" s="199" t="s">
        <v>410</v>
      </c>
      <c r="AJ155" s="199"/>
      <c r="AK155" s="199"/>
      <c r="AL155" s="199"/>
      <c r="AM155" s="199"/>
      <c r="AN155" s="199"/>
      <c r="AP155" s="199">
        <v>151</v>
      </c>
      <c r="AQ155" s="199" t="s">
        <v>2364</v>
      </c>
      <c r="AR155" s="199" t="s">
        <v>1362</v>
      </c>
    </row>
    <row r="156" spans="5:44">
      <c r="E156" s="199">
        <v>152</v>
      </c>
      <c r="F156" s="199" t="s">
        <v>594</v>
      </c>
      <c r="G156" s="199" t="s">
        <v>595</v>
      </c>
      <c r="I156" s="9" t="s">
        <v>1018</v>
      </c>
      <c r="J156" s="9" t="s">
        <v>1018</v>
      </c>
      <c r="K156" s="9">
        <v>747</v>
      </c>
      <c r="L156" s="9"/>
      <c r="M156" s="9"/>
      <c r="N156" s="9" t="s">
        <v>410</v>
      </c>
      <c r="O156" s="9" t="s">
        <v>724</v>
      </c>
      <c r="P156" s="9" t="s">
        <v>859</v>
      </c>
      <c r="Q156" s="9"/>
      <c r="R156" s="9"/>
      <c r="S156" s="9" t="b">
        <v>0</v>
      </c>
      <c r="T156" s="9"/>
      <c r="U156" s="9"/>
      <c r="X156" s="199">
        <v>148</v>
      </c>
      <c r="Y156" s="199" t="s">
        <v>1724</v>
      </c>
      <c r="Z156" s="199"/>
      <c r="AA156" s="199"/>
      <c r="AB156" s="199" t="s">
        <v>1725</v>
      </c>
      <c r="AC156" s="199"/>
      <c r="AE156" s="199">
        <v>152</v>
      </c>
      <c r="AF156" s="199" t="s">
        <v>2141</v>
      </c>
      <c r="AG156" s="199" t="s">
        <v>2142</v>
      </c>
      <c r="AH156" s="199" t="s">
        <v>1846</v>
      </c>
      <c r="AI156" s="199" t="s">
        <v>410</v>
      </c>
      <c r="AJ156" s="199"/>
      <c r="AK156" s="199"/>
      <c r="AL156" s="199"/>
      <c r="AM156" s="199"/>
      <c r="AN156" s="199"/>
      <c r="AP156" s="199">
        <v>152</v>
      </c>
      <c r="AQ156" s="199" t="s">
        <v>2388</v>
      </c>
      <c r="AR156" s="199" t="s">
        <v>1490</v>
      </c>
    </row>
    <row r="157" spans="5:44">
      <c r="E157" s="199">
        <v>153</v>
      </c>
      <c r="F157" s="199" t="s">
        <v>596</v>
      </c>
      <c r="G157" s="199" t="s">
        <v>597</v>
      </c>
      <c r="I157" s="9" t="s">
        <v>1019</v>
      </c>
      <c r="J157" s="9" t="s">
        <v>1019</v>
      </c>
      <c r="K157" s="9">
        <v>748</v>
      </c>
      <c r="L157" s="9"/>
      <c r="M157" s="9"/>
      <c r="N157" s="9" t="s">
        <v>400</v>
      </c>
      <c r="O157" s="9" t="s">
        <v>724</v>
      </c>
      <c r="P157" s="9" t="s">
        <v>1020</v>
      </c>
      <c r="Q157" s="9"/>
      <c r="R157" s="9"/>
      <c r="S157" s="9" t="b">
        <v>0</v>
      </c>
      <c r="T157" s="9"/>
      <c r="U157" s="9" t="s">
        <v>809</v>
      </c>
      <c r="X157" s="199">
        <v>149</v>
      </c>
      <c r="Y157" s="199" t="s">
        <v>1726</v>
      </c>
      <c r="Z157" s="199"/>
      <c r="AA157" s="199"/>
      <c r="AB157" s="199" t="s">
        <v>766</v>
      </c>
      <c r="AC157" s="199"/>
      <c r="AE157" s="199">
        <v>153</v>
      </c>
      <c r="AF157" s="199" t="s">
        <v>2143</v>
      </c>
      <c r="AG157" s="199" t="s">
        <v>2144</v>
      </c>
      <c r="AH157" s="199" t="s">
        <v>1846</v>
      </c>
      <c r="AI157" s="199" t="s">
        <v>410</v>
      </c>
      <c r="AJ157" s="199"/>
      <c r="AK157" s="199"/>
      <c r="AL157" s="199"/>
      <c r="AM157" s="199"/>
      <c r="AN157" s="199"/>
      <c r="AP157" s="199">
        <v>153</v>
      </c>
      <c r="AQ157" s="199" t="s">
        <v>2388</v>
      </c>
      <c r="AR157" s="199" t="s">
        <v>1493</v>
      </c>
    </row>
    <row r="158" spans="5:44">
      <c r="E158" s="199">
        <v>154</v>
      </c>
      <c r="F158" s="199" t="s">
        <v>598</v>
      </c>
      <c r="G158" s="199" t="s">
        <v>599</v>
      </c>
      <c r="I158" s="9" t="s">
        <v>1021</v>
      </c>
      <c r="J158" s="9" t="s">
        <v>1021</v>
      </c>
      <c r="K158" s="9">
        <v>749</v>
      </c>
      <c r="L158" s="9"/>
      <c r="M158" s="9"/>
      <c r="N158" s="9" t="s">
        <v>400</v>
      </c>
      <c r="O158" s="9" t="s">
        <v>1022</v>
      </c>
      <c r="P158" s="9" t="s">
        <v>1023</v>
      </c>
      <c r="Q158" s="9"/>
      <c r="R158" s="9"/>
      <c r="S158" s="9" t="b">
        <v>0</v>
      </c>
      <c r="T158" s="9"/>
      <c r="U158" s="9"/>
      <c r="X158" s="199">
        <v>150</v>
      </c>
      <c r="Y158" s="199" t="s">
        <v>1727</v>
      </c>
      <c r="Z158" s="199"/>
      <c r="AA158" s="199"/>
      <c r="AB158" s="199" t="s">
        <v>1357</v>
      </c>
      <c r="AC158" s="199"/>
      <c r="AE158" s="199">
        <v>154</v>
      </c>
      <c r="AF158" s="199" t="s">
        <v>2145</v>
      </c>
      <c r="AG158" s="199" t="s">
        <v>2146</v>
      </c>
      <c r="AH158" s="199" t="s">
        <v>1846</v>
      </c>
      <c r="AI158" s="199" t="s">
        <v>410</v>
      </c>
      <c r="AJ158" s="199"/>
      <c r="AK158" s="199"/>
      <c r="AL158" s="199"/>
      <c r="AM158" s="199"/>
      <c r="AN158" s="199"/>
      <c r="AP158" s="199">
        <v>154</v>
      </c>
      <c r="AQ158" s="199" t="s">
        <v>2388</v>
      </c>
      <c r="AR158" s="199" t="s">
        <v>1500</v>
      </c>
    </row>
    <row r="159" spans="5:44">
      <c r="E159" s="199">
        <v>155</v>
      </c>
      <c r="F159" s="199" t="s">
        <v>600</v>
      </c>
      <c r="G159" s="199" t="s">
        <v>601</v>
      </c>
      <c r="I159" s="9" t="s">
        <v>1024</v>
      </c>
      <c r="J159" s="9" t="s">
        <v>1024</v>
      </c>
      <c r="K159" s="9">
        <v>750</v>
      </c>
      <c r="L159" s="9"/>
      <c r="M159" s="9"/>
      <c r="N159" s="9" t="s">
        <v>400</v>
      </c>
      <c r="O159" s="9" t="s">
        <v>1022</v>
      </c>
      <c r="P159" s="9" t="s">
        <v>1025</v>
      </c>
      <c r="Q159" s="9"/>
      <c r="R159" s="9"/>
      <c r="S159" s="9" t="b">
        <v>0</v>
      </c>
      <c r="T159" s="9"/>
      <c r="U159" s="9" t="s">
        <v>809</v>
      </c>
      <c r="X159" s="199">
        <v>151</v>
      </c>
      <c r="Y159" s="199" t="s">
        <v>1728</v>
      </c>
      <c r="Z159" s="199"/>
      <c r="AA159" s="199"/>
      <c r="AB159" s="199" t="s">
        <v>1232</v>
      </c>
      <c r="AC159" s="199"/>
      <c r="AE159" s="199">
        <v>155</v>
      </c>
      <c r="AF159" s="199" t="s">
        <v>2147</v>
      </c>
      <c r="AG159" s="199" t="s">
        <v>2148</v>
      </c>
      <c r="AH159" s="199" t="s">
        <v>1846</v>
      </c>
      <c r="AI159" s="199" t="s">
        <v>410</v>
      </c>
      <c r="AJ159" s="199"/>
      <c r="AK159" s="199"/>
      <c r="AL159" s="199"/>
      <c r="AM159" s="199"/>
      <c r="AN159" s="199"/>
      <c r="AP159" s="199">
        <v>155</v>
      </c>
      <c r="AQ159" s="199" t="s">
        <v>2390</v>
      </c>
      <c r="AR159" s="199" t="s">
        <v>1521</v>
      </c>
    </row>
    <row r="160" spans="5:44">
      <c r="E160" s="199">
        <v>156</v>
      </c>
      <c r="F160" s="199" t="s">
        <v>602</v>
      </c>
      <c r="G160" s="199" t="s">
        <v>603</v>
      </c>
      <c r="I160" s="9" t="s">
        <v>1026</v>
      </c>
      <c r="J160" s="9" t="s">
        <v>1026</v>
      </c>
      <c r="K160" s="9">
        <v>751</v>
      </c>
      <c r="L160" s="9"/>
      <c r="M160" s="9"/>
      <c r="N160" s="9" t="s">
        <v>410</v>
      </c>
      <c r="O160" s="9" t="s">
        <v>886</v>
      </c>
      <c r="P160" s="9" t="s">
        <v>1027</v>
      </c>
      <c r="Q160" s="9"/>
      <c r="R160" s="9"/>
      <c r="S160" s="9" t="b">
        <v>0</v>
      </c>
      <c r="T160" s="9"/>
      <c r="U160" s="9"/>
      <c r="X160" s="199">
        <v>152</v>
      </c>
      <c r="Y160" s="199"/>
      <c r="Z160" s="199"/>
      <c r="AA160" s="199"/>
      <c r="AB160" s="199" t="s">
        <v>1308</v>
      </c>
      <c r="AC160" s="199"/>
      <c r="AE160" s="199">
        <v>156</v>
      </c>
      <c r="AF160" s="199" t="s">
        <v>2149</v>
      </c>
      <c r="AG160" s="199" t="s">
        <v>2150</v>
      </c>
      <c r="AH160" s="199" t="s">
        <v>1846</v>
      </c>
      <c r="AI160" s="199" t="s">
        <v>410</v>
      </c>
      <c r="AJ160" s="199"/>
      <c r="AK160" s="199"/>
      <c r="AL160" s="199"/>
      <c r="AM160" s="199"/>
      <c r="AN160" s="199"/>
      <c r="AP160" s="199">
        <v>156</v>
      </c>
      <c r="AQ160" s="199" t="s">
        <v>2394</v>
      </c>
      <c r="AR160" s="199" t="s">
        <v>1431</v>
      </c>
    </row>
    <row r="161" spans="5:44">
      <c r="E161" s="199">
        <v>157</v>
      </c>
      <c r="F161" s="199" t="s">
        <v>604</v>
      </c>
      <c r="G161" s="199" t="s">
        <v>605</v>
      </c>
      <c r="I161" s="9" t="s">
        <v>1028</v>
      </c>
      <c r="J161" s="9" t="s">
        <v>1028</v>
      </c>
      <c r="K161" s="9">
        <v>752</v>
      </c>
      <c r="L161" s="9"/>
      <c r="M161" s="9"/>
      <c r="N161" s="9" t="s">
        <v>410</v>
      </c>
      <c r="O161" s="9" t="s">
        <v>724</v>
      </c>
      <c r="P161" s="9" t="s">
        <v>1029</v>
      </c>
      <c r="Q161" s="9"/>
      <c r="R161" s="9"/>
      <c r="S161" s="9" t="b">
        <v>0</v>
      </c>
      <c r="T161" s="9"/>
      <c r="U161" s="9" t="s">
        <v>1030</v>
      </c>
      <c r="X161" s="199">
        <v>153</v>
      </c>
      <c r="Y161" s="199" t="s">
        <v>1729</v>
      </c>
      <c r="Z161" s="199"/>
      <c r="AA161" s="199"/>
      <c r="AB161" s="199" t="s">
        <v>1730</v>
      </c>
      <c r="AC161" s="199"/>
      <c r="AE161" s="199">
        <v>157</v>
      </c>
      <c r="AF161" s="199" t="s">
        <v>2151</v>
      </c>
      <c r="AG161" s="199" t="s">
        <v>2152</v>
      </c>
      <c r="AH161" s="199" t="s">
        <v>1846</v>
      </c>
      <c r="AI161" s="199" t="s">
        <v>410</v>
      </c>
      <c r="AJ161" s="199"/>
      <c r="AK161" s="199"/>
      <c r="AL161" s="199"/>
      <c r="AM161" s="199"/>
      <c r="AN161" s="199"/>
      <c r="AP161" s="199">
        <v>157</v>
      </c>
      <c r="AQ161" s="199" t="s">
        <v>2396</v>
      </c>
      <c r="AR161" s="199" t="s">
        <v>1218</v>
      </c>
    </row>
    <row r="162" spans="5:44">
      <c r="E162" s="199">
        <v>158</v>
      </c>
      <c r="F162" s="199" t="s">
        <v>606</v>
      </c>
      <c r="G162" s="199" t="s">
        <v>607</v>
      </c>
      <c r="I162" s="9" t="s">
        <v>1031</v>
      </c>
      <c r="J162" s="9" t="s">
        <v>1031</v>
      </c>
      <c r="K162" s="9">
        <v>753</v>
      </c>
      <c r="L162" s="9"/>
      <c r="M162" s="9"/>
      <c r="N162" s="9" t="s">
        <v>400</v>
      </c>
      <c r="O162" s="9" t="s">
        <v>724</v>
      </c>
      <c r="P162" s="9" t="s">
        <v>1029</v>
      </c>
      <c r="Q162" s="9"/>
      <c r="R162" s="9"/>
      <c r="S162" s="9" t="b">
        <v>0</v>
      </c>
      <c r="T162" s="9"/>
      <c r="U162" s="9" t="s">
        <v>1032</v>
      </c>
      <c r="X162" s="199">
        <v>154</v>
      </c>
      <c r="Y162" s="199" t="s">
        <v>1731</v>
      </c>
      <c r="Z162" s="199"/>
      <c r="AA162" s="199"/>
      <c r="AB162" s="199" t="s">
        <v>1248</v>
      </c>
      <c r="AC162" s="199"/>
      <c r="AE162" s="199">
        <v>158</v>
      </c>
      <c r="AF162" s="199" t="s">
        <v>2153</v>
      </c>
      <c r="AG162" s="199" t="s">
        <v>2154</v>
      </c>
      <c r="AH162" s="199" t="s">
        <v>1846</v>
      </c>
      <c r="AI162" s="199" t="s">
        <v>410</v>
      </c>
      <c r="AJ162" s="199"/>
      <c r="AK162" s="199"/>
      <c r="AL162" s="199"/>
      <c r="AM162" s="199"/>
      <c r="AN162" s="199"/>
      <c r="AP162" s="199">
        <v>158</v>
      </c>
      <c r="AQ162" s="199" t="s">
        <v>2409</v>
      </c>
      <c r="AR162" s="199" t="s">
        <v>965</v>
      </c>
    </row>
    <row r="163" spans="5:44">
      <c r="E163" s="199">
        <v>159</v>
      </c>
      <c r="F163" s="199" t="s">
        <v>608</v>
      </c>
      <c r="G163" s="199" t="s">
        <v>609</v>
      </c>
      <c r="I163" s="9" t="s">
        <v>1033</v>
      </c>
      <c r="J163" s="9" t="s">
        <v>1033</v>
      </c>
      <c r="K163" s="9">
        <v>754</v>
      </c>
      <c r="L163" s="9"/>
      <c r="M163" s="9"/>
      <c r="N163" s="9" t="s">
        <v>410</v>
      </c>
      <c r="O163" s="9" t="s">
        <v>778</v>
      </c>
      <c r="P163" s="9" t="s">
        <v>1029</v>
      </c>
      <c r="Q163" s="9"/>
      <c r="R163" s="9"/>
      <c r="S163" s="9" t="b">
        <v>0</v>
      </c>
      <c r="T163" s="9"/>
      <c r="U163" s="9" t="s">
        <v>1030</v>
      </c>
      <c r="X163" s="199">
        <v>155</v>
      </c>
      <c r="Y163" s="199" t="s">
        <v>1732</v>
      </c>
      <c r="Z163" s="199"/>
      <c r="AA163" s="199"/>
      <c r="AB163" s="199" t="s">
        <v>1322</v>
      </c>
      <c r="AC163" s="199"/>
      <c r="AE163" s="199">
        <v>159</v>
      </c>
      <c r="AF163" s="199" t="s">
        <v>2155</v>
      </c>
      <c r="AG163" s="199" t="s">
        <v>2156</v>
      </c>
      <c r="AH163" s="199" t="s">
        <v>1846</v>
      </c>
      <c r="AI163" s="199" t="s">
        <v>410</v>
      </c>
      <c r="AJ163" s="199"/>
      <c r="AK163" s="199"/>
      <c r="AL163" s="199"/>
      <c r="AM163" s="199"/>
      <c r="AN163" s="199"/>
      <c r="AP163" s="199">
        <v>159</v>
      </c>
      <c r="AQ163" s="199" t="s">
        <v>2411</v>
      </c>
      <c r="AR163" s="199" t="s">
        <v>730</v>
      </c>
    </row>
    <row r="164" spans="5:44">
      <c r="E164" s="199">
        <v>160</v>
      </c>
      <c r="F164" s="199" t="s">
        <v>610</v>
      </c>
      <c r="G164" s="199" t="s">
        <v>611</v>
      </c>
      <c r="I164" s="9" t="s">
        <v>1034</v>
      </c>
      <c r="J164" s="9" t="s">
        <v>1034</v>
      </c>
      <c r="K164" s="9">
        <v>757</v>
      </c>
      <c r="L164" s="9"/>
      <c r="M164" s="9"/>
      <c r="N164" s="9" t="s">
        <v>410</v>
      </c>
      <c r="O164" s="9" t="s">
        <v>689</v>
      </c>
      <c r="P164" s="9" t="s">
        <v>1035</v>
      </c>
      <c r="Q164" s="9"/>
      <c r="R164" s="9"/>
      <c r="S164" s="9" t="b">
        <v>0</v>
      </c>
      <c r="T164" s="9"/>
      <c r="U164" s="9"/>
      <c r="X164" s="199">
        <v>156</v>
      </c>
      <c r="Y164" s="199" t="s">
        <v>1733</v>
      </c>
      <c r="Z164" s="199"/>
      <c r="AA164" s="199"/>
      <c r="AB164" s="199" t="s">
        <v>1359</v>
      </c>
      <c r="AC164" s="199"/>
      <c r="AE164" s="199">
        <v>160</v>
      </c>
      <c r="AF164" s="199" t="s">
        <v>2157</v>
      </c>
      <c r="AG164" s="199" t="s">
        <v>2158</v>
      </c>
      <c r="AH164" s="199" t="s">
        <v>1846</v>
      </c>
      <c r="AI164" s="199" t="s">
        <v>410</v>
      </c>
      <c r="AJ164" s="199"/>
      <c r="AK164" s="199"/>
      <c r="AL164" s="199"/>
      <c r="AM164" s="199"/>
      <c r="AN164" s="199"/>
      <c r="AP164" s="199">
        <v>160</v>
      </c>
      <c r="AQ164" s="199" t="s">
        <v>2441</v>
      </c>
      <c r="AR164" s="199" t="s">
        <v>1299</v>
      </c>
    </row>
    <row r="165" spans="5:44">
      <c r="E165" s="199">
        <v>161</v>
      </c>
      <c r="F165" s="199" t="s">
        <v>612</v>
      </c>
      <c r="G165" s="199" t="s">
        <v>613</v>
      </c>
      <c r="I165" s="9" t="s">
        <v>1036</v>
      </c>
      <c r="J165" s="9" t="s">
        <v>1036</v>
      </c>
      <c r="K165" s="9">
        <v>758</v>
      </c>
      <c r="L165" s="9"/>
      <c r="M165" s="9"/>
      <c r="N165" s="9" t="s">
        <v>410</v>
      </c>
      <c r="O165" s="9" t="s">
        <v>724</v>
      </c>
      <c r="P165" s="9" t="s">
        <v>1037</v>
      </c>
      <c r="Q165" s="9"/>
      <c r="R165" s="9"/>
      <c r="S165" s="9" t="b">
        <v>0</v>
      </c>
      <c r="T165" s="9"/>
      <c r="U165" s="9"/>
      <c r="X165" s="199">
        <v>157</v>
      </c>
      <c r="Y165" s="199" t="s">
        <v>1734</v>
      </c>
      <c r="Z165" s="199"/>
      <c r="AA165" s="199"/>
      <c r="AB165" s="199" t="s">
        <v>1735</v>
      </c>
      <c r="AC165" s="199"/>
      <c r="AE165" s="199">
        <v>161</v>
      </c>
      <c r="AF165" s="199" t="s">
        <v>2159</v>
      </c>
      <c r="AG165" s="199" t="s">
        <v>2160</v>
      </c>
      <c r="AH165" s="199" t="s">
        <v>1846</v>
      </c>
      <c r="AI165" s="199" t="s">
        <v>410</v>
      </c>
      <c r="AJ165" s="199"/>
      <c r="AK165" s="199"/>
      <c r="AL165" s="199"/>
      <c r="AM165" s="199"/>
      <c r="AN165" s="199"/>
    </row>
    <row r="166" spans="5:44">
      <c r="E166" s="199">
        <v>162</v>
      </c>
      <c r="F166" s="199" t="s">
        <v>614</v>
      </c>
      <c r="G166" s="199" t="s">
        <v>615</v>
      </c>
      <c r="I166" s="9" t="s">
        <v>1038</v>
      </c>
      <c r="J166" s="9" t="s">
        <v>1038</v>
      </c>
      <c r="K166" s="9">
        <v>759</v>
      </c>
      <c r="L166" s="9"/>
      <c r="M166" s="9"/>
      <c r="N166" s="9" t="s">
        <v>410</v>
      </c>
      <c r="O166" s="9" t="s">
        <v>689</v>
      </c>
      <c r="P166" s="9" t="s">
        <v>1039</v>
      </c>
      <c r="Q166" s="9"/>
      <c r="R166" s="9"/>
      <c r="S166" s="9" t="b">
        <v>0</v>
      </c>
      <c r="T166" s="9"/>
      <c r="U166" s="9"/>
      <c r="X166" s="199">
        <v>158</v>
      </c>
      <c r="Y166" s="199" t="s">
        <v>1736</v>
      </c>
      <c r="Z166" s="199"/>
      <c r="AA166" s="199"/>
      <c r="AB166" s="199" t="s">
        <v>1389</v>
      </c>
      <c r="AC166" s="199"/>
      <c r="AE166" s="199">
        <v>162</v>
      </c>
      <c r="AF166" s="199" t="s">
        <v>2161</v>
      </c>
      <c r="AG166" s="199" t="s">
        <v>2162</v>
      </c>
      <c r="AH166" s="199" t="s">
        <v>1846</v>
      </c>
      <c r="AI166" s="199" t="s">
        <v>410</v>
      </c>
      <c r="AJ166" s="199"/>
      <c r="AK166" s="199"/>
      <c r="AL166" s="199"/>
      <c r="AM166" s="199"/>
      <c r="AN166" s="199"/>
    </row>
    <row r="167" spans="5:44">
      <c r="E167" s="199">
        <v>163</v>
      </c>
      <c r="F167" s="199" t="s">
        <v>616</v>
      </c>
      <c r="G167" s="199" t="s">
        <v>617</v>
      </c>
      <c r="I167" s="9" t="s">
        <v>1040</v>
      </c>
      <c r="J167" s="9" t="s">
        <v>1040</v>
      </c>
      <c r="K167" s="9">
        <v>760</v>
      </c>
      <c r="L167" s="9"/>
      <c r="M167" s="9"/>
      <c r="N167" s="9" t="s">
        <v>410</v>
      </c>
      <c r="O167" s="9" t="s">
        <v>689</v>
      </c>
      <c r="P167" s="9" t="s">
        <v>1041</v>
      </c>
      <c r="Q167" s="9"/>
      <c r="R167" s="9"/>
      <c r="S167" s="9" t="b">
        <v>0</v>
      </c>
      <c r="T167" s="9"/>
      <c r="U167" s="9"/>
      <c r="X167" s="199">
        <v>159</v>
      </c>
      <c r="Y167" s="199" t="s">
        <v>1737</v>
      </c>
      <c r="Z167" s="199"/>
      <c r="AA167" s="199"/>
      <c r="AB167" s="199" t="s">
        <v>891</v>
      </c>
      <c r="AC167" s="199"/>
      <c r="AE167" s="199">
        <v>163</v>
      </c>
      <c r="AF167" s="199" t="s">
        <v>2163</v>
      </c>
      <c r="AG167" s="199" t="s">
        <v>2164</v>
      </c>
      <c r="AH167" s="199" t="s">
        <v>1846</v>
      </c>
      <c r="AI167" s="199" t="s">
        <v>410</v>
      </c>
      <c r="AJ167" s="199"/>
      <c r="AK167" s="199"/>
      <c r="AL167" s="199"/>
      <c r="AM167" s="199"/>
      <c r="AN167" s="199"/>
    </row>
    <row r="168" spans="5:44">
      <c r="E168" s="199">
        <v>164</v>
      </c>
      <c r="F168" s="199" t="s">
        <v>618</v>
      </c>
      <c r="G168" s="199" t="s">
        <v>619</v>
      </c>
      <c r="I168" s="9" t="s">
        <v>1042</v>
      </c>
      <c r="J168" s="9" t="s">
        <v>1042</v>
      </c>
      <c r="K168" s="9">
        <v>761</v>
      </c>
      <c r="L168" s="9"/>
      <c r="M168" s="9"/>
      <c r="N168" s="9" t="s">
        <v>410</v>
      </c>
      <c r="O168" s="9" t="s">
        <v>689</v>
      </c>
      <c r="P168" s="9" t="s">
        <v>1043</v>
      </c>
      <c r="Q168" s="9"/>
      <c r="R168" s="9"/>
      <c r="S168" s="9" t="b">
        <v>0</v>
      </c>
      <c r="T168" s="9"/>
      <c r="U168" s="9"/>
      <c r="X168" s="199">
        <v>160</v>
      </c>
      <c r="Y168" s="199" t="s">
        <v>1738</v>
      </c>
      <c r="Z168" s="199"/>
      <c r="AA168" s="199"/>
      <c r="AB168" s="199" t="s">
        <v>888</v>
      </c>
      <c r="AC168" s="199"/>
      <c r="AE168" s="199">
        <v>164</v>
      </c>
      <c r="AF168" s="199" t="s">
        <v>2165</v>
      </c>
      <c r="AG168" s="199" t="s">
        <v>2166</v>
      </c>
      <c r="AH168" s="199" t="s">
        <v>1846</v>
      </c>
      <c r="AI168" s="199" t="s">
        <v>410</v>
      </c>
      <c r="AJ168" s="199"/>
      <c r="AK168" s="199"/>
      <c r="AL168" s="199"/>
      <c r="AM168" s="199"/>
      <c r="AN168" s="199"/>
    </row>
    <row r="169" spans="5:44">
      <c r="E169" s="199">
        <v>165</v>
      </c>
      <c r="F169" s="199" t="s">
        <v>620</v>
      </c>
      <c r="G169" s="199" t="s">
        <v>621</v>
      </c>
      <c r="I169" s="9" t="s">
        <v>1044</v>
      </c>
      <c r="J169" s="9" t="s">
        <v>1044</v>
      </c>
      <c r="K169" s="9">
        <v>762</v>
      </c>
      <c r="L169" s="9"/>
      <c r="M169" s="9"/>
      <c r="N169" s="9" t="s">
        <v>410</v>
      </c>
      <c r="O169" s="9" t="s">
        <v>689</v>
      </c>
      <c r="P169" s="9" t="s">
        <v>1045</v>
      </c>
      <c r="Q169" s="9"/>
      <c r="R169" s="9"/>
      <c r="S169" s="9" t="b">
        <v>0</v>
      </c>
      <c r="T169" s="9"/>
      <c r="U169" s="9"/>
      <c r="X169" s="199">
        <v>161</v>
      </c>
      <c r="Y169" s="199" t="s">
        <v>1739</v>
      </c>
      <c r="Z169" s="199"/>
      <c r="AA169" s="199"/>
      <c r="AB169" s="199" t="s">
        <v>893</v>
      </c>
      <c r="AC169" s="199"/>
      <c r="AE169" s="199">
        <v>165</v>
      </c>
      <c r="AF169" s="199" t="s">
        <v>2167</v>
      </c>
      <c r="AG169" s="199" t="s">
        <v>2168</v>
      </c>
      <c r="AH169" s="199" t="s">
        <v>1846</v>
      </c>
      <c r="AI169" s="199" t="s">
        <v>410</v>
      </c>
      <c r="AJ169" s="199"/>
      <c r="AK169" s="199"/>
      <c r="AL169" s="199"/>
      <c r="AM169" s="199"/>
      <c r="AN169" s="199"/>
    </row>
    <row r="170" spans="5:44">
      <c r="E170" s="199">
        <v>166</v>
      </c>
      <c r="F170" s="199" t="s">
        <v>622</v>
      </c>
      <c r="G170" s="199" t="s">
        <v>623</v>
      </c>
      <c r="I170" s="9" t="s">
        <v>1046</v>
      </c>
      <c r="J170" s="9" t="s">
        <v>1046</v>
      </c>
      <c r="K170" s="9">
        <v>763</v>
      </c>
      <c r="L170" s="9"/>
      <c r="M170" s="9"/>
      <c r="N170" s="9" t="s">
        <v>410</v>
      </c>
      <c r="O170" s="9" t="s">
        <v>689</v>
      </c>
      <c r="P170" s="9" t="s">
        <v>1045</v>
      </c>
      <c r="Q170" s="9"/>
      <c r="R170" s="9"/>
      <c r="S170" s="9" t="b">
        <v>0</v>
      </c>
      <c r="T170" s="9"/>
      <c r="U170" s="9"/>
      <c r="X170" s="199">
        <v>162</v>
      </c>
      <c r="Y170" s="199" t="s">
        <v>1740</v>
      </c>
      <c r="Z170" s="199"/>
      <c r="AA170" s="199"/>
      <c r="AB170" s="199" t="s">
        <v>1741</v>
      </c>
      <c r="AC170" s="199"/>
      <c r="AE170" s="199">
        <v>166</v>
      </c>
      <c r="AF170" s="199" t="s">
        <v>2169</v>
      </c>
      <c r="AG170" s="199" t="s">
        <v>2170</v>
      </c>
      <c r="AH170" s="199" t="s">
        <v>1846</v>
      </c>
      <c r="AI170" s="199" t="s">
        <v>410</v>
      </c>
      <c r="AJ170" s="199"/>
      <c r="AK170" s="199"/>
      <c r="AL170" s="199"/>
      <c r="AM170" s="199"/>
      <c r="AN170" s="199"/>
    </row>
    <row r="171" spans="5:44">
      <c r="E171" s="199">
        <v>167</v>
      </c>
      <c r="F171" s="199" t="s">
        <v>624</v>
      </c>
      <c r="G171" s="199" t="s">
        <v>625</v>
      </c>
      <c r="I171" s="9" t="s">
        <v>1047</v>
      </c>
      <c r="J171" s="9" t="s">
        <v>1047</v>
      </c>
      <c r="K171" s="9">
        <v>764</v>
      </c>
      <c r="L171" s="9"/>
      <c r="M171" s="9"/>
      <c r="N171" s="9" t="s">
        <v>410</v>
      </c>
      <c r="O171" s="9" t="s">
        <v>724</v>
      </c>
      <c r="P171" s="9" t="s">
        <v>1048</v>
      </c>
      <c r="Q171" s="9"/>
      <c r="R171" s="9"/>
      <c r="S171" s="9" t="b">
        <v>0</v>
      </c>
      <c r="T171" s="9"/>
      <c r="U171" s="9"/>
      <c r="X171" s="199">
        <v>163</v>
      </c>
      <c r="Y171" s="199"/>
      <c r="Z171" s="199"/>
      <c r="AA171" s="199"/>
      <c r="AB171" s="199" t="s">
        <v>1179</v>
      </c>
      <c r="AC171" s="199"/>
      <c r="AE171" s="199">
        <v>167</v>
      </c>
      <c r="AF171" s="199" t="s">
        <v>2171</v>
      </c>
      <c r="AG171" s="199" t="s">
        <v>2172</v>
      </c>
      <c r="AH171" s="199" t="s">
        <v>1846</v>
      </c>
      <c r="AI171" s="199" t="s">
        <v>410</v>
      </c>
      <c r="AJ171" s="199"/>
      <c r="AK171" s="199"/>
      <c r="AL171" s="199"/>
      <c r="AM171" s="199"/>
      <c r="AN171" s="199"/>
    </row>
    <row r="172" spans="5:44">
      <c r="E172" s="199">
        <v>168</v>
      </c>
      <c r="F172" s="199" t="s">
        <v>626</v>
      </c>
      <c r="G172" s="199" t="s">
        <v>627</v>
      </c>
      <c r="I172" s="9" t="s">
        <v>1049</v>
      </c>
      <c r="J172" s="9" t="s">
        <v>1049</v>
      </c>
      <c r="K172" s="9">
        <v>765</v>
      </c>
      <c r="L172" s="9"/>
      <c r="M172" s="9"/>
      <c r="N172" s="9" t="s">
        <v>410</v>
      </c>
      <c r="O172" s="9" t="s">
        <v>724</v>
      </c>
      <c r="P172" s="9" t="s">
        <v>1050</v>
      </c>
      <c r="Q172" s="9"/>
      <c r="R172" s="9"/>
      <c r="S172" s="9" t="b">
        <v>0</v>
      </c>
      <c r="T172" s="9"/>
      <c r="U172" s="9"/>
      <c r="X172" s="199">
        <v>164</v>
      </c>
      <c r="Y172" s="199"/>
      <c r="Z172" s="199"/>
      <c r="AA172" s="199"/>
      <c r="AB172" s="199" t="s">
        <v>1252</v>
      </c>
      <c r="AC172" s="199"/>
      <c r="AE172" s="199">
        <v>168</v>
      </c>
      <c r="AF172" s="199" t="s">
        <v>2173</v>
      </c>
      <c r="AG172" s="199" t="s">
        <v>2174</v>
      </c>
      <c r="AH172" s="199" t="s">
        <v>1846</v>
      </c>
      <c r="AI172" s="199" t="s">
        <v>410</v>
      </c>
      <c r="AJ172" s="199"/>
      <c r="AK172" s="199"/>
      <c r="AL172" s="199"/>
      <c r="AM172" s="199"/>
      <c r="AN172" s="199"/>
    </row>
    <row r="173" spans="5:44">
      <c r="E173" s="199">
        <v>169</v>
      </c>
      <c r="F173" s="199" t="s">
        <v>628</v>
      </c>
      <c r="G173" s="199" t="s">
        <v>629</v>
      </c>
      <c r="I173" s="9" t="s">
        <v>1051</v>
      </c>
      <c r="J173" s="9" t="s">
        <v>1051</v>
      </c>
      <c r="K173" s="9">
        <v>766</v>
      </c>
      <c r="L173" s="9"/>
      <c r="M173" s="9"/>
      <c r="N173" s="9" t="s">
        <v>410</v>
      </c>
      <c r="O173" s="9" t="s">
        <v>724</v>
      </c>
      <c r="P173" s="9" t="s">
        <v>1052</v>
      </c>
      <c r="Q173" s="9"/>
      <c r="R173" s="9"/>
      <c r="S173" s="9" t="b">
        <v>0</v>
      </c>
      <c r="T173" s="9"/>
      <c r="U173" s="9"/>
      <c r="X173" s="199">
        <v>165</v>
      </c>
      <c r="Y173" s="199" t="s">
        <v>1742</v>
      </c>
      <c r="Z173" s="199"/>
      <c r="AA173" s="199"/>
      <c r="AB173" s="199" t="s">
        <v>1320</v>
      </c>
      <c r="AC173" s="199"/>
      <c r="AE173" s="199">
        <v>169</v>
      </c>
      <c r="AF173" s="199" t="s">
        <v>2175</v>
      </c>
      <c r="AG173" s="199" t="s">
        <v>2176</v>
      </c>
      <c r="AH173" s="199" t="s">
        <v>1846</v>
      </c>
      <c r="AI173" s="199" t="s">
        <v>410</v>
      </c>
      <c r="AJ173" s="199"/>
      <c r="AK173" s="199"/>
      <c r="AL173" s="199"/>
      <c r="AM173" s="199"/>
      <c r="AN173" s="199"/>
    </row>
    <row r="174" spans="5:44">
      <c r="E174" s="199">
        <v>170</v>
      </c>
      <c r="F174" s="199" t="s">
        <v>630</v>
      </c>
      <c r="G174" s="199" t="s">
        <v>631</v>
      </c>
      <c r="I174" s="9" t="s">
        <v>1053</v>
      </c>
      <c r="J174" s="9" t="s">
        <v>1053</v>
      </c>
      <c r="K174" s="9">
        <v>767</v>
      </c>
      <c r="L174" s="9"/>
      <c r="M174" s="9"/>
      <c r="N174" s="9" t="s">
        <v>410</v>
      </c>
      <c r="O174" s="9" t="s">
        <v>689</v>
      </c>
      <c r="P174" s="9" t="s">
        <v>1054</v>
      </c>
      <c r="Q174" s="9"/>
      <c r="R174" s="9"/>
      <c r="S174" s="9" t="b">
        <v>0</v>
      </c>
      <c r="T174" s="9"/>
      <c r="U174" s="9"/>
      <c r="X174" s="199">
        <v>166</v>
      </c>
      <c r="Y174" s="199"/>
      <c r="Z174" s="199"/>
      <c r="AA174" s="199"/>
      <c r="AB174" s="199" t="s">
        <v>729</v>
      </c>
      <c r="AC174" s="199"/>
      <c r="AE174" s="199">
        <v>170</v>
      </c>
      <c r="AF174" s="199" t="s">
        <v>2177</v>
      </c>
      <c r="AG174" s="199" t="s">
        <v>2178</v>
      </c>
      <c r="AH174" s="199" t="s">
        <v>1846</v>
      </c>
      <c r="AI174" s="199" t="s">
        <v>410</v>
      </c>
      <c r="AJ174" s="199"/>
      <c r="AK174" s="199"/>
      <c r="AL174" s="199"/>
      <c r="AM174" s="199"/>
      <c r="AN174" s="199"/>
    </row>
    <row r="175" spans="5:44">
      <c r="E175" s="199">
        <v>171</v>
      </c>
      <c r="F175" s="199" t="s">
        <v>632</v>
      </c>
      <c r="G175" s="199" t="s">
        <v>633</v>
      </c>
      <c r="I175" s="9" t="s">
        <v>1055</v>
      </c>
      <c r="J175" s="9" t="s">
        <v>1055</v>
      </c>
      <c r="K175" s="9">
        <v>768</v>
      </c>
      <c r="L175" s="9"/>
      <c r="M175" s="9"/>
      <c r="N175" s="9" t="s">
        <v>626</v>
      </c>
      <c r="O175" s="9" t="s">
        <v>724</v>
      </c>
      <c r="P175" s="9" t="s">
        <v>1056</v>
      </c>
      <c r="Q175" s="9"/>
      <c r="R175" s="9"/>
      <c r="S175" s="9" t="b">
        <v>0</v>
      </c>
      <c r="T175" s="9"/>
      <c r="U175" s="9" t="s">
        <v>1057</v>
      </c>
      <c r="X175" s="199">
        <v>167</v>
      </c>
      <c r="Y175" s="199"/>
      <c r="Z175" s="199"/>
      <c r="AA175" s="199"/>
      <c r="AB175" s="199" t="s">
        <v>1257</v>
      </c>
      <c r="AC175" s="199"/>
      <c r="AE175" s="199">
        <v>171</v>
      </c>
      <c r="AF175" s="199" t="s">
        <v>2179</v>
      </c>
      <c r="AG175" s="199" t="s">
        <v>2180</v>
      </c>
      <c r="AH175" s="199" t="s">
        <v>1846</v>
      </c>
      <c r="AI175" s="199" t="s">
        <v>410</v>
      </c>
      <c r="AJ175" s="199"/>
      <c r="AK175" s="199"/>
      <c r="AL175" s="199"/>
      <c r="AM175" s="199"/>
      <c r="AN175" s="199"/>
    </row>
    <row r="176" spans="5:44">
      <c r="E176" s="199">
        <v>172</v>
      </c>
      <c r="F176" s="199" t="s">
        <v>634</v>
      </c>
      <c r="G176" s="199" t="s">
        <v>635</v>
      </c>
      <c r="I176" s="9" t="s">
        <v>1058</v>
      </c>
      <c r="J176" s="9" t="s">
        <v>1058</v>
      </c>
      <c r="K176" s="9">
        <v>771</v>
      </c>
      <c r="L176" s="9"/>
      <c r="M176" s="9"/>
      <c r="N176" s="9" t="s">
        <v>400</v>
      </c>
      <c r="O176" s="9" t="s">
        <v>724</v>
      </c>
      <c r="P176" s="9" t="s">
        <v>769</v>
      </c>
      <c r="Q176" s="9"/>
      <c r="R176" s="9"/>
      <c r="S176" s="9" t="b">
        <v>0</v>
      </c>
      <c r="T176" s="9"/>
      <c r="U176" s="9" t="s">
        <v>809</v>
      </c>
      <c r="X176" s="199">
        <v>168</v>
      </c>
      <c r="Y176" s="199" t="s">
        <v>1743</v>
      </c>
      <c r="Z176" s="199"/>
      <c r="AA176" s="199"/>
      <c r="AB176" s="199" t="s">
        <v>747</v>
      </c>
      <c r="AC176" s="199"/>
      <c r="AE176" s="199">
        <v>172</v>
      </c>
      <c r="AF176" s="199" t="s">
        <v>2181</v>
      </c>
      <c r="AG176" s="199" t="s">
        <v>2182</v>
      </c>
      <c r="AH176" s="199" t="s">
        <v>1846</v>
      </c>
      <c r="AI176" s="199" t="s">
        <v>410</v>
      </c>
      <c r="AJ176" s="199"/>
      <c r="AK176" s="199"/>
      <c r="AL176" s="199"/>
      <c r="AM176" s="199"/>
      <c r="AN176" s="199"/>
    </row>
    <row r="177" spans="5:40">
      <c r="E177" s="199">
        <v>173</v>
      </c>
      <c r="F177" s="199" t="s">
        <v>636</v>
      </c>
      <c r="G177" s="199" t="s">
        <v>637</v>
      </c>
      <c r="I177" s="9" t="s">
        <v>1059</v>
      </c>
      <c r="J177" s="9" t="s">
        <v>1059</v>
      </c>
      <c r="K177" s="9">
        <v>772</v>
      </c>
      <c r="L177" s="9"/>
      <c r="M177" s="9"/>
      <c r="N177" s="9" t="s">
        <v>410</v>
      </c>
      <c r="O177" s="9" t="s">
        <v>724</v>
      </c>
      <c r="P177" s="9" t="s">
        <v>872</v>
      </c>
      <c r="Q177" s="9"/>
      <c r="R177" s="9"/>
      <c r="S177" s="9" t="b">
        <v>0</v>
      </c>
      <c r="T177" s="9"/>
      <c r="U177" s="9" t="s">
        <v>1060</v>
      </c>
      <c r="X177" s="199">
        <v>169</v>
      </c>
      <c r="Y177" s="199" t="s">
        <v>1744</v>
      </c>
      <c r="Z177" s="199"/>
      <c r="AA177" s="199"/>
      <c r="AB177" s="199" t="s">
        <v>1395</v>
      </c>
      <c r="AC177" s="199"/>
      <c r="AE177" s="199">
        <v>173</v>
      </c>
      <c r="AF177" s="199" t="s">
        <v>2183</v>
      </c>
      <c r="AG177" s="199" t="s">
        <v>2184</v>
      </c>
      <c r="AH177" s="199" t="s">
        <v>1846</v>
      </c>
      <c r="AI177" s="199" t="s">
        <v>410</v>
      </c>
      <c r="AJ177" s="199"/>
      <c r="AK177" s="199"/>
      <c r="AL177" s="199"/>
      <c r="AM177" s="199"/>
      <c r="AN177" s="199"/>
    </row>
    <row r="178" spans="5:40">
      <c r="E178" s="199">
        <v>174</v>
      </c>
      <c r="F178" s="199" t="s">
        <v>638</v>
      </c>
      <c r="G178" s="199" t="s">
        <v>639</v>
      </c>
      <c r="I178" s="9" t="s">
        <v>1061</v>
      </c>
      <c r="J178" s="9" t="s">
        <v>1061</v>
      </c>
      <c r="K178" s="9">
        <v>776</v>
      </c>
      <c r="L178" s="9"/>
      <c r="M178" s="9"/>
      <c r="N178" s="9" t="s">
        <v>410</v>
      </c>
      <c r="O178" s="9" t="s">
        <v>724</v>
      </c>
      <c r="P178" s="9" t="s">
        <v>1062</v>
      </c>
      <c r="Q178" s="9"/>
      <c r="R178" s="9"/>
      <c r="S178" s="9" t="b">
        <v>0</v>
      </c>
      <c r="T178" s="9"/>
      <c r="U178" s="9" t="s">
        <v>1063</v>
      </c>
      <c r="X178" s="199">
        <v>170</v>
      </c>
      <c r="Y178" s="199" t="s">
        <v>1745</v>
      </c>
      <c r="Z178" s="199"/>
      <c r="AA178" s="199"/>
      <c r="AB178" s="199" t="s">
        <v>1174</v>
      </c>
      <c r="AC178" s="199"/>
      <c r="AE178" s="199">
        <v>174</v>
      </c>
      <c r="AF178" s="199" t="s">
        <v>2185</v>
      </c>
      <c r="AG178" s="199" t="s">
        <v>2186</v>
      </c>
      <c r="AH178" s="199" t="s">
        <v>1846</v>
      </c>
      <c r="AI178" s="199" t="s">
        <v>410</v>
      </c>
      <c r="AJ178" s="199"/>
      <c r="AK178" s="199"/>
      <c r="AL178" s="199"/>
      <c r="AM178" s="199"/>
      <c r="AN178" s="199"/>
    </row>
    <row r="179" spans="5:40">
      <c r="E179" s="199">
        <v>175</v>
      </c>
      <c r="F179" s="199" t="s">
        <v>640</v>
      </c>
      <c r="G179" s="199" t="s">
        <v>641</v>
      </c>
      <c r="I179" s="9" t="s">
        <v>1064</v>
      </c>
      <c r="J179" s="9" t="s">
        <v>1064</v>
      </c>
      <c r="K179" s="9">
        <v>777</v>
      </c>
      <c r="L179" s="9"/>
      <c r="M179" s="9"/>
      <c r="N179" s="9" t="s">
        <v>410</v>
      </c>
      <c r="O179" s="9" t="s">
        <v>724</v>
      </c>
      <c r="P179" s="9" t="s">
        <v>1065</v>
      </c>
      <c r="Q179" s="9"/>
      <c r="R179" s="9"/>
      <c r="S179" s="9" t="b">
        <v>0</v>
      </c>
      <c r="T179" s="9"/>
      <c r="U179" s="9" t="s">
        <v>979</v>
      </c>
      <c r="X179" s="199">
        <v>171</v>
      </c>
      <c r="Y179" s="199" t="s">
        <v>1744</v>
      </c>
      <c r="Z179" s="199"/>
      <c r="AA179" s="199"/>
      <c r="AB179" s="199" t="s">
        <v>1246</v>
      </c>
      <c r="AC179" s="199"/>
      <c r="AE179" s="199">
        <v>175</v>
      </c>
      <c r="AF179" s="199" t="s">
        <v>2187</v>
      </c>
      <c r="AG179" s="199" t="s">
        <v>2188</v>
      </c>
      <c r="AH179" s="199" t="s">
        <v>1846</v>
      </c>
      <c r="AI179" s="199" t="s">
        <v>410</v>
      </c>
      <c r="AJ179" s="199"/>
      <c r="AK179" s="199"/>
      <c r="AL179" s="199"/>
      <c r="AM179" s="199"/>
      <c r="AN179" s="199"/>
    </row>
    <row r="180" spans="5:40">
      <c r="E180" s="199">
        <v>176</v>
      </c>
      <c r="F180" s="199" t="s">
        <v>642</v>
      </c>
      <c r="G180" s="199" t="s">
        <v>643</v>
      </c>
      <c r="I180" s="9" t="s">
        <v>1066</v>
      </c>
      <c r="J180" s="9" t="s">
        <v>1066</v>
      </c>
      <c r="K180" s="9">
        <v>778</v>
      </c>
      <c r="L180" s="9"/>
      <c r="M180" s="9"/>
      <c r="N180" s="9" t="s">
        <v>410</v>
      </c>
      <c r="O180" s="9" t="s">
        <v>724</v>
      </c>
      <c r="P180" s="9" t="s">
        <v>1065</v>
      </c>
      <c r="Q180" s="9"/>
      <c r="R180" s="9"/>
      <c r="S180" s="9" t="b">
        <v>0</v>
      </c>
      <c r="T180" s="9"/>
      <c r="U180" s="9" t="s">
        <v>1067</v>
      </c>
      <c r="X180" s="199">
        <v>172</v>
      </c>
      <c r="Y180" s="199" t="s">
        <v>1746</v>
      </c>
      <c r="Z180" s="199"/>
      <c r="AA180" s="199"/>
      <c r="AB180" s="199" t="s">
        <v>1324</v>
      </c>
      <c r="AC180" s="199"/>
      <c r="AE180" s="199">
        <v>176</v>
      </c>
      <c r="AF180" s="199" t="s">
        <v>2189</v>
      </c>
      <c r="AG180" s="199" t="s">
        <v>2190</v>
      </c>
      <c r="AH180" s="199" t="s">
        <v>1846</v>
      </c>
      <c r="AI180" s="199" t="s">
        <v>410</v>
      </c>
      <c r="AJ180" s="199"/>
      <c r="AK180" s="199"/>
      <c r="AL180" s="199"/>
      <c r="AM180" s="199"/>
      <c r="AN180" s="199"/>
    </row>
    <row r="181" spans="5:40">
      <c r="E181" s="199">
        <v>177</v>
      </c>
      <c r="F181" s="199" t="s">
        <v>644</v>
      </c>
      <c r="G181" s="199" t="s">
        <v>645</v>
      </c>
      <c r="I181" s="9" t="s">
        <v>1068</v>
      </c>
      <c r="J181" s="9" t="s">
        <v>1068</v>
      </c>
      <c r="K181" s="9">
        <v>779</v>
      </c>
      <c r="L181" s="9"/>
      <c r="M181" s="9"/>
      <c r="N181" s="9" t="s">
        <v>410</v>
      </c>
      <c r="O181" s="9" t="s">
        <v>724</v>
      </c>
      <c r="P181" s="9" t="s">
        <v>1069</v>
      </c>
      <c r="Q181" s="9"/>
      <c r="R181" s="9"/>
      <c r="S181" s="9" t="b">
        <v>0</v>
      </c>
      <c r="T181" s="9"/>
      <c r="U181" s="9"/>
      <c r="X181" s="199">
        <v>173</v>
      </c>
      <c r="Y181" s="199" t="s">
        <v>1747</v>
      </c>
      <c r="Z181" s="199"/>
      <c r="AA181" s="199"/>
      <c r="AB181" s="199" t="s">
        <v>1166</v>
      </c>
      <c r="AC181" s="199"/>
      <c r="AE181" s="199">
        <v>177</v>
      </c>
      <c r="AF181" s="199" t="s">
        <v>2191</v>
      </c>
      <c r="AG181" s="199" t="s">
        <v>2192</v>
      </c>
      <c r="AH181" s="199" t="s">
        <v>1846</v>
      </c>
      <c r="AI181" s="199" t="s">
        <v>410</v>
      </c>
      <c r="AJ181" s="199"/>
      <c r="AK181" s="199"/>
      <c r="AL181" s="199"/>
      <c r="AM181" s="199"/>
      <c r="AN181" s="199"/>
    </row>
    <row r="182" spans="5:40">
      <c r="E182" s="199">
        <v>178</v>
      </c>
      <c r="F182" s="199" t="s">
        <v>646</v>
      </c>
      <c r="G182" s="199" t="s">
        <v>647</v>
      </c>
      <c r="I182" s="9" t="s">
        <v>1070</v>
      </c>
      <c r="J182" s="9" t="s">
        <v>1070</v>
      </c>
      <c r="K182" s="9">
        <v>780</v>
      </c>
      <c r="L182" s="9"/>
      <c r="M182" s="9"/>
      <c r="N182" s="9" t="s">
        <v>410</v>
      </c>
      <c r="O182" s="9" t="s">
        <v>724</v>
      </c>
      <c r="P182" s="9" t="s">
        <v>1071</v>
      </c>
      <c r="Q182" s="9"/>
      <c r="R182" s="9"/>
      <c r="S182" s="9" t="b">
        <v>0</v>
      </c>
      <c r="T182" s="9"/>
      <c r="U182" s="9" t="s">
        <v>1072</v>
      </c>
      <c r="X182" s="199">
        <v>174</v>
      </c>
      <c r="Y182" s="199" t="s">
        <v>1748</v>
      </c>
      <c r="Z182" s="199"/>
      <c r="AA182" s="199"/>
      <c r="AB182" s="199" t="s">
        <v>732</v>
      </c>
      <c r="AC182" s="199"/>
      <c r="AE182" s="199">
        <v>178</v>
      </c>
      <c r="AF182" s="199" t="s">
        <v>2193</v>
      </c>
      <c r="AG182" s="199" t="s">
        <v>2194</v>
      </c>
      <c r="AH182" s="199" t="s">
        <v>1846</v>
      </c>
      <c r="AI182" s="199" t="s">
        <v>410</v>
      </c>
      <c r="AJ182" s="199"/>
      <c r="AK182" s="199"/>
      <c r="AL182" s="199"/>
      <c r="AM182" s="199"/>
      <c r="AN182" s="199"/>
    </row>
    <row r="183" spans="5:40">
      <c r="E183" s="199">
        <v>179</v>
      </c>
      <c r="F183" s="199" t="s">
        <v>648</v>
      </c>
      <c r="G183" s="199" t="s">
        <v>649</v>
      </c>
      <c r="I183" s="9" t="s">
        <v>1073</v>
      </c>
      <c r="J183" s="9" t="s">
        <v>1073</v>
      </c>
      <c r="K183" s="9">
        <v>781</v>
      </c>
      <c r="L183" s="9"/>
      <c r="M183" s="9"/>
      <c r="N183" s="9" t="s">
        <v>410</v>
      </c>
      <c r="O183" s="9" t="s">
        <v>724</v>
      </c>
      <c r="P183" s="9" t="s">
        <v>1071</v>
      </c>
      <c r="Q183" s="9"/>
      <c r="R183" s="9"/>
      <c r="S183" s="9" t="b">
        <v>0</v>
      </c>
      <c r="T183" s="9"/>
      <c r="U183" s="9"/>
      <c r="X183" s="199">
        <v>175</v>
      </c>
      <c r="Y183" s="199" t="s">
        <v>1749</v>
      </c>
      <c r="Z183" s="199"/>
      <c r="AA183" s="199"/>
      <c r="AB183" s="199" t="s">
        <v>740</v>
      </c>
      <c r="AC183" s="199"/>
      <c r="AE183" s="199">
        <v>179</v>
      </c>
      <c r="AF183" s="199" t="s">
        <v>2195</v>
      </c>
      <c r="AG183" s="199" t="s">
        <v>2196</v>
      </c>
      <c r="AH183" s="199" t="s">
        <v>1846</v>
      </c>
      <c r="AI183" s="199" t="s">
        <v>410</v>
      </c>
      <c r="AJ183" s="199"/>
      <c r="AK183" s="199"/>
      <c r="AL183" s="199"/>
      <c r="AM183" s="199"/>
      <c r="AN183" s="199"/>
    </row>
    <row r="184" spans="5:40">
      <c r="E184" s="199">
        <v>180</v>
      </c>
      <c r="F184" s="199" t="s">
        <v>650</v>
      </c>
      <c r="G184" s="199" t="s">
        <v>651</v>
      </c>
      <c r="I184" s="9" t="s">
        <v>1074</v>
      </c>
      <c r="J184" s="9" t="s">
        <v>1074</v>
      </c>
      <c r="K184" s="9">
        <v>782</v>
      </c>
      <c r="L184" s="9"/>
      <c r="M184" s="9"/>
      <c r="N184" s="9" t="s">
        <v>410</v>
      </c>
      <c r="O184" s="9" t="s">
        <v>1075</v>
      </c>
      <c r="P184" s="9" t="s">
        <v>1076</v>
      </c>
      <c r="Q184" s="9"/>
      <c r="R184" s="9"/>
      <c r="S184" s="9" t="b">
        <v>0</v>
      </c>
      <c r="T184" s="9"/>
      <c r="U184" s="9"/>
      <c r="X184" s="199">
        <v>176</v>
      </c>
      <c r="Y184" s="199" t="s">
        <v>1750</v>
      </c>
      <c r="Z184" s="199"/>
      <c r="AA184" s="199"/>
      <c r="AB184" s="199" t="s">
        <v>1172</v>
      </c>
      <c r="AC184" s="199"/>
      <c r="AE184" s="199">
        <v>180</v>
      </c>
      <c r="AF184" s="199" t="s">
        <v>2197</v>
      </c>
      <c r="AG184" s="199" t="s">
        <v>2198</v>
      </c>
      <c r="AH184" s="199" t="s">
        <v>1846</v>
      </c>
      <c r="AI184" s="199" t="s">
        <v>410</v>
      </c>
      <c r="AJ184" s="199"/>
      <c r="AK184" s="199"/>
      <c r="AL184" s="199"/>
      <c r="AM184" s="199"/>
      <c r="AN184" s="199"/>
    </row>
    <row r="185" spans="5:40">
      <c r="E185" s="199">
        <v>181</v>
      </c>
      <c r="F185" s="199" t="s">
        <v>652</v>
      </c>
      <c r="G185" s="199" t="s">
        <v>653</v>
      </c>
      <c r="I185" s="9" t="s">
        <v>1077</v>
      </c>
      <c r="J185" s="9" t="s">
        <v>1077</v>
      </c>
      <c r="K185" s="9">
        <v>783</v>
      </c>
      <c r="L185" s="9"/>
      <c r="M185" s="9"/>
      <c r="N185" s="9" t="s">
        <v>400</v>
      </c>
      <c r="O185" s="9" t="s">
        <v>724</v>
      </c>
      <c r="P185" s="9" t="s">
        <v>711</v>
      </c>
      <c r="Q185" s="9"/>
      <c r="R185" s="9"/>
      <c r="S185" s="9" t="b">
        <v>0</v>
      </c>
      <c r="T185" s="9"/>
      <c r="U185" s="9" t="s">
        <v>809</v>
      </c>
      <c r="X185" s="199">
        <v>177</v>
      </c>
      <c r="Y185" s="199" t="s">
        <v>1751</v>
      </c>
      <c r="Z185" s="199"/>
      <c r="AA185" s="199"/>
      <c r="AB185" s="199" t="s">
        <v>875</v>
      </c>
      <c r="AC185" s="199"/>
      <c r="AE185" s="199">
        <v>181</v>
      </c>
      <c r="AF185" s="199" t="s">
        <v>2199</v>
      </c>
      <c r="AG185" s="199" t="s">
        <v>2200</v>
      </c>
      <c r="AH185" s="199" t="s">
        <v>1846</v>
      </c>
      <c r="AI185" s="199" t="s">
        <v>410</v>
      </c>
      <c r="AJ185" s="199"/>
      <c r="AK185" s="199"/>
      <c r="AL185" s="199"/>
      <c r="AM185" s="199"/>
      <c r="AN185" s="199"/>
    </row>
    <row r="186" spans="5:40">
      <c r="E186" s="199">
        <v>182</v>
      </c>
      <c r="F186" s="199" t="s">
        <v>654</v>
      </c>
      <c r="G186" s="199" t="s">
        <v>655</v>
      </c>
      <c r="I186" s="9" t="s">
        <v>1078</v>
      </c>
      <c r="J186" s="9" t="s">
        <v>1078</v>
      </c>
      <c r="K186" s="9">
        <v>784</v>
      </c>
      <c r="L186" s="9"/>
      <c r="M186" s="9"/>
      <c r="N186" s="9" t="s">
        <v>626</v>
      </c>
      <c r="O186" s="9" t="s">
        <v>724</v>
      </c>
      <c r="P186" s="9" t="s">
        <v>1079</v>
      </c>
      <c r="Q186" s="9"/>
      <c r="R186" s="9"/>
      <c r="S186" s="9" t="b">
        <v>0</v>
      </c>
      <c r="T186" s="9"/>
      <c r="U186" s="9" t="s">
        <v>1057</v>
      </c>
      <c r="X186" s="199">
        <v>178</v>
      </c>
      <c r="Y186" s="199" t="s">
        <v>1752</v>
      </c>
      <c r="Z186" s="199"/>
      <c r="AA186" s="199"/>
      <c r="AB186" s="199" t="s">
        <v>722</v>
      </c>
      <c r="AC186" s="199"/>
      <c r="AE186" s="199">
        <v>182</v>
      </c>
      <c r="AF186" s="199" t="s">
        <v>2201</v>
      </c>
      <c r="AG186" s="199" t="s">
        <v>401</v>
      </c>
      <c r="AH186" s="199" t="s">
        <v>1846</v>
      </c>
      <c r="AI186" s="199" t="s">
        <v>410</v>
      </c>
      <c r="AJ186" s="199"/>
      <c r="AK186" s="199"/>
      <c r="AL186" s="199"/>
      <c r="AM186" s="199"/>
      <c r="AN186" s="199"/>
    </row>
    <row r="187" spans="5:40">
      <c r="E187" s="199">
        <v>183</v>
      </c>
      <c r="F187" s="199" t="s">
        <v>656</v>
      </c>
      <c r="G187" s="199" t="s">
        <v>657</v>
      </c>
      <c r="I187" s="9" t="s">
        <v>1080</v>
      </c>
      <c r="J187" s="9" t="s">
        <v>1080</v>
      </c>
      <c r="K187" s="9">
        <v>785</v>
      </c>
      <c r="L187" s="9"/>
      <c r="M187" s="9"/>
      <c r="N187" s="9" t="s">
        <v>626</v>
      </c>
      <c r="O187" s="9" t="s">
        <v>1075</v>
      </c>
      <c r="P187" s="9" t="s">
        <v>1081</v>
      </c>
      <c r="Q187" s="9"/>
      <c r="R187" s="9"/>
      <c r="S187" s="9" t="b">
        <v>0</v>
      </c>
      <c r="T187" s="9"/>
      <c r="U187" s="9" t="s">
        <v>1082</v>
      </c>
      <c r="X187" s="199">
        <v>179</v>
      </c>
      <c r="Y187" s="199" t="s">
        <v>1753</v>
      </c>
      <c r="Z187" s="199"/>
      <c r="AA187" s="199"/>
      <c r="AB187" s="199" t="s">
        <v>1344</v>
      </c>
      <c r="AC187" s="199"/>
      <c r="AE187" s="199">
        <v>183</v>
      </c>
      <c r="AF187" s="199" t="s">
        <v>2202</v>
      </c>
      <c r="AG187" s="199" t="s">
        <v>2203</v>
      </c>
      <c r="AH187" s="199" t="s">
        <v>1846</v>
      </c>
      <c r="AI187" s="199" t="s">
        <v>410</v>
      </c>
      <c r="AJ187" s="199"/>
      <c r="AK187" s="199"/>
      <c r="AL187" s="199"/>
      <c r="AM187" s="199"/>
      <c r="AN187" s="199"/>
    </row>
    <row r="188" spans="5:40">
      <c r="E188" s="199">
        <v>184</v>
      </c>
      <c r="F188" s="199" t="s">
        <v>658</v>
      </c>
      <c r="G188" s="199" t="s">
        <v>659</v>
      </c>
      <c r="I188" s="9" t="s">
        <v>1083</v>
      </c>
      <c r="J188" s="9" t="s">
        <v>1083</v>
      </c>
      <c r="K188" s="9">
        <v>787</v>
      </c>
      <c r="L188" s="9"/>
      <c r="M188" s="9"/>
      <c r="N188" s="9" t="s">
        <v>626</v>
      </c>
      <c r="O188" s="9" t="s">
        <v>724</v>
      </c>
      <c r="P188" s="9" t="s">
        <v>1084</v>
      </c>
      <c r="Q188" s="9"/>
      <c r="R188" s="9"/>
      <c r="S188" s="9" t="b">
        <v>0</v>
      </c>
      <c r="T188" s="9"/>
      <c r="U188" s="9" t="s">
        <v>1083</v>
      </c>
      <c r="X188" s="199">
        <v>180</v>
      </c>
      <c r="Y188" s="199" t="s">
        <v>1754</v>
      </c>
      <c r="Z188" s="199"/>
      <c r="AA188" s="199"/>
      <c r="AB188" s="199" t="s">
        <v>1755</v>
      </c>
      <c r="AC188" s="199"/>
      <c r="AE188" s="199">
        <v>184</v>
      </c>
      <c r="AF188" s="199" t="s">
        <v>2204</v>
      </c>
      <c r="AG188" s="199" t="s">
        <v>2205</v>
      </c>
      <c r="AH188" s="199" t="s">
        <v>1846</v>
      </c>
      <c r="AI188" s="199" t="s">
        <v>410</v>
      </c>
      <c r="AJ188" s="199"/>
      <c r="AK188" s="199"/>
      <c r="AL188" s="199"/>
      <c r="AM188" s="199"/>
      <c r="AN188" s="199"/>
    </row>
    <row r="189" spans="5:40">
      <c r="E189" s="199">
        <v>185</v>
      </c>
      <c r="F189" s="199" t="s">
        <v>660</v>
      </c>
      <c r="G189" s="199" t="s">
        <v>661</v>
      </c>
      <c r="I189" s="9" t="s">
        <v>1085</v>
      </c>
      <c r="J189" s="9" t="s">
        <v>1085</v>
      </c>
      <c r="K189" s="9">
        <v>788</v>
      </c>
      <c r="L189" s="9"/>
      <c r="M189" s="9"/>
      <c r="N189" s="9" t="s">
        <v>626</v>
      </c>
      <c r="O189" s="9" t="s">
        <v>724</v>
      </c>
      <c r="P189" s="9" t="s">
        <v>1037</v>
      </c>
      <c r="Q189" s="9"/>
      <c r="R189" s="9"/>
      <c r="S189" s="9" t="b">
        <v>0</v>
      </c>
      <c r="T189" s="9"/>
      <c r="U189" s="9" t="s">
        <v>1085</v>
      </c>
      <c r="X189" s="199">
        <v>181</v>
      </c>
      <c r="Y189" s="199" t="s">
        <v>1756</v>
      </c>
      <c r="Z189" s="199"/>
      <c r="AA189" s="199"/>
      <c r="AB189" s="199" t="s">
        <v>1523</v>
      </c>
      <c r="AC189" s="199"/>
      <c r="AE189" s="199">
        <v>185</v>
      </c>
      <c r="AF189" s="199" t="s">
        <v>2206</v>
      </c>
      <c r="AG189" s="199" t="s">
        <v>2207</v>
      </c>
      <c r="AH189" s="199" t="s">
        <v>1846</v>
      </c>
      <c r="AI189" s="199" t="s">
        <v>410</v>
      </c>
      <c r="AJ189" s="199"/>
      <c r="AK189" s="199"/>
      <c r="AL189" s="199"/>
      <c r="AM189" s="199"/>
      <c r="AN189" s="199"/>
    </row>
    <row r="190" spans="5:40">
      <c r="E190" s="199">
        <v>186</v>
      </c>
      <c r="F190" s="199" t="s">
        <v>662</v>
      </c>
      <c r="G190" s="199" t="s">
        <v>663</v>
      </c>
      <c r="I190" s="9" t="s">
        <v>1086</v>
      </c>
      <c r="J190" s="9" t="s">
        <v>1086</v>
      </c>
      <c r="K190" s="9">
        <v>789</v>
      </c>
      <c r="L190" s="9"/>
      <c r="M190" s="9"/>
      <c r="N190" s="9" t="s">
        <v>626</v>
      </c>
      <c r="O190" s="9" t="s">
        <v>724</v>
      </c>
      <c r="P190" s="9" t="s">
        <v>1084</v>
      </c>
      <c r="Q190" s="9"/>
      <c r="R190" s="9"/>
      <c r="S190" s="9" t="b">
        <v>0</v>
      </c>
      <c r="T190" s="9"/>
      <c r="U190" s="9" t="s">
        <v>1086</v>
      </c>
      <c r="X190" s="199">
        <v>182</v>
      </c>
      <c r="Y190" s="199" t="s">
        <v>1757</v>
      </c>
      <c r="Z190" s="199"/>
      <c r="AA190" s="199"/>
      <c r="AB190" s="199" t="s">
        <v>1298</v>
      </c>
      <c r="AC190" s="199"/>
      <c r="AE190" s="199">
        <v>186</v>
      </c>
      <c r="AF190" s="199" t="s">
        <v>2208</v>
      </c>
      <c r="AG190" s="199" t="s">
        <v>2209</v>
      </c>
      <c r="AH190" s="199" t="s">
        <v>1846</v>
      </c>
      <c r="AI190" s="199" t="s">
        <v>410</v>
      </c>
      <c r="AJ190" s="199"/>
      <c r="AK190" s="199"/>
      <c r="AL190" s="199"/>
      <c r="AM190" s="199"/>
      <c r="AN190" s="199"/>
    </row>
    <row r="191" spans="5:40">
      <c r="E191" s="199">
        <v>187</v>
      </c>
      <c r="F191" s="199" t="s">
        <v>664</v>
      </c>
      <c r="G191" s="199" t="s">
        <v>665</v>
      </c>
      <c r="I191" s="9" t="s">
        <v>1087</v>
      </c>
      <c r="J191" s="9" t="s">
        <v>1087</v>
      </c>
      <c r="K191" s="9">
        <v>790</v>
      </c>
      <c r="L191" s="9"/>
      <c r="M191" s="9"/>
      <c r="N191" s="9" t="s">
        <v>626</v>
      </c>
      <c r="O191" s="9" t="s">
        <v>1075</v>
      </c>
      <c r="P191" s="9" t="s">
        <v>1081</v>
      </c>
      <c r="Q191" s="9"/>
      <c r="R191" s="9"/>
      <c r="S191" s="9" t="b">
        <v>0</v>
      </c>
      <c r="T191" s="9"/>
      <c r="U191" s="9" t="s">
        <v>1088</v>
      </c>
      <c r="X191" s="199">
        <v>183</v>
      </c>
      <c r="Y191" s="199" t="s">
        <v>1758</v>
      </c>
      <c r="Z191" s="199"/>
      <c r="AA191" s="199"/>
      <c r="AB191" s="199" t="s">
        <v>1190</v>
      </c>
      <c r="AC191" s="199"/>
      <c r="AE191" s="199">
        <v>187</v>
      </c>
      <c r="AF191" s="199" t="s">
        <v>2210</v>
      </c>
      <c r="AG191" s="199" t="s">
        <v>2211</v>
      </c>
      <c r="AH191" s="199" t="s">
        <v>1846</v>
      </c>
      <c r="AI191" s="199" t="s">
        <v>410</v>
      </c>
      <c r="AJ191" s="199"/>
      <c r="AK191" s="199"/>
      <c r="AL191" s="199"/>
      <c r="AM191" s="199"/>
      <c r="AN191" s="199"/>
    </row>
    <row r="192" spans="5:40">
      <c r="E192" s="199">
        <v>188</v>
      </c>
      <c r="F192" s="199" t="s">
        <v>666</v>
      </c>
      <c r="G192" s="199" t="s">
        <v>667</v>
      </c>
      <c r="I192" s="9" t="s">
        <v>1089</v>
      </c>
      <c r="J192" s="9" t="s">
        <v>1089</v>
      </c>
      <c r="K192" s="9">
        <v>791</v>
      </c>
      <c r="L192" s="9"/>
      <c r="M192" s="9"/>
      <c r="N192" s="9" t="s">
        <v>410</v>
      </c>
      <c r="O192" s="9" t="s">
        <v>724</v>
      </c>
      <c r="P192" s="9" t="s">
        <v>1090</v>
      </c>
      <c r="Q192" s="9"/>
      <c r="R192" s="9"/>
      <c r="S192" s="9" t="b">
        <v>0</v>
      </c>
      <c r="T192" s="9"/>
      <c r="U192" s="9"/>
      <c r="X192" s="199">
        <v>184</v>
      </c>
      <c r="Y192" s="199"/>
      <c r="Z192" s="199"/>
      <c r="AA192" s="199"/>
      <c r="AB192" s="199" t="s">
        <v>1759</v>
      </c>
      <c r="AC192" s="199"/>
      <c r="AE192" s="199">
        <v>188</v>
      </c>
      <c r="AF192" s="199" t="s">
        <v>2212</v>
      </c>
      <c r="AG192" s="199" t="s">
        <v>2213</v>
      </c>
      <c r="AH192" s="199" t="s">
        <v>1846</v>
      </c>
      <c r="AI192" s="199" t="s">
        <v>410</v>
      </c>
      <c r="AJ192" s="199"/>
      <c r="AK192" s="199"/>
      <c r="AL192" s="199"/>
      <c r="AM192" s="199"/>
      <c r="AN192" s="199"/>
    </row>
    <row r="193" spans="5:40">
      <c r="E193" s="199">
        <v>189</v>
      </c>
      <c r="F193" s="199" t="s">
        <v>668</v>
      </c>
      <c r="G193" s="199" t="s">
        <v>669</v>
      </c>
      <c r="I193" s="9" t="s">
        <v>1091</v>
      </c>
      <c r="J193" s="9" t="s">
        <v>1091</v>
      </c>
      <c r="K193" s="9">
        <v>792</v>
      </c>
      <c r="L193" s="9"/>
      <c r="M193" s="9"/>
      <c r="N193" s="9" t="s">
        <v>400</v>
      </c>
      <c r="O193" s="9" t="s">
        <v>724</v>
      </c>
      <c r="P193" s="9" t="s">
        <v>1092</v>
      </c>
      <c r="Q193" s="9"/>
      <c r="R193" s="9"/>
      <c r="S193" s="9" t="b">
        <v>0</v>
      </c>
      <c r="T193" s="9"/>
      <c r="U193" s="9"/>
      <c r="X193" s="199">
        <v>185</v>
      </c>
      <c r="Y193" s="199"/>
      <c r="Z193" s="199"/>
      <c r="AA193" s="199"/>
      <c r="AB193" s="199" t="s">
        <v>1760</v>
      </c>
      <c r="AC193" s="199"/>
      <c r="AE193" s="199">
        <v>189</v>
      </c>
      <c r="AF193" s="199" t="s">
        <v>2214</v>
      </c>
      <c r="AG193" s="199" t="s">
        <v>2215</v>
      </c>
      <c r="AH193" s="199" t="s">
        <v>1846</v>
      </c>
      <c r="AI193" s="199" t="s">
        <v>410</v>
      </c>
      <c r="AJ193" s="199"/>
      <c r="AK193" s="199"/>
      <c r="AL193" s="199"/>
      <c r="AM193" s="199"/>
      <c r="AN193" s="199"/>
    </row>
    <row r="194" spans="5:40">
      <c r="E194" s="199">
        <v>190</v>
      </c>
      <c r="F194" s="199" t="s">
        <v>670</v>
      </c>
      <c r="G194" s="199" t="s">
        <v>671</v>
      </c>
      <c r="I194" s="9" t="s">
        <v>1093</v>
      </c>
      <c r="J194" s="9" t="s">
        <v>1093</v>
      </c>
      <c r="K194" s="9">
        <v>793</v>
      </c>
      <c r="L194" s="9"/>
      <c r="M194" s="9"/>
      <c r="N194" s="9" t="s">
        <v>410</v>
      </c>
      <c r="O194" s="9" t="s">
        <v>724</v>
      </c>
      <c r="P194" s="9" t="s">
        <v>1092</v>
      </c>
      <c r="Q194" s="9"/>
      <c r="R194" s="9"/>
      <c r="S194" s="9" t="b">
        <v>0</v>
      </c>
      <c r="T194" s="9"/>
      <c r="U194" s="9"/>
      <c r="X194" s="199">
        <v>186</v>
      </c>
      <c r="Y194" s="199" t="s">
        <v>1761</v>
      </c>
      <c r="Z194" s="199"/>
      <c r="AA194" s="199"/>
      <c r="AB194" s="199" t="s">
        <v>1762</v>
      </c>
      <c r="AC194" s="199"/>
      <c r="AE194" s="199">
        <v>190</v>
      </c>
      <c r="AF194" s="199" t="s">
        <v>2216</v>
      </c>
      <c r="AG194" s="199" t="s">
        <v>2217</v>
      </c>
      <c r="AH194" s="199" t="s">
        <v>1846</v>
      </c>
      <c r="AI194" s="199" t="s">
        <v>410</v>
      </c>
      <c r="AJ194" s="199"/>
      <c r="AK194" s="199"/>
      <c r="AL194" s="199"/>
      <c r="AM194" s="199"/>
      <c r="AN194" s="199"/>
    </row>
    <row r="195" spans="5:40">
      <c r="E195" s="199">
        <v>191</v>
      </c>
      <c r="F195" s="199" t="s">
        <v>672</v>
      </c>
      <c r="G195" s="199" t="s">
        <v>673</v>
      </c>
      <c r="I195" s="9" t="s">
        <v>1094</v>
      </c>
      <c r="J195" s="9" t="s">
        <v>1094</v>
      </c>
      <c r="K195" s="9">
        <v>795</v>
      </c>
      <c r="L195" s="9"/>
      <c r="M195" s="9"/>
      <c r="N195" s="9" t="s">
        <v>410</v>
      </c>
      <c r="O195" s="9" t="s">
        <v>724</v>
      </c>
      <c r="P195" s="9" t="s">
        <v>1095</v>
      </c>
      <c r="Q195" s="9"/>
      <c r="R195" s="9"/>
      <c r="S195" s="9" t="b">
        <v>0</v>
      </c>
      <c r="T195" s="9"/>
      <c r="U195" s="9"/>
      <c r="X195" s="199">
        <v>187</v>
      </c>
      <c r="Y195" s="199" t="s">
        <v>1763</v>
      </c>
      <c r="Z195" s="199"/>
      <c r="AA195" s="199"/>
      <c r="AB195" s="199" t="s">
        <v>1430</v>
      </c>
      <c r="AC195" s="199"/>
      <c r="AE195" s="199">
        <v>191</v>
      </c>
      <c r="AF195" s="199" t="s">
        <v>2218</v>
      </c>
      <c r="AG195" s="199" t="s">
        <v>2219</v>
      </c>
      <c r="AH195" s="199" t="s">
        <v>1846</v>
      </c>
      <c r="AI195" s="199" t="s">
        <v>410</v>
      </c>
      <c r="AJ195" s="199"/>
      <c r="AK195" s="199"/>
      <c r="AL195" s="199"/>
      <c r="AM195" s="199"/>
      <c r="AN195" s="199"/>
    </row>
    <row r="196" spans="5:40">
      <c r="E196" s="199">
        <v>192</v>
      </c>
      <c r="F196" s="199" t="s">
        <v>674</v>
      </c>
      <c r="G196" s="199" t="s">
        <v>675</v>
      </c>
      <c r="I196" s="9" t="s">
        <v>1096</v>
      </c>
      <c r="J196" s="9" t="s">
        <v>1096</v>
      </c>
      <c r="K196" s="9">
        <v>796</v>
      </c>
      <c r="L196" s="9"/>
      <c r="M196" s="9"/>
      <c r="N196" s="9" t="s">
        <v>410</v>
      </c>
      <c r="O196" s="9" t="s">
        <v>724</v>
      </c>
      <c r="P196" s="9" t="s">
        <v>1092</v>
      </c>
      <c r="Q196" s="9"/>
      <c r="R196" s="9"/>
      <c r="S196" s="9" t="b">
        <v>0</v>
      </c>
      <c r="T196" s="9"/>
      <c r="U196" s="9"/>
      <c r="X196" s="199">
        <v>188</v>
      </c>
      <c r="Y196" s="199" t="s">
        <v>1764</v>
      </c>
      <c r="Z196" s="199"/>
      <c r="AA196" s="199"/>
      <c r="AB196" s="199" t="s">
        <v>1765</v>
      </c>
      <c r="AC196" s="199"/>
      <c r="AE196" s="199">
        <v>192</v>
      </c>
      <c r="AF196" s="199" t="s">
        <v>2220</v>
      </c>
      <c r="AG196" s="199" t="s">
        <v>2221</v>
      </c>
      <c r="AH196" s="199" t="s">
        <v>1846</v>
      </c>
      <c r="AI196" s="199" t="s">
        <v>410</v>
      </c>
      <c r="AJ196" s="199"/>
      <c r="AK196" s="199"/>
      <c r="AL196" s="199"/>
      <c r="AM196" s="199"/>
      <c r="AN196" s="199"/>
    </row>
    <row r="197" spans="5:40">
      <c r="E197" s="199">
        <v>193</v>
      </c>
      <c r="F197" s="199" t="s">
        <v>676</v>
      </c>
      <c r="G197" s="199" t="s">
        <v>677</v>
      </c>
      <c r="I197" s="9" t="s">
        <v>1097</v>
      </c>
      <c r="J197" s="9" t="s">
        <v>1097</v>
      </c>
      <c r="K197" s="9">
        <v>797</v>
      </c>
      <c r="L197" s="9"/>
      <c r="M197" s="9"/>
      <c r="N197" s="9" t="s">
        <v>400</v>
      </c>
      <c r="O197" s="9"/>
      <c r="P197" s="9" t="s">
        <v>1092</v>
      </c>
      <c r="Q197" s="9"/>
      <c r="R197" s="9"/>
      <c r="S197" s="9" t="b">
        <v>0</v>
      </c>
      <c r="T197" s="9"/>
      <c r="U197" s="9"/>
      <c r="X197" s="199">
        <v>189</v>
      </c>
      <c r="Y197" s="199" t="s">
        <v>1766</v>
      </c>
      <c r="Z197" s="199"/>
      <c r="AA197" s="199"/>
      <c r="AB197" s="199" t="s">
        <v>1767</v>
      </c>
      <c r="AC197" s="199"/>
      <c r="AE197" s="199">
        <v>193</v>
      </c>
      <c r="AF197" s="199" t="s">
        <v>2222</v>
      </c>
      <c r="AG197" s="199" t="s">
        <v>2223</v>
      </c>
      <c r="AH197" s="199" t="s">
        <v>1846</v>
      </c>
      <c r="AI197" s="199" t="s">
        <v>410</v>
      </c>
      <c r="AJ197" s="199"/>
      <c r="AK197" s="199"/>
      <c r="AL197" s="199"/>
      <c r="AM197" s="199"/>
      <c r="AN197" s="199"/>
    </row>
    <row r="198" spans="5:40">
      <c r="E198" s="199">
        <v>194</v>
      </c>
      <c r="F198" s="199" t="s">
        <v>678</v>
      </c>
      <c r="G198" s="199" t="s">
        <v>679</v>
      </c>
      <c r="I198" s="9" t="s">
        <v>1098</v>
      </c>
      <c r="J198" s="9" t="s">
        <v>1098</v>
      </c>
      <c r="K198" s="9">
        <v>799</v>
      </c>
      <c r="L198" s="9"/>
      <c r="M198" s="9"/>
      <c r="N198" s="9" t="s">
        <v>400</v>
      </c>
      <c r="O198" s="9" t="s">
        <v>724</v>
      </c>
      <c r="P198" s="9" t="s">
        <v>773</v>
      </c>
      <c r="Q198" s="9"/>
      <c r="R198" s="9"/>
      <c r="S198" s="9" t="b">
        <v>0</v>
      </c>
      <c r="T198" s="9"/>
      <c r="U198" s="9"/>
      <c r="X198" s="199">
        <v>190</v>
      </c>
      <c r="Y198" s="199"/>
      <c r="Z198" s="199"/>
      <c r="AA198" s="199"/>
      <c r="AB198" s="199" t="s">
        <v>1768</v>
      </c>
      <c r="AC198" s="199"/>
      <c r="AE198" s="199">
        <v>194</v>
      </c>
      <c r="AF198" s="199" t="s">
        <v>2224</v>
      </c>
      <c r="AG198" s="199"/>
      <c r="AH198" s="199" t="s">
        <v>1846</v>
      </c>
      <c r="AI198" s="199" t="s">
        <v>410</v>
      </c>
      <c r="AJ198" s="199"/>
      <c r="AK198" s="199"/>
      <c r="AL198" s="199"/>
      <c r="AM198" s="199"/>
      <c r="AN198" s="199"/>
    </row>
    <row r="199" spans="5:40">
      <c r="E199" s="199">
        <v>195</v>
      </c>
      <c r="F199" s="199" t="s">
        <v>680</v>
      </c>
      <c r="G199" s="199" t="s">
        <v>681</v>
      </c>
      <c r="I199" s="9" t="s">
        <v>1099</v>
      </c>
      <c r="J199" s="9" t="s">
        <v>1099</v>
      </c>
      <c r="K199" s="9">
        <v>801</v>
      </c>
      <c r="L199" s="9"/>
      <c r="M199" s="9"/>
      <c r="N199" s="9" t="s">
        <v>410</v>
      </c>
      <c r="O199" s="9" t="s">
        <v>689</v>
      </c>
      <c r="P199" s="9" t="s">
        <v>1100</v>
      </c>
      <c r="Q199" s="9"/>
      <c r="R199" s="9"/>
      <c r="S199" s="9" t="b">
        <v>0</v>
      </c>
      <c r="T199" s="9"/>
      <c r="U199" s="9"/>
      <c r="X199" s="199">
        <v>191</v>
      </c>
      <c r="Y199" s="199"/>
      <c r="Z199" s="199"/>
      <c r="AA199" s="199"/>
      <c r="AB199" s="199" t="s">
        <v>1769</v>
      </c>
      <c r="AC199" s="199"/>
      <c r="AE199" s="199">
        <v>195</v>
      </c>
      <c r="AF199" s="199" t="s">
        <v>2225</v>
      </c>
      <c r="AG199" s="199"/>
      <c r="AH199" s="199" t="s">
        <v>1846</v>
      </c>
      <c r="AI199" s="199" t="s">
        <v>410</v>
      </c>
      <c r="AJ199" s="199"/>
      <c r="AK199" s="199"/>
      <c r="AL199" s="199"/>
      <c r="AM199" s="199"/>
      <c r="AN199" s="199"/>
    </row>
    <row r="200" spans="5:40">
      <c r="E200" s="199">
        <v>196</v>
      </c>
      <c r="F200" s="199" t="s">
        <v>682</v>
      </c>
      <c r="G200" s="199" t="s">
        <v>683</v>
      </c>
      <c r="I200" s="9" t="s">
        <v>1101</v>
      </c>
      <c r="J200" s="9" t="s">
        <v>1101</v>
      </c>
      <c r="K200" s="9">
        <v>802</v>
      </c>
      <c r="L200" s="9"/>
      <c r="M200" s="9"/>
      <c r="N200" s="9" t="s">
        <v>410</v>
      </c>
      <c r="O200" s="9" t="s">
        <v>689</v>
      </c>
      <c r="P200" s="9" t="s">
        <v>1102</v>
      </c>
      <c r="Q200" s="9"/>
      <c r="R200" s="9"/>
      <c r="S200" s="9" t="b">
        <v>0</v>
      </c>
      <c r="T200" s="9"/>
      <c r="U200" s="9"/>
      <c r="X200" s="199">
        <v>192</v>
      </c>
      <c r="Y200" s="199"/>
      <c r="Z200" s="199"/>
      <c r="AA200" s="199"/>
      <c r="AB200" s="199" t="s">
        <v>1770</v>
      </c>
      <c r="AC200" s="199"/>
      <c r="AE200" s="199">
        <v>196</v>
      </c>
      <c r="AF200" s="199" t="s">
        <v>2226</v>
      </c>
      <c r="AG200" s="199" t="s">
        <v>2227</v>
      </c>
      <c r="AH200" s="199" t="s">
        <v>1846</v>
      </c>
      <c r="AI200" s="199" t="s">
        <v>410</v>
      </c>
      <c r="AJ200" s="199"/>
      <c r="AK200" s="199"/>
      <c r="AL200" s="199"/>
      <c r="AM200" s="199"/>
      <c r="AN200" s="199"/>
    </row>
    <row r="201" spans="5:40">
      <c r="E201" s="199">
        <v>197</v>
      </c>
      <c r="F201" s="199" t="s">
        <v>684</v>
      </c>
      <c r="G201" s="199" t="s">
        <v>685</v>
      </c>
      <c r="I201" s="9" t="s">
        <v>1103</v>
      </c>
      <c r="J201" s="9" t="s">
        <v>1103</v>
      </c>
      <c r="K201" s="9">
        <v>810</v>
      </c>
      <c r="L201" s="9"/>
      <c r="M201" s="9"/>
      <c r="N201" s="9" t="s">
        <v>410</v>
      </c>
      <c r="O201" s="9" t="s">
        <v>689</v>
      </c>
      <c r="P201" s="9" t="s">
        <v>1104</v>
      </c>
      <c r="Q201" s="9"/>
      <c r="R201" s="9"/>
      <c r="S201" s="9" t="b">
        <v>0</v>
      </c>
      <c r="T201" s="9"/>
      <c r="U201" s="9"/>
      <c r="X201" s="199">
        <v>193</v>
      </c>
      <c r="Y201" s="199"/>
      <c r="Z201" s="199"/>
      <c r="AA201" s="199"/>
      <c r="AB201" s="199" t="s">
        <v>1771</v>
      </c>
      <c r="AC201" s="199"/>
      <c r="AE201" s="199">
        <v>197</v>
      </c>
      <c r="AF201" s="199" t="s">
        <v>2228</v>
      </c>
      <c r="AG201" s="199" t="s">
        <v>2229</v>
      </c>
      <c r="AH201" s="199" t="s">
        <v>1846</v>
      </c>
      <c r="AI201" s="199" t="s">
        <v>410</v>
      </c>
      <c r="AJ201" s="199"/>
      <c r="AK201" s="199"/>
      <c r="AL201" s="199"/>
      <c r="AM201" s="199"/>
      <c r="AN201" s="199"/>
    </row>
    <row r="202" spans="5:40">
      <c r="E202" s="199">
        <v>198</v>
      </c>
      <c r="F202" s="199" t="s">
        <v>686</v>
      </c>
      <c r="G202" s="199" t="s">
        <v>687</v>
      </c>
      <c r="I202" s="9" t="s">
        <v>1105</v>
      </c>
      <c r="J202" s="9" t="s">
        <v>1105</v>
      </c>
      <c r="K202" s="9">
        <v>811</v>
      </c>
      <c r="L202" s="9"/>
      <c r="M202" s="9"/>
      <c r="N202" s="9" t="s">
        <v>410</v>
      </c>
      <c r="O202" s="9" t="s">
        <v>689</v>
      </c>
      <c r="P202" s="9" t="s">
        <v>1106</v>
      </c>
      <c r="Q202" s="9"/>
      <c r="R202" s="9"/>
      <c r="S202" s="9" t="b">
        <v>0</v>
      </c>
      <c r="T202" s="9"/>
      <c r="U202" s="9"/>
      <c r="X202" s="199">
        <v>194</v>
      </c>
      <c r="Y202" s="199"/>
      <c r="Z202" s="199"/>
      <c r="AA202" s="199"/>
      <c r="AB202" s="199" t="s">
        <v>1772</v>
      </c>
      <c r="AC202" s="199"/>
      <c r="AE202" s="199">
        <v>198</v>
      </c>
      <c r="AF202" s="199" t="s">
        <v>2230</v>
      </c>
      <c r="AG202" s="199" t="s">
        <v>2231</v>
      </c>
      <c r="AH202" s="199" t="s">
        <v>1846</v>
      </c>
      <c r="AI202" s="199" t="s">
        <v>410</v>
      </c>
      <c r="AJ202" s="199"/>
      <c r="AK202" s="199"/>
      <c r="AL202" s="199"/>
      <c r="AM202" s="199"/>
      <c r="AN202" s="199"/>
    </row>
    <row r="203" spans="5:40">
      <c r="I203" s="9" t="s">
        <v>1107</v>
      </c>
      <c r="J203" s="9" t="s">
        <v>1107</v>
      </c>
      <c r="K203" s="9">
        <v>812</v>
      </c>
      <c r="L203" s="9"/>
      <c r="M203" s="9"/>
      <c r="N203" s="9" t="s">
        <v>410</v>
      </c>
      <c r="O203" s="9" t="s">
        <v>689</v>
      </c>
      <c r="P203" s="9" t="s">
        <v>1108</v>
      </c>
      <c r="Q203" s="9"/>
      <c r="R203" s="9"/>
      <c r="S203" s="9" t="b">
        <v>0</v>
      </c>
      <c r="T203" s="9"/>
      <c r="U203" s="9"/>
      <c r="X203" s="199">
        <v>195</v>
      </c>
      <c r="Y203" s="199" t="s">
        <v>712</v>
      </c>
      <c r="Z203" s="199"/>
      <c r="AA203" s="199"/>
      <c r="AB203" s="199" t="s">
        <v>1318</v>
      </c>
      <c r="AC203" s="199"/>
      <c r="AE203" s="199">
        <v>199</v>
      </c>
      <c r="AF203" s="199" t="s">
        <v>2232</v>
      </c>
      <c r="AG203" s="199" t="s">
        <v>2233</v>
      </c>
      <c r="AH203" s="199" t="s">
        <v>1846</v>
      </c>
      <c r="AI203" s="199" t="s">
        <v>410</v>
      </c>
      <c r="AJ203" s="199"/>
      <c r="AK203" s="199"/>
      <c r="AL203" s="199"/>
      <c r="AM203" s="199"/>
      <c r="AN203" s="199"/>
    </row>
    <row r="204" spans="5:40">
      <c r="I204" s="9" t="s">
        <v>1109</v>
      </c>
      <c r="J204" s="9" t="s">
        <v>1109</v>
      </c>
      <c r="K204" s="9">
        <v>813</v>
      </c>
      <c r="L204" s="9"/>
      <c r="M204" s="9"/>
      <c r="N204" s="9" t="s">
        <v>410</v>
      </c>
      <c r="O204" s="9" t="s">
        <v>689</v>
      </c>
      <c r="P204" s="9" t="s">
        <v>877</v>
      </c>
      <c r="Q204" s="9"/>
      <c r="R204" s="9"/>
      <c r="S204" s="9" t="b">
        <v>0</v>
      </c>
      <c r="T204" s="9"/>
      <c r="U204" s="9"/>
      <c r="X204" s="199">
        <v>196</v>
      </c>
      <c r="Y204" s="199" t="s">
        <v>1773</v>
      </c>
      <c r="Z204" s="199"/>
      <c r="AA204" s="199"/>
      <c r="AB204" s="199" t="s">
        <v>753</v>
      </c>
      <c r="AC204" s="199"/>
      <c r="AE204" s="199">
        <v>200</v>
      </c>
      <c r="AF204" s="199" t="s">
        <v>2234</v>
      </c>
      <c r="AG204" s="199" t="s">
        <v>2235</v>
      </c>
      <c r="AH204" s="199" t="s">
        <v>1846</v>
      </c>
      <c r="AI204" s="199" t="s">
        <v>410</v>
      </c>
      <c r="AJ204" s="199"/>
      <c r="AK204" s="199"/>
      <c r="AL204" s="199"/>
      <c r="AM204" s="199"/>
      <c r="AN204" s="199"/>
    </row>
    <row r="205" spans="5:40">
      <c r="I205" s="9" t="s">
        <v>1110</v>
      </c>
      <c r="J205" s="9" t="s">
        <v>1110</v>
      </c>
      <c r="K205" s="9">
        <v>814</v>
      </c>
      <c r="L205" s="9"/>
      <c r="M205" s="9"/>
      <c r="N205" s="9" t="s">
        <v>410</v>
      </c>
      <c r="O205" s="9" t="s">
        <v>749</v>
      </c>
      <c r="P205" s="9" t="s">
        <v>1111</v>
      </c>
      <c r="Q205" s="9"/>
      <c r="R205" s="9"/>
      <c r="S205" s="9" t="b">
        <v>0</v>
      </c>
      <c r="T205" s="9"/>
      <c r="U205" s="9"/>
      <c r="X205" s="199">
        <v>197</v>
      </c>
      <c r="Y205" s="199" t="s">
        <v>1774</v>
      </c>
      <c r="Z205" s="199"/>
      <c r="AA205" s="199"/>
      <c r="AB205" s="199" t="s">
        <v>1082</v>
      </c>
      <c r="AC205" s="199"/>
      <c r="AE205" s="199">
        <v>201</v>
      </c>
      <c r="AF205" s="199" t="s">
        <v>2236</v>
      </c>
      <c r="AG205" s="199" t="s">
        <v>2237</v>
      </c>
      <c r="AH205" s="199" t="s">
        <v>1846</v>
      </c>
      <c r="AI205" s="199" t="s">
        <v>410</v>
      </c>
      <c r="AJ205" s="199"/>
      <c r="AK205" s="199"/>
      <c r="AL205" s="199"/>
      <c r="AM205" s="199"/>
      <c r="AN205" s="199"/>
    </row>
    <row r="206" spans="5:40">
      <c r="I206" s="9" t="s">
        <v>1112</v>
      </c>
      <c r="J206" s="9" t="s">
        <v>1112</v>
      </c>
      <c r="K206" s="9">
        <v>819</v>
      </c>
      <c r="L206" s="9"/>
      <c r="M206" s="9"/>
      <c r="N206" s="9" t="s">
        <v>410</v>
      </c>
      <c r="O206" s="9" t="s">
        <v>1113</v>
      </c>
      <c r="P206" s="9" t="s">
        <v>769</v>
      </c>
      <c r="Q206" s="9"/>
      <c r="R206" s="9"/>
      <c r="S206" s="9" t="b">
        <v>0</v>
      </c>
      <c r="T206" s="9"/>
      <c r="U206" s="9" t="s">
        <v>1114</v>
      </c>
      <c r="X206" s="199">
        <v>198</v>
      </c>
      <c r="Y206" s="199" t="s">
        <v>1775</v>
      </c>
      <c r="Z206" s="199"/>
      <c r="AA206" s="199"/>
      <c r="AB206" s="199" t="s">
        <v>1088</v>
      </c>
      <c r="AC206" s="199"/>
      <c r="AE206" s="199">
        <v>202</v>
      </c>
      <c r="AF206" s="199" t="s">
        <v>2238</v>
      </c>
      <c r="AG206" s="199" t="s">
        <v>2239</v>
      </c>
      <c r="AH206" s="199" t="s">
        <v>1846</v>
      </c>
      <c r="AI206" s="199" t="s">
        <v>410</v>
      </c>
      <c r="AJ206" s="199"/>
      <c r="AK206" s="199"/>
      <c r="AL206" s="199"/>
      <c r="AM206" s="199"/>
      <c r="AN206" s="199"/>
    </row>
    <row r="207" spans="5:40">
      <c r="I207" s="9" t="s">
        <v>1115</v>
      </c>
      <c r="J207" s="9" t="s">
        <v>1115</v>
      </c>
      <c r="K207" s="9">
        <v>820</v>
      </c>
      <c r="L207" s="9"/>
      <c r="M207" s="9"/>
      <c r="N207" s="9" t="s">
        <v>410</v>
      </c>
      <c r="O207" s="9" t="s">
        <v>724</v>
      </c>
      <c r="P207" s="9" t="s">
        <v>1048</v>
      </c>
      <c r="Q207" s="9"/>
      <c r="R207" s="9"/>
      <c r="S207" s="9" t="b">
        <v>0</v>
      </c>
      <c r="T207" s="9"/>
      <c r="U207" s="9"/>
      <c r="X207" s="199">
        <v>199</v>
      </c>
      <c r="Y207" s="199" t="s">
        <v>1776</v>
      </c>
      <c r="Z207" s="199"/>
      <c r="AA207" s="199"/>
      <c r="AB207" s="199" t="s">
        <v>1261</v>
      </c>
      <c r="AC207" s="199"/>
      <c r="AE207" s="199">
        <v>203</v>
      </c>
      <c r="AF207" s="199" t="s">
        <v>2240</v>
      </c>
      <c r="AG207" s="199" t="s">
        <v>2241</v>
      </c>
      <c r="AH207" s="199" t="s">
        <v>1846</v>
      </c>
      <c r="AI207" s="199" t="s">
        <v>410</v>
      </c>
      <c r="AJ207" s="199"/>
      <c r="AK207" s="199"/>
      <c r="AL207" s="199"/>
      <c r="AM207" s="199"/>
      <c r="AN207" s="199"/>
    </row>
    <row r="208" spans="5:40">
      <c r="I208" s="9" t="s">
        <v>1116</v>
      </c>
      <c r="J208" s="9" t="s">
        <v>1116</v>
      </c>
      <c r="K208" s="9">
        <v>821</v>
      </c>
      <c r="L208" s="9"/>
      <c r="M208" s="9"/>
      <c r="N208" s="9" t="s">
        <v>400</v>
      </c>
      <c r="O208" s="9" t="s">
        <v>749</v>
      </c>
      <c r="P208" s="9" t="s">
        <v>1117</v>
      </c>
      <c r="Q208" s="9"/>
      <c r="R208" s="9"/>
      <c r="S208" s="9" t="b">
        <v>0</v>
      </c>
      <c r="T208" s="9"/>
      <c r="U208" s="9" t="s">
        <v>1118</v>
      </c>
      <c r="X208" s="199">
        <v>200</v>
      </c>
      <c r="Y208" s="199" t="s">
        <v>1777</v>
      </c>
      <c r="Z208" s="199"/>
      <c r="AA208" s="199"/>
      <c r="AB208" s="199" t="s">
        <v>987</v>
      </c>
      <c r="AC208" s="199"/>
      <c r="AE208" s="199">
        <v>204</v>
      </c>
      <c r="AF208" s="199" t="s">
        <v>2242</v>
      </c>
      <c r="AG208" s="199" t="s">
        <v>2243</v>
      </c>
      <c r="AH208" s="199" t="s">
        <v>1846</v>
      </c>
      <c r="AI208" s="199" t="s">
        <v>410</v>
      </c>
      <c r="AJ208" s="199"/>
      <c r="AK208" s="199"/>
      <c r="AL208" s="199"/>
      <c r="AM208" s="199"/>
      <c r="AN208" s="199"/>
    </row>
    <row r="209" spans="9:40">
      <c r="I209" s="9" t="s">
        <v>1119</v>
      </c>
      <c r="J209" s="9" t="s">
        <v>1119</v>
      </c>
      <c r="K209" s="9">
        <v>822</v>
      </c>
      <c r="L209" s="9"/>
      <c r="M209" s="9"/>
      <c r="N209" s="9" t="s">
        <v>410</v>
      </c>
      <c r="O209" s="9" t="s">
        <v>724</v>
      </c>
      <c r="P209" s="9" t="s">
        <v>1120</v>
      </c>
      <c r="Q209" s="9"/>
      <c r="R209" s="9"/>
      <c r="S209" s="9" t="b">
        <v>0</v>
      </c>
      <c r="T209" s="9"/>
      <c r="U209" s="9"/>
      <c r="X209" s="199">
        <v>201</v>
      </c>
      <c r="Y209" s="199" t="s">
        <v>1778</v>
      </c>
      <c r="Z209" s="199"/>
      <c r="AA209" s="199"/>
      <c r="AB209" s="199" t="s">
        <v>1514</v>
      </c>
      <c r="AC209" s="199"/>
      <c r="AE209" s="199">
        <v>205</v>
      </c>
      <c r="AF209" s="199" t="s">
        <v>2244</v>
      </c>
      <c r="AG209" s="199" t="s">
        <v>2235</v>
      </c>
      <c r="AH209" s="199" t="s">
        <v>1846</v>
      </c>
      <c r="AI209" s="199" t="s">
        <v>410</v>
      </c>
      <c r="AJ209" s="199"/>
      <c r="AK209" s="199"/>
      <c r="AL209" s="199"/>
      <c r="AM209" s="199"/>
      <c r="AN209" s="199"/>
    </row>
    <row r="210" spans="9:40">
      <c r="I210" s="9" t="s">
        <v>1121</v>
      </c>
      <c r="J210" s="9" t="s">
        <v>1121</v>
      </c>
      <c r="K210" s="9">
        <v>823</v>
      </c>
      <c r="L210" s="9"/>
      <c r="M210" s="9"/>
      <c r="N210" s="9" t="s">
        <v>410</v>
      </c>
      <c r="O210" s="9" t="s">
        <v>689</v>
      </c>
      <c r="P210" s="9" t="s">
        <v>1122</v>
      </c>
      <c r="Q210" s="9"/>
      <c r="R210" s="9"/>
      <c r="S210" s="9" t="b">
        <v>0</v>
      </c>
      <c r="T210" s="9"/>
      <c r="U210" s="9"/>
      <c r="X210" s="199">
        <v>202</v>
      </c>
      <c r="Y210" s="199" t="s">
        <v>1779</v>
      </c>
      <c r="Z210" s="199"/>
      <c r="AA210" s="199"/>
      <c r="AB210" s="199" t="s">
        <v>1512</v>
      </c>
      <c r="AC210" s="199"/>
      <c r="AE210" s="199">
        <v>206</v>
      </c>
      <c r="AF210" s="199" t="s">
        <v>2245</v>
      </c>
      <c r="AG210" s="199" t="s">
        <v>2246</v>
      </c>
      <c r="AH210" s="199" t="s">
        <v>1846</v>
      </c>
      <c r="AI210" s="199" t="s">
        <v>410</v>
      </c>
      <c r="AJ210" s="199"/>
      <c r="AK210" s="199"/>
      <c r="AL210" s="199"/>
      <c r="AM210" s="199"/>
      <c r="AN210" s="199"/>
    </row>
    <row r="211" spans="9:40">
      <c r="I211" s="9" t="s">
        <v>1123</v>
      </c>
      <c r="J211" s="9" t="s">
        <v>1123</v>
      </c>
      <c r="K211" s="9">
        <v>824</v>
      </c>
      <c r="L211" s="9"/>
      <c r="M211" s="9"/>
      <c r="N211" s="9" t="s">
        <v>410</v>
      </c>
      <c r="O211" s="9" t="s">
        <v>720</v>
      </c>
      <c r="P211" s="9" t="s">
        <v>947</v>
      </c>
      <c r="Q211" s="9"/>
      <c r="R211" s="9"/>
      <c r="S211" s="9" t="b">
        <v>0</v>
      </c>
      <c r="T211" s="9"/>
      <c r="U211" s="9" t="s">
        <v>1124</v>
      </c>
      <c r="X211" s="199">
        <v>203</v>
      </c>
      <c r="Y211" s="199" t="s">
        <v>1780</v>
      </c>
      <c r="Z211" s="199"/>
      <c r="AA211" s="199"/>
      <c r="AB211" s="199" t="s">
        <v>1423</v>
      </c>
      <c r="AC211" s="199"/>
      <c r="AE211" s="199">
        <v>207</v>
      </c>
      <c r="AF211" s="199" t="s">
        <v>2247</v>
      </c>
      <c r="AG211" s="199" t="s">
        <v>2248</v>
      </c>
      <c r="AH211" s="199" t="s">
        <v>1846</v>
      </c>
      <c r="AI211" s="199" t="s">
        <v>410</v>
      </c>
      <c r="AJ211" s="199"/>
      <c r="AK211" s="199"/>
      <c r="AL211" s="199"/>
      <c r="AM211" s="199"/>
      <c r="AN211" s="199"/>
    </row>
    <row r="212" spans="9:40">
      <c r="I212" s="9" t="s">
        <v>1125</v>
      </c>
      <c r="J212" s="9" t="s">
        <v>1125</v>
      </c>
      <c r="K212" s="9">
        <v>825</v>
      </c>
      <c r="L212" s="9"/>
      <c r="M212" s="9"/>
      <c r="N212" s="9" t="s">
        <v>626</v>
      </c>
      <c r="O212" s="9" t="s">
        <v>724</v>
      </c>
      <c r="P212" s="9" t="s">
        <v>1126</v>
      </c>
      <c r="Q212" s="9"/>
      <c r="R212" s="9"/>
      <c r="S212" s="9" t="b">
        <v>0</v>
      </c>
      <c r="T212" s="9"/>
      <c r="U212" s="9" t="s">
        <v>1127</v>
      </c>
      <c r="X212" s="199">
        <v>204</v>
      </c>
      <c r="Y212" s="199"/>
      <c r="Z212" s="199"/>
      <c r="AA212" s="199"/>
      <c r="AB212" s="199" t="s">
        <v>1118</v>
      </c>
      <c r="AC212" s="199"/>
      <c r="AE212" s="199">
        <v>208</v>
      </c>
      <c r="AF212" s="199" t="s">
        <v>2249</v>
      </c>
      <c r="AG212" s="199" t="s">
        <v>2250</v>
      </c>
      <c r="AH212" s="199" t="s">
        <v>1846</v>
      </c>
      <c r="AI212" s="199" t="s">
        <v>410</v>
      </c>
      <c r="AJ212" s="199"/>
      <c r="AK212" s="199"/>
      <c r="AL212" s="199"/>
      <c r="AM212" s="199"/>
      <c r="AN212" s="199"/>
    </row>
    <row r="213" spans="9:40">
      <c r="I213" s="9" t="s">
        <v>1128</v>
      </c>
      <c r="J213" s="9" t="s">
        <v>1128</v>
      </c>
      <c r="K213" s="9">
        <v>826</v>
      </c>
      <c r="L213" s="9"/>
      <c r="M213" s="9"/>
      <c r="N213" s="9" t="s">
        <v>626</v>
      </c>
      <c r="O213" s="9" t="s">
        <v>724</v>
      </c>
      <c r="P213" s="9" t="s">
        <v>1041</v>
      </c>
      <c r="Q213" s="9"/>
      <c r="R213" s="9"/>
      <c r="S213" s="9" t="b">
        <v>0</v>
      </c>
      <c r="T213" s="9"/>
      <c r="U213" s="9" t="s">
        <v>712</v>
      </c>
      <c r="X213" s="199">
        <v>205</v>
      </c>
      <c r="Y213" s="199" t="s">
        <v>1781</v>
      </c>
      <c r="Z213" s="199"/>
      <c r="AA213" s="199"/>
      <c r="AB213" s="199" t="s">
        <v>755</v>
      </c>
      <c r="AC213" s="199"/>
      <c r="AE213" s="199">
        <v>209</v>
      </c>
      <c r="AF213" s="199" t="s">
        <v>2251</v>
      </c>
      <c r="AG213" s="199" t="s">
        <v>2252</v>
      </c>
      <c r="AH213" s="199" t="s">
        <v>1846</v>
      </c>
      <c r="AI213" s="199" t="s">
        <v>410</v>
      </c>
      <c r="AJ213" s="199"/>
      <c r="AK213" s="199"/>
      <c r="AL213" s="199"/>
      <c r="AM213" s="199"/>
      <c r="AN213" s="199"/>
    </row>
    <row r="214" spans="9:40">
      <c r="I214" s="9" t="s">
        <v>1129</v>
      </c>
      <c r="J214" s="9" t="s">
        <v>1129</v>
      </c>
      <c r="K214" s="9">
        <v>828</v>
      </c>
      <c r="L214" s="9"/>
      <c r="M214" s="9"/>
      <c r="N214" s="9" t="s">
        <v>410</v>
      </c>
      <c r="O214" s="9" t="s">
        <v>689</v>
      </c>
      <c r="P214" s="9" t="s">
        <v>1130</v>
      </c>
      <c r="Q214" s="9"/>
      <c r="R214" s="9"/>
      <c r="S214" s="9" t="b">
        <v>0</v>
      </c>
      <c r="T214" s="9"/>
      <c r="U214" s="9"/>
      <c r="X214" s="199">
        <v>206</v>
      </c>
      <c r="Y214" s="199" t="s">
        <v>1782</v>
      </c>
      <c r="Z214" s="199"/>
      <c r="AA214" s="199"/>
      <c r="AB214" s="199" t="s">
        <v>921</v>
      </c>
      <c r="AC214" s="199"/>
      <c r="AE214" s="199">
        <v>210</v>
      </c>
      <c r="AF214" s="199" t="s">
        <v>2253</v>
      </c>
      <c r="AG214" s="199" t="s">
        <v>2254</v>
      </c>
      <c r="AH214" s="199" t="s">
        <v>1846</v>
      </c>
      <c r="AI214" s="199" t="s">
        <v>410</v>
      </c>
      <c r="AJ214" s="199"/>
      <c r="AK214" s="199"/>
      <c r="AL214" s="199"/>
      <c r="AM214" s="199"/>
      <c r="AN214" s="199"/>
    </row>
    <row r="215" spans="9:40">
      <c r="I215" s="9" t="s">
        <v>1131</v>
      </c>
      <c r="J215" s="9" t="s">
        <v>1131</v>
      </c>
      <c r="K215" s="9">
        <v>829</v>
      </c>
      <c r="L215" s="9"/>
      <c r="M215" s="9"/>
      <c r="N215" s="9" t="s">
        <v>626</v>
      </c>
      <c r="O215" s="9" t="s">
        <v>720</v>
      </c>
      <c r="P215" s="9" t="s">
        <v>1132</v>
      </c>
      <c r="Q215" s="9"/>
      <c r="R215" s="9"/>
      <c r="S215" s="9" t="b">
        <v>0</v>
      </c>
      <c r="T215" s="9"/>
      <c r="U215" s="9" t="s">
        <v>1133</v>
      </c>
      <c r="X215" s="199">
        <v>207</v>
      </c>
      <c r="Y215" s="199" t="s">
        <v>1783</v>
      </c>
      <c r="Z215" s="199"/>
      <c r="AA215" s="199"/>
      <c r="AB215" s="199" t="s">
        <v>1295</v>
      </c>
      <c r="AC215" s="199"/>
      <c r="AE215" s="199">
        <v>211</v>
      </c>
      <c r="AF215" s="199" t="s">
        <v>2255</v>
      </c>
      <c r="AG215" s="199" t="s">
        <v>2256</v>
      </c>
      <c r="AH215" s="199" t="s">
        <v>1846</v>
      </c>
      <c r="AI215" s="199" t="s">
        <v>410</v>
      </c>
      <c r="AJ215" s="199"/>
      <c r="AK215" s="199"/>
      <c r="AL215" s="199"/>
      <c r="AM215" s="199"/>
      <c r="AN215" s="199"/>
    </row>
    <row r="216" spans="9:40">
      <c r="I216" s="9" t="s">
        <v>1134</v>
      </c>
      <c r="J216" s="9" t="s">
        <v>1134</v>
      </c>
      <c r="K216" s="9">
        <v>830</v>
      </c>
      <c r="L216" s="9"/>
      <c r="M216" s="9"/>
      <c r="N216" s="9" t="s">
        <v>626</v>
      </c>
      <c r="O216" s="9" t="s">
        <v>749</v>
      </c>
      <c r="P216" s="9" t="s">
        <v>1135</v>
      </c>
      <c r="Q216" s="9"/>
      <c r="R216" s="9"/>
      <c r="S216" s="9" t="b">
        <v>0</v>
      </c>
      <c r="T216" s="9"/>
      <c r="U216" s="9" t="s">
        <v>923</v>
      </c>
      <c r="X216" s="199">
        <v>208</v>
      </c>
      <c r="Y216" s="199" t="s">
        <v>1784</v>
      </c>
      <c r="Z216" s="199"/>
      <c r="AA216" s="199"/>
      <c r="AB216" s="199" t="s">
        <v>984</v>
      </c>
      <c r="AC216" s="199"/>
      <c r="AE216" s="199">
        <v>212</v>
      </c>
      <c r="AF216" s="199" t="s">
        <v>2257</v>
      </c>
      <c r="AG216" s="199" t="s">
        <v>2258</v>
      </c>
      <c r="AH216" s="199" t="s">
        <v>1846</v>
      </c>
      <c r="AI216" s="199" t="s">
        <v>410</v>
      </c>
      <c r="AJ216" s="199"/>
      <c r="AK216" s="199"/>
      <c r="AL216" s="199"/>
      <c r="AM216" s="199"/>
      <c r="AN216" s="199"/>
    </row>
    <row r="217" spans="9:40">
      <c r="I217" s="9" t="s">
        <v>1136</v>
      </c>
      <c r="J217" s="9" t="s">
        <v>1136</v>
      </c>
      <c r="K217" s="9">
        <v>833</v>
      </c>
      <c r="L217" s="9"/>
      <c r="M217" s="9"/>
      <c r="N217" s="9" t="s">
        <v>626</v>
      </c>
      <c r="O217" s="9" t="s">
        <v>689</v>
      </c>
      <c r="P217" s="9" t="s">
        <v>1135</v>
      </c>
      <c r="Q217" s="9"/>
      <c r="R217" s="9"/>
      <c r="S217" s="9" t="b">
        <v>0</v>
      </c>
      <c r="T217" s="9"/>
      <c r="U217" s="9"/>
      <c r="X217" s="199">
        <v>209</v>
      </c>
      <c r="Y217" s="199" t="s">
        <v>1785</v>
      </c>
      <c r="Z217" s="199"/>
      <c r="AA217" s="199"/>
      <c r="AB217" s="199" t="s">
        <v>1520</v>
      </c>
      <c r="AC217" s="199"/>
      <c r="AE217" s="199">
        <v>213</v>
      </c>
      <c r="AF217" s="199" t="s">
        <v>2259</v>
      </c>
      <c r="AG217" s="199" t="s">
        <v>2260</v>
      </c>
      <c r="AH217" s="199" t="s">
        <v>1846</v>
      </c>
      <c r="AI217" s="199" t="s">
        <v>410</v>
      </c>
      <c r="AJ217" s="199"/>
      <c r="AK217" s="199"/>
      <c r="AL217" s="199"/>
      <c r="AM217" s="199"/>
      <c r="AN217" s="199"/>
    </row>
    <row r="218" spans="9:40">
      <c r="I218" s="9" t="s">
        <v>1137</v>
      </c>
      <c r="J218" s="9" t="s">
        <v>1137</v>
      </c>
      <c r="K218" s="9">
        <v>834</v>
      </c>
      <c r="L218" s="9"/>
      <c r="M218" s="9"/>
      <c r="N218" s="9" t="s">
        <v>410</v>
      </c>
      <c r="O218" s="9" t="s">
        <v>1138</v>
      </c>
      <c r="P218" s="9" t="s">
        <v>1139</v>
      </c>
      <c r="Q218" s="9"/>
      <c r="R218" s="9"/>
      <c r="S218" s="9" t="b">
        <v>0</v>
      </c>
      <c r="T218" s="9"/>
      <c r="U218" s="9"/>
      <c r="X218" s="199">
        <v>210</v>
      </c>
      <c r="Y218" s="199" t="s">
        <v>1786</v>
      </c>
      <c r="Z218" s="199"/>
      <c r="AA218" s="199"/>
      <c r="AB218" s="199" t="s">
        <v>1410</v>
      </c>
      <c r="AC218" s="199"/>
      <c r="AE218" s="199">
        <v>214</v>
      </c>
      <c r="AF218" s="199" t="s">
        <v>2261</v>
      </c>
      <c r="AG218" s="199" t="s">
        <v>2262</v>
      </c>
      <c r="AH218" s="199" t="s">
        <v>1846</v>
      </c>
      <c r="AI218" s="199" t="s">
        <v>410</v>
      </c>
      <c r="AJ218" s="199"/>
      <c r="AK218" s="199"/>
      <c r="AL218" s="199"/>
      <c r="AM218" s="199"/>
      <c r="AN218" s="199"/>
    </row>
    <row r="219" spans="9:40">
      <c r="I219" s="9" t="s">
        <v>1140</v>
      </c>
      <c r="J219" s="9" t="s">
        <v>1140</v>
      </c>
      <c r="K219" s="9">
        <v>835</v>
      </c>
      <c r="L219" s="9"/>
      <c r="M219" s="9"/>
      <c r="N219" s="9" t="s">
        <v>410</v>
      </c>
      <c r="O219" s="9" t="s">
        <v>1138</v>
      </c>
      <c r="P219" s="9" t="s">
        <v>1139</v>
      </c>
      <c r="Q219" s="9"/>
      <c r="R219" s="9"/>
      <c r="S219" s="9" t="b">
        <v>0</v>
      </c>
      <c r="T219" s="9"/>
      <c r="U219" s="9"/>
      <c r="X219" s="199">
        <v>211</v>
      </c>
      <c r="Y219" s="199" t="s">
        <v>1787</v>
      </c>
      <c r="Z219" s="199"/>
      <c r="AA219" s="199"/>
      <c r="AB219" s="199" t="s">
        <v>1508</v>
      </c>
      <c r="AC219" s="199"/>
      <c r="AE219" s="199">
        <v>215</v>
      </c>
      <c r="AF219" s="199" t="s">
        <v>2263</v>
      </c>
      <c r="AG219" s="199" t="s">
        <v>2264</v>
      </c>
      <c r="AH219" s="199" t="s">
        <v>1846</v>
      </c>
      <c r="AI219" s="199" t="s">
        <v>410</v>
      </c>
      <c r="AJ219" s="199"/>
      <c r="AK219" s="199"/>
      <c r="AL219" s="199"/>
      <c r="AM219" s="199"/>
      <c r="AN219" s="199"/>
    </row>
    <row r="220" spans="9:40">
      <c r="I220" s="9" t="s">
        <v>1141</v>
      </c>
      <c r="J220" s="9" t="s">
        <v>1141</v>
      </c>
      <c r="K220" s="9">
        <v>836</v>
      </c>
      <c r="L220" s="9"/>
      <c r="M220" s="9"/>
      <c r="N220" s="9" t="s">
        <v>410</v>
      </c>
      <c r="O220" s="9" t="s">
        <v>1138</v>
      </c>
      <c r="P220" s="9" t="s">
        <v>1142</v>
      </c>
      <c r="Q220" s="9"/>
      <c r="R220" s="9"/>
      <c r="S220" s="9" t="b">
        <v>0</v>
      </c>
      <c r="T220" s="9"/>
      <c r="U220" s="9"/>
      <c r="X220" s="199">
        <v>212</v>
      </c>
      <c r="Y220" s="199" t="s">
        <v>1788</v>
      </c>
      <c r="Z220" s="199"/>
      <c r="AA220" s="199"/>
      <c r="AB220" s="199" t="s">
        <v>938</v>
      </c>
      <c r="AC220" s="199"/>
      <c r="AE220" s="199">
        <v>216</v>
      </c>
      <c r="AF220" s="199" t="s">
        <v>2265</v>
      </c>
      <c r="AG220" s="199" t="s">
        <v>2266</v>
      </c>
      <c r="AH220" s="199" t="s">
        <v>1846</v>
      </c>
      <c r="AI220" s="199" t="s">
        <v>410</v>
      </c>
      <c r="AJ220" s="199"/>
      <c r="AK220" s="199"/>
      <c r="AL220" s="199"/>
      <c r="AM220" s="199"/>
      <c r="AN220" s="199"/>
    </row>
    <row r="221" spans="9:40">
      <c r="I221" s="9" t="s">
        <v>1143</v>
      </c>
      <c r="J221" s="9" t="s">
        <v>1143</v>
      </c>
      <c r="K221" s="9">
        <v>837</v>
      </c>
      <c r="L221" s="9"/>
      <c r="M221" s="9"/>
      <c r="N221" s="9" t="s">
        <v>410</v>
      </c>
      <c r="O221" s="9" t="s">
        <v>689</v>
      </c>
      <c r="P221" s="9" t="s">
        <v>1144</v>
      </c>
      <c r="Q221" s="9"/>
      <c r="R221" s="9"/>
      <c r="S221" s="9" t="b">
        <v>0</v>
      </c>
      <c r="T221" s="9"/>
      <c r="U221" s="9" t="s">
        <v>1030</v>
      </c>
      <c r="X221" s="199">
        <v>213</v>
      </c>
      <c r="Y221" s="199" t="s">
        <v>1789</v>
      </c>
      <c r="Z221" s="199"/>
      <c r="AA221" s="199"/>
      <c r="AB221" s="199" t="s">
        <v>1383</v>
      </c>
      <c r="AC221" s="199"/>
      <c r="AE221" s="199">
        <v>217</v>
      </c>
      <c r="AF221" s="199" t="s">
        <v>2267</v>
      </c>
      <c r="AG221" s="199" t="s">
        <v>2268</v>
      </c>
      <c r="AH221" s="199" t="s">
        <v>1846</v>
      </c>
      <c r="AI221" s="199" t="s">
        <v>410</v>
      </c>
      <c r="AJ221" s="199"/>
      <c r="AK221" s="199"/>
      <c r="AL221" s="199"/>
      <c r="AM221" s="199"/>
      <c r="AN221" s="199"/>
    </row>
    <row r="222" spans="9:40">
      <c r="I222" s="9" t="s">
        <v>1145</v>
      </c>
      <c r="J222" s="9" t="s">
        <v>1145</v>
      </c>
      <c r="K222" s="9">
        <v>838</v>
      </c>
      <c r="L222" s="9"/>
      <c r="M222" s="9"/>
      <c r="N222" s="9" t="s">
        <v>410</v>
      </c>
      <c r="O222" s="9" t="s">
        <v>689</v>
      </c>
      <c r="P222" s="9" t="s">
        <v>1144</v>
      </c>
      <c r="Q222" s="9"/>
      <c r="R222" s="9"/>
      <c r="S222" s="9" t="b">
        <v>0</v>
      </c>
      <c r="T222" s="9"/>
      <c r="U222" s="9"/>
      <c r="X222" s="199">
        <v>214</v>
      </c>
      <c r="Y222" s="199" t="s">
        <v>712</v>
      </c>
      <c r="Z222" s="199"/>
      <c r="AA222" s="199"/>
      <c r="AB222" s="199" t="s">
        <v>1790</v>
      </c>
      <c r="AC222" s="199"/>
      <c r="AE222" s="199">
        <v>218</v>
      </c>
      <c r="AF222" s="199" t="s">
        <v>2269</v>
      </c>
      <c r="AG222" s="199"/>
      <c r="AH222" s="199" t="s">
        <v>1846</v>
      </c>
      <c r="AI222" s="199" t="s">
        <v>410</v>
      </c>
      <c r="AJ222" s="199"/>
      <c r="AK222" s="199"/>
      <c r="AL222" s="199"/>
      <c r="AM222" s="199"/>
      <c r="AN222" s="199"/>
    </row>
    <row r="223" spans="9:40">
      <c r="I223" s="9" t="s">
        <v>1146</v>
      </c>
      <c r="J223" s="9" t="s">
        <v>1146</v>
      </c>
      <c r="K223" s="9">
        <v>840</v>
      </c>
      <c r="L223" s="9"/>
      <c r="M223" s="9"/>
      <c r="N223" s="9" t="s">
        <v>410</v>
      </c>
      <c r="O223" s="9" t="s">
        <v>689</v>
      </c>
      <c r="P223" s="9" t="s">
        <v>1147</v>
      </c>
      <c r="Q223" s="9"/>
      <c r="R223" s="9"/>
      <c r="S223" s="9" t="b">
        <v>0</v>
      </c>
      <c r="T223" s="9"/>
      <c r="U223" s="9"/>
      <c r="X223" s="199">
        <v>215</v>
      </c>
      <c r="Y223" s="199" t="s">
        <v>1791</v>
      </c>
      <c r="Z223" s="199"/>
      <c r="AA223" s="199"/>
      <c r="AB223" s="199" t="s">
        <v>979</v>
      </c>
      <c r="AC223" s="199"/>
      <c r="AE223" s="199">
        <v>219</v>
      </c>
      <c r="AF223" s="199" t="s">
        <v>2270</v>
      </c>
      <c r="AG223" s="199" t="s">
        <v>2271</v>
      </c>
      <c r="AH223" s="199" t="s">
        <v>1846</v>
      </c>
      <c r="AI223" s="199" t="s">
        <v>410</v>
      </c>
      <c r="AJ223" s="199"/>
      <c r="AK223" s="199"/>
      <c r="AL223" s="199"/>
      <c r="AM223" s="199"/>
      <c r="AN223" s="199"/>
    </row>
    <row r="224" spans="9:40">
      <c r="I224" s="9" t="s">
        <v>1148</v>
      </c>
      <c r="J224" s="9" t="s">
        <v>1148</v>
      </c>
      <c r="K224" s="9">
        <v>841</v>
      </c>
      <c r="L224" s="9"/>
      <c r="M224" s="9"/>
      <c r="N224" s="9" t="s">
        <v>410</v>
      </c>
      <c r="O224" s="9" t="s">
        <v>689</v>
      </c>
      <c r="P224" s="9" t="s">
        <v>1147</v>
      </c>
      <c r="Q224" s="9"/>
      <c r="R224" s="9"/>
      <c r="S224" s="9" t="b">
        <v>0</v>
      </c>
      <c r="T224" s="9"/>
      <c r="U224" s="9"/>
      <c r="X224" s="199">
        <v>216</v>
      </c>
      <c r="Y224" s="199"/>
      <c r="Z224" s="199"/>
      <c r="AA224" s="199"/>
      <c r="AB224" s="199" t="s">
        <v>1161</v>
      </c>
      <c r="AC224" s="199"/>
      <c r="AE224" s="199">
        <v>220</v>
      </c>
      <c r="AF224" s="199" t="s">
        <v>2272</v>
      </c>
      <c r="AG224" s="199" t="s">
        <v>2273</v>
      </c>
      <c r="AH224" s="199" t="s">
        <v>1846</v>
      </c>
      <c r="AI224" s="199" t="s">
        <v>410</v>
      </c>
      <c r="AJ224" s="199"/>
      <c r="AK224" s="199"/>
      <c r="AL224" s="199"/>
      <c r="AM224" s="199"/>
      <c r="AN224" s="199"/>
    </row>
    <row r="225" spans="9:40">
      <c r="I225" s="9" t="s">
        <v>1149</v>
      </c>
      <c r="J225" s="9" t="s">
        <v>1149</v>
      </c>
      <c r="K225" s="9">
        <v>842</v>
      </c>
      <c r="L225" s="9"/>
      <c r="M225" s="9"/>
      <c r="N225" s="9" t="s">
        <v>410</v>
      </c>
      <c r="O225" s="9" t="s">
        <v>1075</v>
      </c>
      <c r="P225" s="9" t="s">
        <v>1147</v>
      </c>
      <c r="Q225" s="9"/>
      <c r="R225" s="9"/>
      <c r="S225" s="9" t="b">
        <v>0</v>
      </c>
      <c r="T225" s="9"/>
      <c r="U225" s="9"/>
      <c r="X225" s="199">
        <v>217</v>
      </c>
      <c r="Y225" s="199" t="s">
        <v>1792</v>
      </c>
      <c r="Z225" s="199"/>
      <c r="AA225" s="199"/>
      <c r="AB225" s="199" t="s">
        <v>1793</v>
      </c>
      <c r="AC225" s="199"/>
      <c r="AE225" s="199">
        <v>221</v>
      </c>
      <c r="AF225" s="199" t="s">
        <v>2274</v>
      </c>
      <c r="AG225" s="199" t="s">
        <v>2275</v>
      </c>
      <c r="AH225" s="199" t="s">
        <v>1846</v>
      </c>
      <c r="AI225" s="199" t="s">
        <v>410</v>
      </c>
      <c r="AJ225" s="199"/>
      <c r="AK225" s="199"/>
      <c r="AL225" s="199"/>
      <c r="AM225" s="199"/>
      <c r="AN225" s="199"/>
    </row>
    <row r="226" spans="9:40">
      <c r="I226" s="9" t="s">
        <v>1150</v>
      </c>
      <c r="J226" s="9" t="s">
        <v>1150</v>
      </c>
      <c r="K226" s="9">
        <v>843</v>
      </c>
      <c r="L226" s="9"/>
      <c r="M226" s="9"/>
      <c r="N226" s="9" t="s">
        <v>410</v>
      </c>
      <c r="O226" s="9" t="s">
        <v>724</v>
      </c>
      <c r="P226" s="9" t="s">
        <v>981</v>
      </c>
      <c r="Q226" s="9"/>
      <c r="R226" s="9"/>
      <c r="S226" s="9" t="b">
        <v>0</v>
      </c>
      <c r="T226" s="9"/>
      <c r="U226" s="9"/>
      <c r="X226" s="199">
        <v>218</v>
      </c>
      <c r="Y226" s="199" t="s">
        <v>1763</v>
      </c>
      <c r="Z226" s="199"/>
      <c r="AA226" s="199"/>
      <c r="AB226" s="199" t="s">
        <v>1063</v>
      </c>
      <c r="AC226" s="199"/>
      <c r="AE226" s="199">
        <v>222</v>
      </c>
      <c r="AF226" s="199" t="s">
        <v>2276</v>
      </c>
      <c r="AG226" s="199" t="s">
        <v>2277</v>
      </c>
      <c r="AH226" s="199" t="s">
        <v>1846</v>
      </c>
      <c r="AI226" s="199" t="s">
        <v>410</v>
      </c>
      <c r="AJ226" s="199"/>
      <c r="AK226" s="199"/>
      <c r="AL226" s="199"/>
      <c r="AM226" s="199"/>
      <c r="AN226" s="199"/>
    </row>
    <row r="227" spans="9:40">
      <c r="I227" s="9" t="s">
        <v>1151</v>
      </c>
      <c r="J227" s="9" t="s">
        <v>1151</v>
      </c>
      <c r="K227" s="9">
        <v>844</v>
      </c>
      <c r="L227" s="9"/>
      <c r="M227" s="9"/>
      <c r="N227" s="9" t="s">
        <v>410</v>
      </c>
      <c r="O227" s="9" t="s">
        <v>724</v>
      </c>
      <c r="P227" s="9" t="s">
        <v>1048</v>
      </c>
      <c r="Q227" s="9"/>
      <c r="R227" s="9"/>
      <c r="S227" s="9" t="b">
        <v>0</v>
      </c>
      <c r="T227" s="9"/>
      <c r="U227" s="9"/>
      <c r="X227" s="199">
        <v>219</v>
      </c>
      <c r="Y227" s="199" t="s">
        <v>1794</v>
      </c>
      <c r="Z227" s="199"/>
      <c r="AA227" s="199"/>
      <c r="AB227" s="199" t="s">
        <v>817</v>
      </c>
      <c r="AC227" s="199"/>
      <c r="AE227" s="199">
        <v>223</v>
      </c>
      <c r="AF227" s="199" t="s">
        <v>2278</v>
      </c>
      <c r="AG227" s="199" t="s">
        <v>2279</v>
      </c>
      <c r="AH227" s="199" t="s">
        <v>1846</v>
      </c>
      <c r="AI227" s="199" t="s">
        <v>410</v>
      </c>
      <c r="AJ227" s="199"/>
      <c r="AK227" s="199"/>
      <c r="AL227" s="199"/>
      <c r="AM227" s="199"/>
      <c r="AN227" s="199"/>
    </row>
    <row r="228" spans="9:40">
      <c r="I228" s="9" t="s">
        <v>1152</v>
      </c>
      <c r="J228" s="9" t="s">
        <v>1152</v>
      </c>
      <c r="K228" s="9">
        <v>845</v>
      </c>
      <c r="L228" s="9"/>
      <c r="M228" s="9"/>
      <c r="N228" s="9" t="s">
        <v>410</v>
      </c>
      <c r="O228" s="9" t="s">
        <v>724</v>
      </c>
      <c r="P228" s="9" t="s">
        <v>1120</v>
      </c>
      <c r="Q228" s="9"/>
      <c r="R228" s="9"/>
      <c r="S228" s="9" t="b">
        <v>0</v>
      </c>
      <c r="T228" s="9"/>
      <c r="U228" s="9"/>
      <c r="X228" s="199">
        <v>220</v>
      </c>
      <c r="Y228" s="199" t="s">
        <v>1795</v>
      </c>
      <c r="Z228" s="199"/>
      <c r="AA228" s="199"/>
      <c r="AB228" s="199" t="s">
        <v>976</v>
      </c>
      <c r="AC228" s="199"/>
      <c r="AE228" s="199">
        <v>224</v>
      </c>
      <c r="AF228" s="199" t="s">
        <v>2280</v>
      </c>
      <c r="AG228" s="199" t="s">
        <v>2281</v>
      </c>
      <c r="AH228" s="199" t="s">
        <v>1846</v>
      </c>
      <c r="AI228" s="199" t="s">
        <v>410</v>
      </c>
      <c r="AJ228" s="199"/>
      <c r="AK228" s="199"/>
      <c r="AL228" s="199"/>
      <c r="AM228" s="199"/>
      <c r="AN228" s="199"/>
    </row>
    <row r="229" spans="9:40">
      <c r="I229" s="9" t="s">
        <v>1153</v>
      </c>
      <c r="J229" s="9" t="s">
        <v>1153</v>
      </c>
      <c r="K229" s="9">
        <v>846</v>
      </c>
      <c r="L229" s="9"/>
      <c r="M229" s="9"/>
      <c r="N229" s="9" t="s">
        <v>410</v>
      </c>
      <c r="O229" s="9" t="s">
        <v>724</v>
      </c>
      <c r="P229" s="9" t="s">
        <v>1154</v>
      </c>
      <c r="Q229" s="9"/>
      <c r="R229" s="9"/>
      <c r="S229" s="9" t="b">
        <v>0</v>
      </c>
      <c r="T229" s="9"/>
      <c r="U229" s="9"/>
      <c r="X229" s="199">
        <v>221</v>
      </c>
      <c r="Y229" s="199" t="s">
        <v>1796</v>
      </c>
      <c r="Z229" s="199"/>
      <c r="AA229" s="199"/>
      <c r="AB229" s="199" t="s">
        <v>790</v>
      </c>
      <c r="AC229" s="199"/>
      <c r="AE229" s="199">
        <v>225</v>
      </c>
      <c r="AF229" s="199" t="s">
        <v>2282</v>
      </c>
      <c r="AG229" s="199" t="s">
        <v>2283</v>
      </c>
      <c r="AH229" s="199" t="s">
        <v>1846</v>
      </c>
      <c r="AI229" s="199" t="s">
        <v>410</v>
      </c>
      <c r="AJ229" s="199"/>
      <c r="AK229" s="199"/>
      <c r="AL229" s="199"/>
      <c r="AM229" s="199"/>
      <c r="AN229" s="199"/>
    </row>
    <row r="230" spans="9:40">
      <c r="I230" s="9" t="s">
        <v>1155</v>
      </c>
      <c r="J230" s="9" t="s">
        <v>1155</v>
      </c>
      <c r="K230" s="9">
        <v>847</v>
      </c>
      <c r="L230" s="9"/>
      <c r="M230" s="9"/>
      <c r="N230" s="9" t="s">
        <v>410</v>
      </c>
      <c r="O230" s="9" t="s">
        <v>1138</v>
      </c>
      <c r="P230" s="9" t="s">
        <v>1142</v>
      </c>
      <c r="Q230" s="9"/>
      <c r="R230" s="9"/>
      <c r="S230" s="9" t="b">
        <v>0</v>
      </c>
      <c r="T230" s="9"/>
      <c r="U230" s="9"/>
      <c r="X230" s="199">
        <v>222</v>
      </c>
      <c r="Y230" s="199" t="s">
        <v>1797</v>
      </c>
      <c r="Z230" s="199"/>
      <c r="AA230" s="199"/>
      <c r="AB230" s="199" t="s">
        <v>809</v>
      </c>
      <c r="AC230" s="199"/>
      <c r="AE230" s="199">
        <v>226</v>
      </c>
      <c r="AF230" s="199" t="s">
        <v>2284</v>
      </c>
      <c r="AG230" s="199" t="s">
        <v>2285</v>
      </c>
      <c r="AH230" s="199" t="s">
        <v>1846</v>
      </c>
      <c r="AI230" s="199" t="s">
        <v>410</v>
      </c>
      <c r="AJ230" s="199"/>
      <c r="AK230" s="199"/>
      <c r="AL230" s="199"/>
      <c r="AM230" s="199"/>
      <c r="AN230" s="199"/>
    </row>
    <row r="231" spans="9:40">
      <c r="I231" s="9" t="s">
        <v>1156</v>
      </c>
      <c r="J231" s="9" t="s">
        <v>1156</v>
      </c>
      <c r="K231" s="9">
        <v>848</v>
      </c>
      <c r="L231" s="9"/>
      <c r="M231" s="9"/>
      <c r="N231" s="9" t="s">
        <v>410</v>
      </c>
      <c r="O231" s="9" t="s">
        <v>1113</v>
      </c>
      <c r="P231" s="9" t="s">
        <v>1157</v>
      </c>
      <c r="Q231" s="9"/>
      <c r="R231" s="9"/>
      <c r="S231" s="9" t="b">
        <v>0</v>
      </c>
      <c r="T231" s="9"/>
      <c r="U231" s="9" t="s">
        <v>1158</v>
      </c>
      <c r="X231" s="199">
        <v>223</v>
      </c>
      <c r="Y231" s="199" t="s">
        <v>1798</v>
      </c>
      <c r="Z231" s="199"/>
      <c r="AA231" s="199"/>
      <c r="AB231" s="199" t="s">
        <v>873</v>
      </c>
      <c r="AC231" s="199"/>
      <c r="AE231" s="199">
        <v>227</v>
      </c>
      <c r="AF231" s="199" t="s">
        <v>2286</v>
      </c>
      <c r="AG231" s="199" t="s">
        <v>2287</v>
      </c>
      <c r="AH231" s="199" t="s">
        <v>1846</v>
      </c>
      <c r="AI231" s="199" t="s">
        <v>410</v>
      </c>
      <c r="AJ231" s="199"/>
      <c r="AK231" s="199"/>
      <c r="AL231" s="199"/>
      <c r="AM231" s="199"/>
      <c r="AN231" s="199"/>
    </row>
    <row r="232" spans="9:40">
      <c r="I232" s="9" t="s">
        <v>1159</v>
      </c>
      <c r="J232" s="9" t="s">
        <v>1159</v>
      </c>
      <c r="K232" s="9">
        <v>849</v>
      </c>
      <c r="L232" s="9"/>
      <c r="M232" s="9"/>
      <c r="N232" s="9" t="s">
        <v>410</v>
      </c>
      <c r="O232" s="9" t="s">
        <v>724</v>
      </c>
      <c r="P232" s="9" t="s">
        <v>1160</v>
      </c>
      <c r="Q232" s="9"/>
      <c r="R232" s="9"/>
      <c r="S232" s="9" t="b">
        <v>0</v>
      </c>
      <c r="T232" s="9"/>
      <c r="U232" s="9" t="s">
        <v>1161</v>
      </c>
      <c r="X232" s="199">
        <v>224</v>
      </c>
      <c r="Y232" s="199" t="s">
        <v>1799</v>
      </c>
      <c r="Z232" s="199"/>
      <c r="AA232" s="199"/>
      <c r="AB232" s="199" t="s">
        <v>1223</v>
      </c>
      <c r="AC232" s="199"/>
      <c r="AE232" s="199">
        <v>228</v>
      </c>
      <c r="AF232" s="199" t="s">
        <v>2288</v>
      </c>
      <c r="AG232" s="199" t="s">
        <v>2289</v>
      </c>
      <c r="AH232" s="199" t="s">
        <v>1846</v>
      </c>
      <c r="AI232" s="199" t="s">
        <v>410</v>
      </c>
      <c r="AJ232" s="199"/>
      <c r="AK232" s="199"/>
      <c r="AL232" s="199"/>
      <c r="AM232" s="199"/>
      <c r="AN232" s="199"/>
    </row>
    <row r="233" spans="9:40">
      <c r="I233" s="9" t="s">
        <v>1162</v>
      </c>
      <c r="J233" s="9" t="s">
        <v>1162</v>
      </c>
      <c r="K233" s="9">
        <v>850</v>
      </c>
      <c r="L233" s="9"/>
      <c r="M233" s="9"/>
      <c r="N233" s="9" t="s">
        <v>410</v>
      </c>
      <c r="O233" s="9" t="s">
        <v>749</v>
      </c>
      <c r="P233" s="9" t="s">
        <v>1163</v>
      </c>
      <c r="Q233" s="9"/>
      <c r="R233" s="9"/>
      <c r="S233" s="9" t="b">
        <v>0</v>
      </c>
      <c r="T233" s="9"/>
      <c r="U233" s="9" t="s">
        <v>1164</v>
      </c>
      <c r="X233" s="199">
        <v>225</v>
      </c>
      <c r="Y233" s="199"/>
      <c r="Z233" s="199"/>
      <c r="AA233" s="199"/>
      <c r="AB233" s="199" t="s">
        <v>1800</v>
      </c>
      <c r="AC233" s="199"/>
      <c r="AE233" s="199">
        <v>229</v>
      </c>
      <c r="AF233" s="199" t="s">
        <v>2290</v>
      </c>
      <c r="AG233" s="199" t="s">
        <v>2291</v>
      </c>
      <c r="AH233" s="199" t="s">
        <v>1846</v>
      </c>
      <c r="AI233" s="199" t="s">
        <v>410</v>
      </c>
      <c r="AJ233" s="199"/>
      <c r="AK233" s="199"/>
      <c r="AL233" s="199"/>
      <c r="AM233" s="199"/>
      <c r="AN233" s="199"/>
    </row>
    <row r="234" spans="9:40">
      <c r="I234" s="9" t="s">
        <v>1165</v>
      </c>
      <c r="J234" s="9" t="s">
        <v>1165</v>
      </c>
      <c r="K234" s="9">
        <v>851</v>
      </c>
      <c r="L234" s="9"/>
      <c r="M234" s="9"/>
      <c r="N234" s="9" t="s">
        <v>410</v>
      </c>
      <c r="O234" s="9" t="s">
        <v>1113</v>
      </c>
      <c r="P234" s="9" t="s">
        <v>1157</v>
      </c>
      <c r="Q234" s="9"/>
      <c r="R234" s="9"/>
      <c r="S234" s="9" t="b">
        <v>0</v>
      </c>
      <c r="T234" s="9"/>
      <c r="U234" s="9" t="s">
        <v>1166</v>
      </c>
      <c r="X234" s="199">
        <v>226</v>
      </c>
      <c r="Y234" s="199"/>
      <c r="Z234" s="199"/>
      <c r="AA234" s="199"/>
      <c r="AB234" s="199" t="s">
        <v>1801</v>
      </c>
      <c r="AC234" s="199"/>
      <c r="AE234" s="199">
        <v>230</v>
      </c>
      <c r="AF234" s="199" t="s">
        <v>2292</v>
      </c>
      <c r="AG234" s="199" t="s">
        <v>2293</v>
      </c>
      <c r="AH234" s="199" t="s">
        <v>1846</v>
      </c>
      <c r="AI234" s="199" t="s">
        <v>410</v>
      </c>
      <c r="AJ234" s="199"/>
      <c r="AK234" s="199"/>
      <c r="AL234" s="199"/>
      <c r="AM234" s="199"/>
      <c r="AN234" s="199"/>
    </row>
    <row r="235" spans="9:40">
      <c r="I235" s="9" t="s">
        <v>1167</v>
      </c>
      <c r="J235" s="9" t="s">
        <v>1167</v>
      </c>
      <c r="K235" s="9">
        <v>852</v>
      </c>
      <c r="L235" s="9"/>
      <c r="M235" s="9"/>
      <c r="N235" s="9" t="s">
        <v>410</v>
      </c>
      <c r="O235" s="9" t="s">
        <v>1113</v>
      </c>
      <c r="P235" s="9" t="s">
        <v>1168</v>
      </c>
      <c r="Q235" s="9"/>
      <c r="R235" s="9"/>
      <c r="S235" s="9" t="b">
        <v>0</v>
      </c>
      <c r="T235" s="9"/>
      <c r="U235" s="9" t="s">
        <v>1169</v>
      </c>
      <c r="X235" s="199">
        <v>227</v>
      </c>
      <c r="Y235" s="199"/>
      <c r="Z235" s="199"/>
      <c r="AA235" s="199"/>
      <c r="AB235" s="199" t="s">
        <v>1802</v>
      </c>
      <c r="AC235" s="199"/>
      <c r="AE235" s="199">
        <v>231</v>
      </c>
      <c r="AF235" s="199" t="s">
        <v>2294</v>
      </c>
      <c r="AG235" s="199" t="s">
        <v>2295</v>
      </c>
      <c r="AH235" s="199" t="s">
        <v>1846</v>
      </c>
      <c r="AI235" s="199" t="s">
        <v>410</v>
      </c>
      <c r="AJ235" s="199"/>
      <c r="AK235" s="199"/>
      <c r="AL235" s="199"/>
      <c r="AM235" s="199"/>
      <c r="AN235" s="199"/>
    </row>
    <row r="236" spans="9:40">
      <c r="I236" s="9" t="s">
        <v>1170</v>
      </c>
      <c r="J236" s="9" t="s">
        <v>1170</v>
      </c>
      <c r="K236" s="9">
        <v>853</v>
      </c>
      <c r="L236" s="9"/>
      <c r="M236" s="9"/>
      <c r="N236" s="9" t="s">
        <v>410</v>
      </c>
      <c r="O236" s="9" t="s">
        <v>720</v>
      </c>
      <c r="P236" s="9" t="s">
        <v>1171</v>
      </c>
      <c r="Q236" s="9"/>
      <c r="R236" s="9"/>
      <c r="S236" s="9" t="b">
        <v>0</v>
      </c>
      <c r="T236" s="9"/>
      <c r="U236" s="9" t="s">
        <v>1172</v>
      </c>
      <c r="X236" s="199">
        <v>228</v>
      </c>
      <c r="Y236" s="199"/>
      <c r="Z236" s="199"/>
      <c r="AA236" s="199"/>
      <c r="AB236" s="199" t="s">
        <v>1803</v>
      </c>
      <c r="AC236" s="199"/>
      <c r="AE236" s="199">
        <v>232</v>
      </c>
      <c r="AF236" s="199" t="s">
        <v>2296</v>
      </c>
      <c r="AG236" s="199" t="s">
        <v>2297</v>
      </c>
      <c r="AH236" s="199" t="s">
        <v>1846</v>
      </c>
      <c r="AI236" s="199" t="s">
        <v>410</v>
      </c>
      <c r="AJ236" s="199"/>
      <c r="AK236" s="199"/>
      <c r="AL236" s="199"/>
      <c r="AM236" s="199"/>
      <c r="AN236" s="199"/>
    </row>
    <row r="237" spans="9:40">
      <c r="I237" s="9" t="s">
        <v>1173</v>
      </c>
      <c r="J237" s="9" t="s">
        <v>1173</v>
      </c>
      <c r="K237" s="9">
        <v>854</v>
      </c>
      <c r="L237" s="9"/>
      <c r="M237" s="9"/>
      <c r="N237" s="9" t="s">
        <v>410</v>
      </c>
      <c r="O237" s="9" t="s">
        <v>720</v>
      </c>
      <c r="P237" s="9" t="s">
        <v>728</v>
      </c>
      <c r="Q237" s="9"/>
      <c r="R237" s="9"/>
      <c r="S237" s="9" t="b">
        <v>0</v>
      </c>
      <c r="T237" s="9"/>
      <c r="U237" s="9" t="s">
        <v>1174</v>
      </c>
      <c r="X237" s="199">
        <v>229</v>
      </c>
      <c r="Y237" s="199"/>
      <c r="Z237" s="199"/>
      <c r="AA237" s="199"/>
      <c r="AB237" s="199" t="s">
        <v>1804</v>
      </c>
      <c r="AC237" s="199"/>
      <c r="AE237" s="199">
        <v>233</v>
      </c>
      <c r="AF237" s="199" t="s">
        <v>2298</v>
      </c>
      <c r="AG237" s="199" t="s">
        <v>2299</v>
      </c>
      <c r="AH237" s="199" t="s">
        <v>1846</v>
      </c>
      <c r="AI237" s="199" t="s">
        <v>410</v>
      </c>
      <c r="AJ237" s="199"/>
      <c r="AK237" s="199"/>
      <c r="AL237" s="199"/>
      <c r="AM237" s="199"/>
      <c r="AN237" s="199"/>
    </row>
    <row r="238" spans="9:40">
      <c r="I238" s="9" t="s">
        <v>1175</v>
      </c>
      <c r="J238" s="9" t="s">
        <v>1175</v>
      </c>
      <c r="K238" s="9">
        <v>855</v>
      </c>
      <c r="L238" s="9"/>
      <c r="M238" s="9"/>
      <c r="N238" s="9" t="s">
        <v>410</v>
      </c>
      <c r="O238" s="9" t="s">
        <v>720</v>
      </c>
      <c r="P238" s="9" t="s">
        <v>728</v>
      </c>
      <c r="Q238" s="9"/>
      <c r="R238" s="9"/>
      <c r="S238" s="9" t="b">
        <v>0</v>
      </c>
      <c r="T238" s="9"/>
      <c r="U238" s="9" t="s">
        <v>1176</v>
      </c>
      <c r="X238" s="199">
        <v>230</v>
      </c>
      <c r="Y238" s="199"/>
      <c r="Z238" s="199"/>
      <c r="AA238" s="199"/>
      <c r="AB238" s="199" t="s">
        <v>1060</v>
      </c>
      <c r="AC238" s="199"/>
      <c r="AE238" s="199">
        <v>234</v>
      </c>
      <c r="AF238" s="199" t="s">
        <v>2300</v>
      </c>
      <c r="AG238" s="199" t="s">
        <v>2301</v>
      </c>
      <c r="AH238" s="199" t="s">
        <v>1846</v>
      </c>
      <c r="AI238" s="199" t="s">
        <v>410</v>
      </c>
      <c r="AJ238" s="199"/>
      <c r="AK238" s="199"/>
      <c r="AL238" s="199"/>
      <c r="AM238" s="199"/>
      <c r="AN238" s="199"/>
    </row>
    <row r="239" spans="9:40">
      <c r="I239" s="9" t="s">
        <v>1177</v>
      </c>
      <c r="J239" s="9" t="s">
        <v>1177</v>
      </c>
      <c r="K239" s="9">
        <v>856</v>
      </c>
      <c r="L239" s="9"/>
      <c r="M239" s="9"/>
      <c r="N239" s="9" t="s">
        <v>410</v>
      </c>
      <c r="O239" s="9" t="s">
        <v>720</v>
      </c>
      <c r="P239" s="9" t="s">
        <v>728</v>
      </c>
      <c r="Q239" s="9"/>
      <c r="R239" s="9"/>
      <c r="S239" s="9" t="b">
        <v>0</v>
      </c>
      <c r="T239" s="9"/>
      <c r="U239" s="9" t="s">
        <v>742</v>
      </c>
      <c r="X239" s="199">
        <v>231</v>
      </c>
      <c r="Y239" s="199" t="s">
        <v>1805</v>
      </c>
      <c r="Z239" s="199"/>
      <c r="AA239" s="199"/>
      <c r="AB239" s="199" t="s">
        <v>1492</v>
      </c>
      <c r="AC239" s="199"/>
      <c r="AE239" s="199">
        <v>235</v>
      </c>
      <c r="AF239" s="199" t="s">
        <v>2302</v>
      </c>
      <c r="AG239" s="199" t="s">
        <v>2303</v>
      </c>
      <c r="AH239" s="199" t="s">
        <v>1846</v>
      </c>
      <c r="AI239" s="199" t="s">
        <v>410</v>
      </c>
      <c r="AJ239" s="199"/>
      <c r="AK239" s="199"/>
      <c r="AL239" s="199"/>
      <c r="AM239" s="199"/>
      <c r="AN239" s="199"/>
    </row>
    <row r="240" spans="9:40">
      <c r="I240" s="9" t="s">
        <v>1178</v>
      </c>
      <c r="J240" s="9" t="s">
        <v>1178</v>
      </c>
      <c r="K240" s="9">
        <v>857</v>
      </c>
      <c r="L240" s="9"/>
      <c r="M240" s="9"/>
      <c r="N240" s="9" t="s">
        <v>410</v>
      </c>
      <c r="O240" s="9" t="s">
        <v>720</v>
      </c>
      <c r="P240" s="9" t="s">
        <v>728</v>
      </c>
      <c r="Q240" s="9"/>
      <c r="R240" s="9"/>
      <c r="S240" s="9" t="b">
        <v>0</v>
      </c>
      <c r="T240" s="9"/>
      <c r="U240" s="9" t="s">
        <v>1179</v>
      </c>
      <c r="X240" s="199">
        <v>232</v>
      </c>
      <c r="Y240" s="199" t="s">
        <v>1806</v>
      </c>
      <c r="Z240" s="199"/>
      <c r="AA240" s="199"/>
      <c r="AB240" s="199" t="s">
        <v>1414</v>
      </c>
      <c r="AC240" s="199"/>
      <c r="AE240" s="199">
        <v>236</v>
      </c>
      <c r="AF240" s="199" t="s">
        <v>2304</v>
      </c>
      <c r="AG240" s="199"/>
      <c r="AH240" s="199" t="s">
        <v>1846</v>
      </c>
      <c r="AI240" s="199" t="s">
        <v>410</v>
      </c>
      <c r="AJ240" s="199"/>
      <c r="AK240" s="199"/>
      <c r="AL240" s="199"/>
      <c r="AM240" s="199"/>
      <c r="AN240" s="199"/>
    </row>
    <row r="241" spans="9:40">
      <c r="I241" s="9" t="s">
        <v>1180</v>
      </c>
      <c r="J241" s="9" t="s">
        <v>1180</v>
      </c>
      <c r="K241" s="9">
        <v>858</v>
      </c>
      <c r="L241" s="9"/>
      <c r="M241" s="9"/>
      <c r="N241" s="9" t="s">
        <v>410</v>
      </c>
      <c r="O241" s="9" t="s">
        <v>720</v>
      </c>
      <c r="P241" s="9" t="s">
        <v>1181</v>
      </c>
      <c r="Q241" s="9"/>
      <c r="R241" s="9"/>
      <c r="S241" s="9" t="b">
        <v>0</v>
      </c>
      <c r="T241" s="9"/>
      <c r="U241" s="9" t="s">
        <v>1182</v>
      </c>
      <c r="X241" s="199">
        <v>233</v>
      </c>
      <c r="Y241" s="199" t="s">
        <v>1807</v>
      </c>
      <c r="Z241" s="199"/>
      <c r="AA241" s="199"/>
      <c r="AB241" s="199" t="s">
        <v>884</v>
      </c>
      <c r="AC241" s="199"/>
      <c r="AE241" s="199">
        <v>237</v>
      </c>
      <c r="AF241" s="199" t="s">
        <v>2305</v>
      </c>
      <c r="AG241" s="199" t="s">
        <v>2306</v>
      </c>
      <c r="AH241" s="199" t="s">
        <v>1846</v>
      </c>
      <c r="AI241" s="199" t="s">
        <v>410</v>
      </c>
      <c r="AJ241" s="199"/>
      <c r="AK241" s="199"/>
      <c r="AL241" s="199"/>
      <c r="AM241" s="199"/>
      <c r="AN241" s="199"/>
    </row>
    <row r="242" spans="9:40">
      <c r="I242" s="9" t="s">
        <v>1183</v>
      </c>
      <c r="J242" s="9" t="s">
        <v>1183</v>
      </c>
      <c r="K242" s="9">
        <v>859</v>
      </c>
      <c r="L242" s="9"/>
      <c r="M242" s="9"/>
      <c r="N242" s="9" t="s">
        <v>410</v>
      </c>
      <c r="O242" s="9" t="s">
        <v>720</v>
      </c>
      <c r="P242" s="9" t="s">
        <v>1184</v>
      </c>
      <c r="Q242" s="9"/>
      <c r="R242" s="9"/>
      <c r="S242" s="9" t="b">
        <v>0</v>
      </c>
      <c r="T242" s="9"/>
      <c r="U242" s="9" t="s">
        <v>1185</v>
      </c>
      <c r="X242" s="199">
        <v>234</v>
      </c>
      <c r="Y242" s="199" t="s">
        <v>1808</v>
      </c>
      <c r="Z242" s="199"/>
      <c r="AA242" s="199"/>
      <c r="AB242" s="199" t="s">
        <v>943</v>
      </c>
      <c r="AC242" s="199"/>
      <c r="AE242" s="199">
        <v>238</v>
      </c>
      <c r="AF242" s="199" t="s">
        <v>2307</v>
      </c>
      <c r="AG242" s="199" t="s">
        <v>2308</v>
      </c>
      <c r="AH242" s="199" t="s">
        <v>1846</v>
      </c>
      <c r="AI242" s="199" t="s">
        <v>410</v>
      </c>
      <c r="AJ242" s="199"/>
      <c r="AK242" s="199"/>
      <c r="AL242" s="199"/>
      <c r="AM242" s="199"/>
      <c r="AN242" s="199"/>
    </row>
    <row r="243" spans="9:40">
      <c r="I243" s="9" t="s">
        <v>1186</v>
      </c>
      <c r="J243" s="9" t="s">
        <v>1186</v>
      </c>
      <c r="K243" s="9">
        <v>862</v>
      </c>
      <c r="L243" s="9"/>
      <c r="M243" s="9"/>
      <c r="N243" s="9" t="s">
        <v>410</v>
      </c>
      <c r="O243" s="9" t="s">
        <v>1113</v>
      </c>
      <c r="P243" s="9" t="s">
        <v>1157</v>
      </c>
      <c r="Q243" s="9"/>
      <c r="R243" s="9"/>
      <c r="S243" s="9" t="b">
        <v>0</v>
      </c>
      <c r="T243" s="9"/>
      <c r="U243" s="9" t="s">
        <v>1187</v>
      </c>
      <c r="X243" s="199">
        <v>235</v>
      </c>
      <c r="Y243" s="199" t="s">
        <v>1809</v>
      </c>
      <c r="Z243" s="199"/>
      <c r="AA243" s="199"/>
      <c r="AB243" s="199" t="s">
        <v>1443</v>
      </c>
      <c r="AC243" s="199"/>
      <c r="AE243" s="199">
        <v>239</v>
      </c>
      <c r="AF243" s="199" t="s">
        <v>2309</v>
      </c>
      <c r="AG243" s="199" t="s">
        <v>2310</v>
      </c>
      <c r="AH243" s="199" t="s">
        <v>1846</v>
      </c>
      <c r="AI243" s="199" t="s">
        <v>410</v>
      </c>
      <c r="AJ243" s="199"/>
      <c r="AK243" s="199"/>
      <c r="AL243" s="199"/>
      <c r="AM243" s="199"/>
      <c r="AN243" s="199"/>
    </row>
    <row r="244" spans="9:40">
      <c r="I244" s="9" t="s">
        <v>1188</v>
      </c>
      <c r="J244" s="9" t="s">
        <v>1188</v>
      </c>
      <c r="K244" s="9">
        <v>864</v>
      </c>
      <c r="L244" s="9"/>
      <c r="M244" s="9"/>
      <c r="N244" s="9" t="s">
        <v>410</v>
      </c>
      <c r="O244" s="9" t="s">
        <v>724</v>
      </c>
      <c r="P244" s="9" t="s">
        <v>1189</v>
      </c>
      <c r="Q244" s="9"/>
      <c r="R244" s="9"/>
      <c r="S244" s="9" t="b">
        <v>0</v>
      </c>
      <c r="T244" s="9"/>
      <c r="U244" s="9" t="s">
        <v>1190</v>
      </c>
      <c r="X244" s="199">
        <v>236</v>
      </c>
      <c r="Y244" s="199" t="s">
        <v>1810</v>
      </c>
      <c r="Z244" s="199"/>
      <c r="AA244" s="199"/>
      <c r="AB244" s="199" t="s">
        <v>1503</v>
      </c>
      <c r="AC244" s="199"/>
      <c r="AE244" s="199">
        <v>240</v>
      </c>
      <c r="AF244" s="199" t="s">
        <v>2311</v>
      </c>
      <c r="AG244" s="199" t="s">
        <v>2312</v>
      </c>
      <c r="AH244" s="199" t="s">
        <v>1846</v>
      </c>
      <c r="AI244" s="199" t="s">
        <v>410</v>
      </c>
      <c r="AJ244" s="199"/>
      <c r="AK244" s="199"/>
      <c r="AL244" s="199"/>
      <c r="AM244" s="199"/>
      <c r="AN244" s="199"/>
    </row>
    <row r="245" spans="9:40">
      <c r="I245" s="9" t="s">
        <v>1191</v>
      </c>
      <c r="J245" s="9" t="s">
        <v>1191</v>
      </c>
      <c r="K245" s="9">
        <v>865</v>
      </c>
      <c r="L245" s="9"/>
      <c r="M245" s="9"/>
      <c r="N245" s="9" t="s">
        <v>410</v>
      </c>
      <c r="O245" s="9" t="s">
        <v>724</v>
      </c>
      <c r="P245" s="9" t="s">
        <v>1189</v>
      </c>
      <c r="Q245" s="9"/>
      <c r="R245" s="9"/>
      <c r="S245" s="9" t="b">
        <v>0</v>
      </c>
      <c r="T245" s="9"/>
      <c r="U245" s="9"/>
      <c r="X245" s="199">
        <v>237</v>
      </c>
      <c r="Y245" s="199" t="s">
        <v>1811</v>
      </c>
      <c r="Z245" s="199"/>
      <c r="AA245" s="199"/>
      <c r="AB245" s="199" t="s">
        <v>970</v>
      </c>
      <c r="AC245" s="199"/>
      <c r="AE245" s="199">
        <v>241</v>
      </c>
      <c r="AF245" s="199" t="s">
        <v>2313</v>
      </c>
      <c r="AG245" s="199" t="s">
        <v>2314</v>
      </c>
      <c r="AH245" s="199" t="s">
        <v>1846</v>
      </c>
      <c r="AI245" s="199" t="s">
        <v>410</v>
      </c>
      <c r="AJ245" s="199"/>
      <c r="AK245" s="199"/>
      <c r="AL245" s="199"/>
      <c r="AM245" s="199"/>
      <c r="AN245" s="199"/>
    </row>
    <row r="246" spans="9:40">
      <c r="I246" s="9" t="s">
        <v>1192</v>
      </c>
      <c r="J246" s="9" t="s">
        <v>1192</v>
      </c>
      <c r="K246" s="9">
        <v>866</v>
      </c>
      <c r="L246" s="9"/>
      <c r="M246" s="9"/>
      <c r="N246" s="9" t="s">
        <v>410</v>
      </c>
      <c r="O246" s="9" t="s">
        <v>1113</v>
      </c>
      <c r="P246" s="9" t="s">
        <v>1168</v>
      </c>
      <c r="Q246" s="9"/>
      <c r="R246" s="9"/>
      <c r="S246" s="9" t="b">
        <v>0</v>
      </c>
      <c r="T246" s="9"/>
      <c r="U246" s="9" t="s">
        <v>1193</v>
      </c>
      <c r="X246" s="199">
        <v>238</v>
      </c>
      <c r="Y246" s="199" t="s">
        <v>1812</v>
      </c>
      <c r="Z246" s="199"/>
      <c r="AA246" s="199"/>
      <c r="AB246" s="199" t="s">
        <v>1499</v>
      </c>
      <c r="AC246" s="199"/>
      <c r="AE246" s="199">
        <v>242</v>
      </c>
      <c r="AF246" s="199" t="s">
        <v>2315</v>
      </c>
      <c r="AG246" s="199" t="s">
        <v>2316</v>
      </c>
      <c r="AH246" s="199" t="s">
        <v>1846</v>
      </c>
      <c r="AI246" s="199" t="s">
        <v>410</v>
      </c>
      <c r="AJ246" s="199"/>
      <c r="AK246" s="199"/>
      <c r="AL246" s="199"/>
      <c r="AM246" s="199"/>
      <c r="AN246" s="199"/>
    </row>
    <row r="247" spans="9:40">
      <c r="I247" s="9" t="s">
        <v>1194</v>
      </c>
      <c r="J247" s="9" t="s">
        <v>1194</v>
      </c>
      <c r="K247" s="9">
        <v>867</v>
      </c>
      <c r="L247" s="9"/>
      <c r="M247" s="9"/>
      <c r="N247" s="9" t="s">
        <v>410</v>
      </c>
      <c r="O247" s="9" t="s">
        <v>724</v>
      </c>
      <c r="P247" s="9" t="s">
        <v>1195</v>
      </c>
      <c r="Q247" s="9"/>
      <c r="R247" s="9"/>
      <c r="S247" s="9" t="b">
        <v>0</v>
      </c>
      <c r="T247" s="9"/>
      <c r="U247" s="9"/>
      <c r="X247" s="199">
        <v>239</v>
      </c>
      <c r="Y247" s="199" t="s">
        <v>1813</v>
      </c>
      <c r="Z247" s="199"/>
      <c r="AA247" s="199"/>
      <c r="AB247" s="199" t="s">
        <v>1814</v>
      </c>
      <c r="AC247" s="199"/>
      <c r="AE247" s="199">
        <v>243</v>
      </c>
      <c r="AF247" s="199" t="s">
        <v>2317</v>
      </c>
      <c r="AG247" s="199" t="s">
        <v>2318</v>
      </c>
      <c r="AH247" s="199" t="s">
        <v>1846</v>
      </c>
      <c r="AI247" s="199" t="s">
        <v>410</v>
      </c>
      <c r="AJ247" s="199"/>
      <c r="AK247" s="199"/>
      <c r="AL247" s="199"/>
      <c r="AM247" s="199"/>
      <c r="AN247" s="199"/>
    </row>
    <row r="248" spans="9:40">
      <c r="I248" s="9" t="s">
        <v>1196</v>
      </c>
      <c r="J248" s="9" t="s">
        <v>1196</v>
      </c>
      <c r="K248" s="9">
        <v>868</v>
      </c>
      <c r="L248" s="9"/>
      <c r="M248" s="9"/>
      <c r="N248" s="9" t="s">
        <v>410</v>
      </c>
      <c r="O248" s="9" t="s">
        <v>720</v>
      </c>
      <c r="P248" s="9" t="s">
        <v>1197</v>
      </c>
      <c r="Q248" s="9"/>
      <c r="R248" s="9"/>
      <c r="S248" s="9" t="b">
        <v>0</v>
      </c>
      <c r="T248" s="9"/>
      <c r="U248" s="9" t="s">
        <v>1198</v>
      </c>
      <c r="X248" s="199">
        <v>240</v>
      </c>
      <c r="Y248" s="199" t="s">
        <v>1809</v>
      </c>
      <c r="Z248" s="199"/>
      <c r="AA248" s="199"/>
      <c r="AB248" s="199" t="s">
        <v>1516</v>
      </c>
      <c r="AC248" s="199"/>
      <c r="AE248" s="199">
        <v>244</v>
      </c>
      <c r="AF248" s="199" t="s">
        <v>2319</v>
      </c>
      <c r="AG248" s="199" t="s">
        <v>2320</v>
      </c>
      <c r="AH248" s="199" t="s">
        <v>1846</v>
      </c>
      <c r="AI248" s="199" t="s">
        <v>410</v>
      </c>
      <c r="AJ248" s="199"/>
      <c r="AK248" s="199"/>
      <c r="AL248" s="199"/>
      <c r="AM248" s="199"/>
      <c r="AN248" s="199"/>
    </row>
    <row r="249" spans="9:40">
      <c r="I249" s="9" t="s">
        <v>1199</v>
      </c>
      <c r="J249" s="9" t="s">
        <v>1199</v>
      </c>
      <c r="K249" s="9">
        <v>869</v>
      </c>
      <c r="L249" s="9"/>
      <c r="M249" s="9"/>
      <c r="N249" s="9" t="s">
        <v>410</v>
      </c>
      <c r="O249" s="9" t="s">
        <v>724</v>
      </c>
      <c r="P249" s="9" t="s">
        <v>1200</v>
      </c>
      <c r="Q249" s="9"/>
      <c r="R249" s="9"/>
      <c r="S249" s="9" t="b">
        <v>0</v>
      </c>
      <c r="T249" s="9"/>
      <c r="U249" s="9" t="s">
        <v>1201</v>
      </c>
      <c r="X249" s="199">
        <v>241</v>
      </c>
      <c r="Y249" s="199" t="s">
        <v>1815</v>
      </c>
      <c r="Z249" s="199"/>
      <c r="AA249" s="199"/>
      <c r="AB249" s="199" t="s">
        <v>826</v>
      </c>
      <c r="AC249" s="199"/>
      <c r="AE249" s="199">
        <v>245</v>
      </c>
      <c r="AF249" s="199" t="s">
        <v>2321</v>
      </c>
      <c r="AG249" s="199" t="s">
        <v>2322</v>
      </c>
      <c r="AH249" s="199" t="s">
        <v>1846</v>
      </c>
      <c r="AI249" s="199" t="s">
        <v>410</v>
      </c>
      <c r="AJ249" s="199"/>
      <c r="AK249" s="199"/>
      <c r="AL249" s="199"/>
      <c r="AM249" s="199"/>
      <c r="AN249" s="199"/>
    </row>
    <row r="250" spans="9:40">
      <c r="I250" s="9" t="s">
        <v>1202</v>
      </c>
      <c r="J250" s="9" t="s">
        <v>1202</v>
      </c>
      <c r="K250" s="9">
        <v>870</v>
      </c>
      <c r="L250" s="9"/>
      <c r="M250" s="9"/>
      <c r="N250" s="9" t="s">
        <v>410</v>
      </c>
      <c r="O250" s="9" t="s">
        <v>759</v>
      </c>
      <c r="P250" s="9" t="s">
        <v>1157</v>
      </c>
      <c r="Q250" s="9"/>
      <c r="R250" s="9"/>
      <c r="S250" s="9" t="b">
        <v>0</v>
      </c>
      <c r="T250" s="9"/>
      <c r="U250" s="9" t="s">
        <v>1203</v>
      </c>
      <c r="X250" s="199">
        <v>242</v>
      </c>
      <c r="Y250" s="199" t="s">
        <v>1816</v>
      </c>
      <c r="Z250" s="199"/>
      <c r="AA250" s="199"/>
      <c r="AB250" s="199" t="s">
        <v>899</v>
      </c>
      <c r="AC250" s="199"/>
      <c r="AE250" s="199">
        <v>246</v>
      </c>
      <c r="AF250" s="199" t="s">
        <v>2323</v>
      </c>
      <c r="AG250" s="199" t="s">
        <v>2324</v>
      </c>
      <c r="AH250" s="199" t="s">
        <v>1846</v>
      </c>
      <c r="AI250" s="199" t="s">
        <v>410</v>
      </c>
      <c r="AJ250" s="199"/>
      <c r="AK250" s="199"/>
      <c r="AL250" s="199"/>
      <c r="AM250" s="199"/>
      <c r="AN250" s="199"/>
    </row>
    <row r="251" spans="9:40">
      <c r="I251" s="9" t="s">
        <v>1204</v>
      </c>
      <c r="J251" s="9" t="s">
        <v>1204</v>
      </c>
      <c r="K251" s="9">
        <v>871</v>
      </c>
      <c r="L251" s="9"/>
      <c r="M251" s="9"/>
      <c r="N251" s="9" t="s">
        <v>410</v>
      </c>
      <c r="O251" s="9" t="s">
        <v>749</v>
      </c>
      <c r="P251" s="9" t="s">
        <v>1205</v>
      </c>
      <c r="Q251" s="9"/>
      <c r="R251" s="9"/>
      <c r="S251" s="9" t="b">
        <v>0</v>
      </c>
      <c r="T251" s="9"/>
      <c r="U251" s="9" t="s">
        <v>1206</v>
      </c>
      <c r="X251" s="199">
        <v>243</v>
      </c>
      <c r="Y251" s="199" t="s">
        <v>1817</v>
      </c>
      <c r="Z251" s="199"/>
      <c r="AA251" s="199"/>
      <c r="AB251" s="199" t="s">
        <v>1006</v>
      </c>
      <c r="AC251" s="199"/>
      <c r="AE251" s="199">
        <v>247</v>
      </c>
      <c r="AF251" s="199" t="s">
        <v>2325</v>
      </c>
      <c r="AG251" s="199" t="s">
        <v>2326</v>
      </c>
      <c r="AH251" s="199" t="s">
        <v>1846</v>
      </c>
      <c r="AI251" s="199" t="s">
        <v>410</v>
      </c>
      <c r="AJ251" s="199"/>
      <c r="AK251" s="199"/>
      <c r="AL251" s="199"/>
      <c r="AM251" s="199"/>
      <c r="AN251" s="199"/>
    </row>
    <row r="252" spans="9:40">
      <c r="I252" s="9" t="s">
        <v>1207</v>
      </c>
      <c r="J252" s="9" t="s">
        <v>1207</v>
      </c>
      <c r="K252" s="9">
        <v>872</v>
      </c>
      <c r="L252" s="9"/>
      <c r="M252" s="9"/>
      <c r="N252" s="9" t="s">
        <v>410</v>
      </c>
      <c r="O252" s="9" t="s">
        <v>1113</v>
      </c>
      <c r="P252" s="9" t="s">
        <v>1208</v>
      </c>
      <c r="Q252" s="9"/>
      <c r="R252" s="9"/>
      <c r="S252" s="9" t="b">
        <v>0</v>
      </c>
      <c r="T252" s="9"/>
      <c r="U252" s="9" t="s">
        <v>1187</v>
      </c>
      <c r="X252" s="199">
        <v>244</v>
      </c>
      <c r="Y252" s="199" t="s">
        <v>1818</v>
      </c>
      <c r="Z252" s="199"/>
      <c r="AA252" s="199"/>
      <c r="AB252" s="199" t="s">
        <v>1446</v>
      </c>
      <c r="AC252" s="199"/>
      <c r="AE252" s="199">
        <v>248</v>
      </c>
      <c r="AF252" s="199" t="s">
        <v>2327</v>
      </c>
      <c r="AG252" s="199" t="s">
        <v>2328</v>
      </c>
      <c r="AH252" s="199" t="s">
        <v>1846</v>
      </c>
      <c r="AI252" s="199" t="s">
        <v>410</v>
      </c>
      <c r="AJ252" s="199"/>
      <c r="AK252" s="199"/>
      <c r="AL252" s="199"/>
      <c r="AM252" s="199"/>
      <c r="AN252" s="199"/>
    </row>
    <row r="253" spans="9:40">
      <c r="I253" s="9" t="s">
        <v>1209</v>
      </c>
      <c r="J253" s="9" t="s">
        <v>1209</v>
      </c>
      <c r="K253" s="9">
        <v>873</v>
      </c>
      <c r="L253" s="9"/>
      <c r="M253" s="9"/>
      <c r="N253" s="9" t="s">
        <v>410</v>
      </c>
      <c r="O253" s="9" t="s">
        <v>720</v>
      </c>
      <c r="P253" s="9" t="s">
        <v>1210</v>
      </c>
      <c r="Q253" s="9"/>
      <c r="R253" s="9"/>
      <c r="S253" s="9" t="b">
        <v>0</v>
      </c>
      <c r="T253" s="9"/>
      <c r="U253" s="9" t="s">
        <v>1211</v>
      </c>
      <c r="X253" s="199">
        <v>245</v>
      </c>
      <c r="Y253" s="199" t="s">
        <v>1819</v>
      </c>
      <c r="Z253" s="199"/>
      <c r="AA253" s="199"/>
      <c r="AB253" s="199" t="s">
        <v>1017</v>
      </c>
      <c r="AC253" s="199"/>
      <c r="AE253" s="199">
        <v>249</v>
      </c>
      <c r="AF253" s="199" t="s">
        <v>2329</v>
      </c>
      <c r="AG253" s="199" t="s">
        <v>2330</v>
      </c>
      <c r="AH253" s="199" t="s">
        <v>1846</v>
      </c>
      <c r="AI253" s="199" t="s">
        <v>410</v>
      </c>
      <c r="AJ253" s="199"/>
      <c r="AK253" s="199"/>
      <c r="AL253" s="199"/>
      <c r="AM253" s="199"/>
      <c r="AN253" s="199"/>
    </row>
    <row r="254" spans="9:40">
      <c r="I254" s="9" t="s">
        <v>1212</v>
      </c>
      <c r="J254" s="9" t="s">
        <v>1212</v>
      </c>
      <c r="K254" s="9">
        <v>874</v>
      </c>
      <c r="L254" s="9"/>
      <c r="M254" s="9"/>
      <c r="N254" s="9" t="s">
        <v>410</v>
      </c>
      <c r="O254" s="9" t="s">
        <v>1113</v>
      </c>
      <c r="P254" s="9" t="s">
        <v>1213</v>
      </c>
      <c r="Q254" s="9"/>
      <c r="R254" s="9"/>
      <c r="S254" s="9" t="b">
        <v>0</v>
      </c>
      <c r="T254" s="9"/>
      <c r="U254" s="9" t="s">
        <v>1187</v>
      </c>
      <c r="X254" s="199">
        <v>246</v>
      </c>
      <c r="Y254" s="199" t="s">
        <v>1820</v>
      </c>
      <c r="Z254" s="199"/>
      <c r="AA254" s="199"/>
      <c r="AB254" s="199" t="s">
        <v>941</v>
      </c>
      <c r="AC254" s="199"/>
      <c r="AE254" s="199">
        <v>250</v>
      </c>
      <c r="AF254" s="199" t="s">
        <v>2331</v>
      </c>
      <c r="AG254" s="199" t="s">
        <v>2332</v>
      </c>
      <c r="AH254" s="199" t="s">
        <v>1846</v>
      </c>
      <c r="AI254" s="199" t="s">
        <v>410</v>
      </c>
      <c r="AJ254" s="199"/>
      <c r="AK254" s="199"/>
      <c r="AL254" s="199"/>
      <c r="AM254" s="199"/>
      <c r="AN254" s="199"/>
    </row>
    <row r="255" spans="9:40">
      <c r="I255" s="9" t="s">
        <v>1214</v>
      </c>
      <c r="J255" s="9" t="s">
        <v>1214</v>
      </c>
      <c r="K255" s="9">
        <v>875</v>
      </c>
      <c r="L255" s="9"/>
      <c r="M255" s="9"/>
      <c r="N255" s="9" t="s">
        <v>410</v>
      </c>
      <c r="O255" s="9" t="s">
        <v>749</v>
      </c>
      <c r="P255" s="9" t="s">
        <v>859</v>
      </c>
      <c r="Q255" s="9"/>
      <c r="R255" s="9"/>
      <c r="S255" s="9" t="b">
        <v>0</v>
      </c>
      <c r="T255" s="9"/>
      <c r="U255" s="9" t="s">
        <v>976</v>
      </c>
      <c r="X255" s="199">
        <v>247</v>
      </c>
      <c r="Y255" s="199" t="s">
        <v>1821</v>
      </c>
      <c r="Z255" s="199"/>
      <c r="AA255" s="199"/>
      <c r="AB255" s="199" t="s">
        <v>776</v>
      </c>
      <c r="AC255" s="199"/>
      <c r="AE255" s="199">
        <v>251</v>
      </c>
      <c r="AF255" s="199" t="s">
        <v>2333</v>
      </c>
      <c r="AG255" s="199" t="s">
        <v>2334</v>
      </c>
      <c r="AH255" s="199" t="s">
        <v>1846</v>
      </c>
      <c r="AI255" s="199" t="s">
        <v>410</v>
      </c>
      <c r="AJ255" s="199"/>
      <c r="AK255" s="199"/>
      <c r="AL255" s="199"/>
      <c r="AM255" s="199"/>
      <c r="AN255" s="199"/>
    </row>
    <row r="256" spans="9:40">
      <c r="I256" s="9" t="s">
        <v>1215</v>
      </c>
      <c r="J256" s="9" t="s">
        <v>1215</v>
      </c>
      <c r="K256" s="9">
        <v>876</v>
      </c>
      <c r="L256" s="9"/>
      <c r="M256" s="9"/>
      <c r="N256" s="9" t="s">
        <v>410</v>
      </c>
      <c r="O256" s="9" t="s">
        <v>749</v>
      </c>
      <c r="P256" s="9" t="s">
        <v>1216</v>
      </c>
      <c r="Q256" s="9"/>
      <c r="R256" s="9"/>
      <c r="S256" s="9" t="b">
        <v>0</v>
      </c>
      <c r="T256" s="9"/>
      <c r="U256" s="9" t="s">
        <v>1217</v>
      </c>
      <c r="X256" s="199">
        <v>248</v>
      </c>
      <c r="Y256" s="199" t="s">
        <v>1822</v>
      </c>
      <c r="Z256" s="199"/>
      <c r="AA256" s="199"/>
      <c r="AB256" s="199" t="s">
        <v>1528</v>
      </c>
      <c r="AC256" s="199"/>
      <c r="AE256" s="199">
        <v>252</v>
      </c>
      <c r="AF256" s="199" t="s">
        <v>2335</v>
      </c>
      <c r="AG256" s="199" t="s">
        <v>2336</v>
      </c>
      <c r="AH256" s="199" t="s">
        <v>1846</v>
      </c>
      <c r="AI256" s="199" t="s">
        <v>410</v>
      </c>
      <c r="AJ256" s="199"/>
      <c r="AK256" s="199"/>
      <c r="AL256" s="199"/>
      <c r="AM256" s="199"/>
      <c r="AN256" s="199"/>
    </row>
    <row r="257" spans="9:40">
      <c r="I257" s="9" t="s">
        <v>1218</v>
      </c>
      <c r="J257" s="9" t="s">
        <v>1218</v>
      </c>
      <c r="K257" s="9">
        <v>877</v>
      </c>
      <c r="L257" s="9"/>
      <c r="M257" s="9"/>
      <c r="N257" s="9" t="s">
        <v>410</v>
      </c>
      <c r="O257" s="9" t="s">
        <v>720</v>
      </c>
      <c r="P257" s="9" t="s">
        <v>1219</v>
      </c>
      <c r="Q257" s="9"/>
      <c r="R257" s="9"/>
      <c r="S257" s="9" t="b">
        <v>0</v>
      </c>
      <c r="T257" s="9"/>
      <c r="U257" s="9" t="s">
        <v>1220</v>
      </c>
      <c r="X257" s="199">
        <v>249</v>
      </c>
      <c r="Y257" s="199" t="s">
        <v>1823</v>
      </c>
      <c r="Z257" s="199"/>
      <c r="AA257" s="199"/>
      <c r="AB257" s="199" t="s">
        <v>1433</v>
      </c>
      <c r="AC257" s="199"/>
      <c r="AE257" s="199">
        <v>253</v>
      </c>
      <c r="AF257" s="199" t="s">
        <v>2337</v>
      </c>
      <c r="AG257" s="199" t="s">
        <v>2312</v>
      </c>
      <c r="AH257" s="199" t="s">
        <v>1846</v>
      </c>
      <c r="AI257" s="199" t="s">
        <v>410</v>
      </c>
      <c r="AJ257" s="199"/>
      <c r="AK257" s="199"/>
      <c r="AL257" s="199"/>
      <c r="AM257" s="199"/>
      <c r="AN257" s="199"/>
    </row>
    <row r="258" spans="9:40">
      <c r="I258" s="9" t="s">
        <v>1221</v>
      </c>
      <c r="J258" s="9" t="s">
        <v>1221</v>
      </c>
      <c r="K258" s="9">
        <v>878</v>
      </c>
      <c r="L258" s="9"/>
      <c r="M258" s="9"/>
      <c r="N258" s="9" t="s">
        <v>410</v>
      </c>
      <c r="O258" s="9" t="s">
        <v>749</v>
      </c>
      <c r="P258" s="9" t="s">
        <v>1222</v>
      </c>
      <c r="Q258" s="9"/>
      <c r="R258" s="9"/>
      <c r="S258" s="9" t="b">
        <v>0</v>
      </c>
      <c r="T258" s="9"/>
      <c r="U258" s="9" t="s">
        <v>1223</v>
      </c>
      <c r="X258" s="199">
        <v>250</v>
      </c>
      <c r="Y258" s="199" t="s">
        <v>1824</v>
      </c>
      <c r="Z258" s="199"/>
      <c r="AA258" s="199"/>
      <c r="AB258" s="199" t="s">
        <v>1449</v>
      </c>
      <c r="AC258" s="199"/>
      <c r="AE258" s="199">
        <v>254</v>
      </c>
      <c r="AF258" s="199" t="s">
        <v>2338</v>
      </c>
      <c r="AG258" s="199" t="s">
        <v>2339</v>
      </c>
      <c r="AH258" s="199" t="s">
        <v>1846</v>
      </c>
      <c r="AI258" s="199" t="s">
        <v>410</v>
      </c>
      <c r="AJ258" s="199"/>
      <c r="AK258" s="199"/>
      <c r="AL258" s="199"/>
      <c r="AM258" s="199"/>
      <c r="AN258" s="199"/>
    </row>
    <row r="259" spans="9:40">
      <c r="I259" s="9" t="s">
        <v>1224</v>
      </c>
      <c r="J259" s="9" t="s">
        <v>1224</v>
      </c>
      <c r="K259" s="9">
        <v>879</v>
      </c>
      <c r="L259" s="9"/>
      <c r="M259" s="9"/>
      <c r="N259" s="9" t="s">
        <v>626</v>
      </c>
      <c r="O259" s="9" t="s">
        <v>724</v>
      </c>
      <c r="P259" s="9" t="s">
        <v>1189</v>
      </c>
      <c r="Q259" s="9"/>
      <c r="R259" s="9"/>
      <c r="S259" s="9" t="b">
        <v>0</v>
      </c>
      <c r="T259" s="9"/>
      <c r="U259" s="9" t="s">
        <v>1082</v>
      </c>
      <c r="X259" s="199">
        <v>251</v>
      </c>
      <c r="Y259" s="199" t="s">
        <v>1825</v>
      </c>
      <c r="Z259" s="199"/>
      <c r="AA259" s="199"/>
      <c r="AB259" s="199" t="s">
        <v>945</v>
      </c>
      <c r="AC259" s="199"/>
      <c r="AE259" s="199">
        <v>255</v>
      </c>
      <c r="AF259" s="199" t="s">
        <v>2340</v>
      </c>
      <c r="AG259" s="199" t="s">
        <v>2341</v>
      </c>
      <c r="AH259" s="199" t="s">
        <v>1846</v>
      </c>
      <c r="AI259" s="199" t="s">
        <v>410</v>
      </c>
      <c r="AJ259" s="199"/>
      <c r="AK259" s="199"/>
      <c r="AL259" s="199"/>
      <c r="AM259" s="199"/>
      <c r="AN259" s="199"/>
    </row>
    <row r="260" spans="9:40">
      <c r="I260" s="9" t="s">
        <v>1225</v>
      </c>
      <c r="J260" s="9" t="s">
        <v>1225</v>
      </c>
      <c r="K260" s="9">
        <v>880</v>
      </c>
      <c r="L260" s="9"/>
      <c r="M260" s="9"/>
      <c r="N260" s="9" t="s">
        <v>626</v>
      </c>
      <c r="O260" s="9" t="s">
        <v>724</v>
      </c>
      <c r="P260" s="9" t="s">
        <v>1189</v>
      </c>
      <c r="Q260" s="9"/>
      <c r="R260" s="9"/>
      <c r="S260" s="9" t="b">
        <v>0</v>
      </c>
      <c r="T260" s="9"/>
      <c r="U260" s="9"/>
      <c r="X260" s="199">
        <v>252</v>
      </c>
      <c r="Y260" s="199" t="s">
        <v>1826</v>
      </c>
      <c r="Z260" s="199"/>
      <c r="AA260" s="199"/>
      <c r="AB260" s="199" t="s">
        <v>1486</v>
      </c>
      <c r="AC260" s="199"/>
      <c r="AE260" s="199">
        <v>256</v>
      </c>
      <c r="AF260" s="199" t="s">
        <v>2342</v>
      </c>
      <c r="AG260" s="199" t="s">
        <v>2343</v>
      </c>
      <c r="AH260" s="199" t="s">
        <v>1846</v>
      </c>
      <c r="AI260" s="199" t="s">
        <v>410</v>
      </c>
      <c r="AJ260" s="199"/>
      <c r="AK260" s="199"/>
      <c r="AL260" s="199"/>
      <c r="AM260" s="199"/>
      <c r="AN260" s="199"/>
    </row>
    <row r="261" spans="9:40">
      <c r="I261" s="9" t="s">
        <v>1226</v>
      </c>
      <c r="J261" s="9" t="s">
        <v>1226</v>
      </c>
      <c r="K261" s="9">
        <v>882</v>
      </c>
      <c r="L261" s="9"/>
      <c r="M261" s="9"/>
      <c r="N261" s="9" t="s">
        <v>626</v>
      </c>
      <c r="O261" s="9" t="s">
        <v>724</v>
      </c>
      <c r="P261" s="9" t="s">
        <v>1219</v>
      </c>
      <c r="Q261" s="9"/>
      <c r="R261" s="9"/>
      <c r="S261" s="9" t="b">
        <v>0</v>
      </c>
      <c r="T261" s="9"/>
      <c r="U261" s="9" t="s">
        <v>1227</v>
      </c>
      <c r="X261" s="199">
        <v>253</v>
      </c>
      <c r="Y261" s="199" t="s">
        <v>1827</v>
      </c>
      <c r="Z261" s="199"/>
      <c r="AA261" s="199"/>
      <c r="AB261" s="199" t="s">
        <v>1133</v>
      </c>
      <c r="AC261" s="199"/>
      <c r="AE261" s="199">
        <v>257</v>
      </c>
      <c r="AF261" s="199" t="s">
        <v>2344</v>
      </c>
      <c r="AG261" s="199" t="s">
        <v>2345</v>
      </c>
      <c r="AH261" s="199" t="s">
        <v>1846</v>
      </c>
      <c r="AI261" s="199" t="s">
        <v>410</v>
      </c>
      <c r="AJ261" s="199"/>
      <c r="AK261" s="199"/>
      <c r="AL261" s="199"/>
      <c r="AM261" s="199"/>
      <c r="AN261" s="199"/>
    </row>
    <row r="262" spans="9:40">
      <c r="I262" s="9" t="s">
        <v>1228</v>
      </c>
      <c r="J262" s="9" t="s">
        <v>1228</v>
      </c>
      <c r="K262" s="9">
        <v>883</v>
      </c>
      <c r="L262" s="9"/>
      <c r="M262" s="9"/>
      <c r="N262" s="9" t="s">
        <v>626</v>
      </c>
      <c r="O262" s="9" t="s">
        <v>724</v>
      </c>
      <c r="P262" s="9" t="s">
        <v>1189</v>
      </c>
      <c r="Q262" s="9"/>
      <c r="R262" s="9"/>
      <c r="S262" s="9" t="b">
        <v>0</v>
      </c>
      <c r="T262" s="9"/>
      <c r="U262" s="9"/>
      <c r="X262" s="199">
        <v>254</v>
      </c>
      <c r="Y262" s="199" t="s">
        <v>1828</v>
      </c>
      <c r="Z262" s="199"/>
      <c r="AA262" s="199"/>
      <c r="AB262" s="199" t="s">
        <v>1440</v>
      </c>
      <c r="AC262" s="199"/>
      <c r="AE262" s="199">
        <v>258</v>
      </c>
      <c r="AF262" s="199" t="s">
        <v>2346</v>
      </c>
      <c r="AG262" s="199" t="s">
        <v>2347</v>
      </c>
      <c r="AH262" s="199" t="s">
        <v>1846</v>
      </c>
      <c r="AI262" s="199" t="s">
        <v>410</v>
      </c>
      <c r="AJ262" s="199"/>
      <c r="AK262" s="199"/>
      <c r="AL262" s="199"/>
      <c r="AM262" s="199"/>
      <c r="AN262" s="199"/>
    </row>
    <row r="263" spans="9:40">
      <c r="I263" s="9" t="s">
        <v>1229</v>
      </c>
      <c r="J263" s="9" t="s">
        <v>1229</v>
      </c>
      <c r="K263" s="9">
        <v>884</v>
      </c>
      <c r="L263" s="9"/>
      <c r="M263" s="9"/>
      <c r="N263" s="9" t="s">
        <v>410</v>
      </c>
      <c r="O263" s="9" t="s">
        <v>749</v>
      </c>
      <c r="P263" s="9" t="s">
        <v>1230</v>
      </c>
      <c r="Q263" s="9"/>
      <c r="R263" s="9"/>
      <c r="S263" s="9" t="b">
        <v>0</v>
      </c>
      <c r="T263" s="9"/>
      <c r="U263" s="9" t="s">
        <v>921</v>
      </c>
      <c r="X263" s="199">
        <v>255</v>
      </c>
      <c r="Y263" s="199" t="s">
        <v>1829</v>
      </c>
      <c r="Z263" s="199"/>
      <c r="AA263" s="199"/>
      <c r="AB263" s="199" t="s">
        <v>1518</v>
      </c>
      <c r="AC263" s="199"/>
      <c r="AE263" s="199">
        <v>259</v>
      </c>
      <c r="AF263" s="199" t="s">
        <v>2348</v>
      </c>
      <c r="AG263" s="199" t="s">
        <v>2349</v>
      </c>
      <c r="AH263" s="199" t="s">
        <v>1846</v>
      </c>
      <c r="AI263" s="199" t="s">
        <v>410</v>
      </c>
      <c r="AJ263" s="199"/>
      <c r="AK263" s="199"/>
      <c r="AL263" s="199"/>
      <c r="AM263" s="199"/>
      <c r="AN263" s="199"/>
    </row>
    <row r="264" spans="9:40">
      <c r="I264" s="9" t="s">
        <v>1231</v>
      </c>
      <c r="J264" s="9" t="s">
        <v>1231</v>
      </c>
      <c r="K264" s="9">
        <v>885</v>
      </c>
      <c r="L264" s="9"/>
      <c r="M264" s="9"/>
      <c r="N264" s="9" t="s">
        <v>410</v>
      </c>
      <c r="O264" s="9" t="s">
        <v>720</v>
      </c>
      <c r="P264" s="9" t="s">
        <v>718</v>
      </c>
      <c r="Q264" s="9"/>
      <c r="R264" s="9"/>
      <c r="S264" s="9" t="b">
        <v>0</v>
      </c>
      <c r="T264" s="9"/>
      <c r="U264" s="9" t="s">
        <v>1232</v>
      </c>
      <c r="X264" s="199">
        <v>256</v>
      </c>
      <c r="Y264" s="199" t="s">
        <v>1830</v>
      </c>
      <c r="Z264" s="199"/>
      <c r="AA264" s="199"/>
      <c r="AB264" s="199" t="s">
        <v>1387</v>
      </c>
      <c r="AC264" s="199"/>
      <c r="AE264" s="199">
        <v>260</v>
      </c>
      <c r="AF264" s="199" t="s">
        <v>2350</v>
      </c>
      <c r="AG264" s="199" t="s">
        <v>2351</v>
      </c>
      <c r="AH264" s="199" t="s">
        <v>1846</v>
      </c>
      <c r="AI264" s="199" t="s">
        <v>410</v>
      </c>
      <c r="AJ264" s="199"/>
      <c r="AK264" s="199"/>
      <c r="AL264" s="199"/>
      <c r="AM264" s="199"/>
      <c r="AN264" s="199"/>
    </row>
    <row r="265" spans="9:40">
      <c r="I265" s="9" t="s">
        <v>1233</v>
      </c>
      <c r="J265" s="9" t="s">
        <v>1233</v>
      </c>
      <c r="K265" s="9">
        <v>886</v>
      </c>
      <c r="L265" s="9"/>
      <c r="M265" s="9"/>
      <c r="N265" s="9" t="s">
        <v>410</v>
      </c>
      <c r="O265" s="9" t="s">
        <v>1234</v>
      </c>
      <c r="P265" s="9" t="s">
        <v>1235</v>
      </c>
      <c r="Q265" s="9"/>
      <c r="R265" s="9"/>
      <c r="S265" s="9" t="b">
        <v>0</v>
      </c>
      <c r="T265" s="9"/>
      <c r="U265" s="9"/>
      <c r="X265" s="199">
        <v>257</v>
      </c>
      <c r="Y265" s="199" t="s">
        <v>1831</v>
      </c>
      <c r="Z265" s="199"/>
      <c r="AA265" s="199"/>
      <c r="AB265" s="199" t="s">
        <v>967</v>
      </c>
      <c r="AC265" s="199"/>
      <c r="AE265" s="199">
        <v>261</v>
      </c>
      <c r="AF265" s="199" t="s">
        <v>2352</v>
      </c>
      <c r="AG265" s="199" t="s">
        <v>2353</v>
      </c>
      <c r="AH265" s="199" t="s">
        <v>1846</v>
      </c>
      <c r="AI265" s="199" t="s">
        <v>410</v>
      </c>
      <c r="AJ265" s="199"/>
      <c r="AK265" s="199"/>
      <c r="AL265" s="199"/>
      <c r="AM265" s="199"/>
      <c r="AN265" s="199"/>
    </row>
    <row r="266" spans="9:40">
      <c r="I266" s="9" t="s">
        <v>1236</v>
      </c>
      <c r="J266" s="9" t="s">
        <v>1236</v>
      </c>
      <c r="K266" s="9">
        <v>887</v>
      </c>
      <c r="L266" s="9"/>
      <c r="M266" s="9"/>
      <c r="N266" s="9" t="s">
        <v>410</v>
      </c>
      <c r="O266" s="9" t="s">
        <v>720</v>
      </c>
      <c r="P266" s="9" t="s">
        <v>1237</v>
      </c>
      <c r="Q266" s="9"/>
      <c r="R266" s="9"/>
      <c r="S266" s="9" t="b">
        <v>0</v>
      </c>
      <c r="T266" s="9"/>
      <c r="U266" s="9" t="s">
        <v>1238</v>
      </c>
      <c r="X266" s="199">
        <v>258</v>
      </c>
      <c r="Y266" s="199" t="s">
        <v>1832</v>
      </c>
      <c r="Z266" s="199"/>
      <c r="AA266" s="199"/>
      <c r="AB266" s="199" t="s">
        <v>833</v>
      </c>
      <c r="AC266" s="199"/>
      <c r="AE266" s="199">
        <v>262</v>
      </c>
      <c r="AF266" s="199" t="s">
        <v>2354</v>
      </c>
      <c r="AG266" s="199" t="s">
        <v>2355</v>
      </c>
      <c r="AH266" s="199" t="s">
        <v>1846</v>
      </c>
      <c r="AI266" s="199" t="s">
        <v>410</v>
      </c>
      <c r="AJ266" s="199"/>
      <c r="AK266" s="199"/>
      <c r="AL266" s="199"/>
      <c r="AM266" s="199"/>
      <c r="AN266" s="199"/>
    </row>
    <row r="267" spans="9:40">
      <c r="I267" s="9" t="s">
        <v>1239</v>
      </c>
      <c r="J267" s="9" t="s">
        <v>1239</v>
      </c>
      <c r="K267" s="9">
        <v>888</v>
      </c>
      <c r="L267" s="9"/>
      <c r="M267" s="9"/>
      <c r="N267" s="9" t="s">
        <v>410</v>
      </c>
      <c r="O267" s="9" t="s">
        <v>720</v>
      </c>
      <c r="P267" s="9" t="s">
        <v>1240</v>
      </c>
      <c r="Q267" s="9"/>
      <c r="R267" s="9"/>
      <c r="S267" s="9" t="b">
        <v>0</v>
      </c>
      <c r="T267" s="9"/>
      <c r="U267" s="9" t="s">
        <v>1241</v>
      </c>
      <c r="X267" s="199">
        <v>259</v>
      </c>
      <c r="Y267" s="199" t="s">
        <v>1833</v>
      </c>
      <c r="Z267" s="199"/>
      <c r="AA267" s="199"/>
      <c r="AB267" s="199" t="s">
        <v>857</v>
      </c>
      <c r="AC267" s="199"/>
      <c r="AE267" s="199">
        <v>263</v>
      </c>
      <c r="AF267" s="199" t="s">
        <v>2356</v>
      </c>
      <c r="AG267" s="199" t="s">
        <v>2357</v>
      </c>
      <c r="AH267" s="199" t="s">
        <v>1846</v>
      </c>
      <c r="AI267" s="199" t="s">
        <v>410</v>
      </c>
      <c r="AJ267" s="199"/>
      <c r="AK267" s="199"/>
      <c r="AL267" s="199"/>
      <c r="AM267" s="199"/>
      <c r="AN267" s="199"/>
    </row>
    <row r="268" spans="9:40">
      <c r="I268" s="9" t="s">
        <v>1242</v>
      </c>
      <c r="J268" s="9" t="s">
        <v>1242</v>
      </c>
      <c r="K268" s="9">
        <v>890</v>
      </c>
      <c r="L268" s="9"/>
      <c r="M268" s="9"/>
      <c r="N268" s="9" t="s">
        <v>410</v>
      </c>
      <c r="O268" s="9" t="s">
        <v>724</v>
      </c>
      <c r="P268" s="9" t="s">
        <v>1029</v>
      </c>
      <c r="Q268" s="9"/>
      <c r="R268" s="9"/>
      <c r="S268" s="9" t="b">
        <v>0</v>
      </c>
      <c r="T268" s="9"/>
      <c r="U268" s="9" t="s">
        <v>1243</v>
      </c>
      <c r="X268" s="199">
        <v>260</v>
      </c>
      <c r="Y268" s="199" t="s">
        <v>1834</v>
      </c>
      <c r="Z268" s="199"/>
      <c r="AA268" s="199"/>
      <c r="AB268" s="199" t="s">
        <v>1466</v>
      </c>
      <c r="AC268" s="199"/>
      <c r="AE268" s="199">
        <v>264</v>
      </c>
      <c r="AF268" s="199" t="s">
        <v>2358</v>
      </c>
      <c r="AG268" s="199" t="s">
        <v>2359</v>
      </c>
      <c r="AH268" s="199" t="s">
        <v>1846</v>
      </c>
      <c r="AI268" s="199" t="s">
        <v>410</v>
      </c>
      <c r="AJ268" s="199"/>
      <c r="AK268" s="199"/>
      <c r="AL268" s="199"/>
      <c r="AM268" s="199"/>
      <c r="AN268" s="199"/>
    </row>
    <row r="269" spans="9:40">
      <c r="I269" s="9" t="s">
        <v>1244</v>
      </c>
      <c r="J269" s="9" t="s">
        <v>1244</v>
      </c>
      <c r="K269" s="9">
        <v>892</v>
      </c>
      <c r="L269" s="9"/>
      <c r="M269" s="9"/>
      <c r="N269" s="9" t="s">
        <v>410</v>
      </c>
      <c r="O269" s="9" t="s">
        <v>720</v>
      </c>
      <c r="P269" s="9" t="s">
        <v>1171</v>
      </c>
      <c r="Q269" s="9"/>
      <c r="R269" s="9"/>
      <c r="S269" s="9" t="b">
        <v>0</v>
      </c>
      <c r="T269" s="9"/>
      <c r="U269" s="9" t="s">
        <v>875</v>
      </c>
      <c r="X269" s="199">
        <v>261</v>
      </c>
      <c r="Y269" s="199" t="s">
        <v>1835</v>
      </c>
      <c r="Z269" s="199"/>
      <c r="AA269" s="199"/>
      <c r="AB269" s="199" t="s">
        <v>1836</v>
      </c>
      <c r="AC269" s="199"/>
      <c r="AE269" s="199">
        <v>265</v>
      </c>
      <c r="AF269" s="199" t="s">
        <v>2360</v>
      </c>
      <c r="AG269" s="199" t="s">
        <v>2361</v>
      </c>
      <c r="AH269" s="199" t="s">
        <v>1846</v>
      </c>
      <c r="AI269" s="199" t="s">
        <v>410</v>
      </c>
      <c r="AJ269" s="199"/>
      <c r="AK269" s="199"/>
      <c r="AL269" s="199"/>
      <c r="AM269" s="199"/>
      <c r="AN269" s="199"/>
    </row>
    <row r="270" spans="9:40">
      <c r="I270" s="9" t="s">
        <v>1245</v>
      </c>
      <c r="J270" s="9" t="s">
        <v>1245</v>
      </c>
      <c r="K270" s="9">
        <v>893</v>
      </c>
      <c r="L270" s="9"/>
      <c r="M270" s="9"/>
      <c r="N270" s="9" t="s">
        <v>410</v>
      </c>
      <c r="O270" s="9" t="s">
        <v>720</v>
      </c>
      <c r="P270" s="9" t="s">
        <v>728</v>
      </c>
      <c r="Q270" s="9"/>
      <c r="R270" s="9"/>
      <c r="S270" s="9" t="b">
        <v>0</v>
      </c>
      <c r="T270" s="9"/>
      <c r="U270" s="9" t="s">
        <v>1246</v>
      </c>
      <c r="X270" s="199">
        <v>262</v>
      </c>
      <c r="Y270" s="199" t="s">
        <v>1837</v>
      </c>
      <c r="Z270" s="199"/>
      <c r="AA270" s="199"/>
      <c r="AB270" s="199" t="s">
        <v>1220</v>
      </c>
      <c r="AC270" s="199"/>
      <c r="AE270" s="199">
        <v>266</v>
      </c>
      <c r="AF270" s="199" t="s">
        <v>2362</v>
      </c>
      <c r="AG270" s="199" t="s">
        <v>2363</v>
      </c>
      <c r="AH270" s="199" t="s">
        <v>1846</v>
      </c>
      <c r="AI270" s="199" t="s">
        <v>410</v>
      </c>
      <c r="AJ270" s="199"/>
      <c r="AK270" s="199"/>
      <c r="AL270" s="199"/>
      <c r="AM270" s="199"/>
      <c r="AN270" s="199"/>
    </row>
    <row r="271" spans="9:40">
      <c r="I271" s="9" t="s">
        <v>1247</v>
      </c>
      <c r="J271" s="9" t="s">
        <v>1247</v>
      </c>
      <c r="K271" s="9">
        <v>894</v>
      </c>
      <c r="L271" s="9"/>
      <c r="M271" s="9"/>
      <c r="N271" s="9" t="s">
        <v>410</v>
      </c>
      <c r="O271" s="9" t="s">
        <v>720</v>
      </c>
      <c r="P271" s="9" t="s">
        <v>728</v>
      </c>
      <c r="Q271" s="9"/>
      <c r="R271" s="9"/>
      <c r="S271" s="9" t="b">
        <v>0</v>
      </c>
      <c r="T271" s="9"/>
      <c r="U271" s="9" t="s">
        <v>1248</v>
      </c>
      <c r="X271" s="199">
        <v>263</v>
      </c>
      <c r="Y271" s="199" t="s">
        <v>1838</v>
      </c>
      <c r="Z271" s="199"/>
      <c r="AA271" s="199"/>
      <c r="AB271" s="199" t="s">
        <v>1464</v>
      </c>
      <c r="AC271" s="199"/>
      <c r="AE271" s="199">
        <v>267</v>
      </c>
      <c r="AF271" s="199" t="s">
        <v>2364</v>
      </c>
      <c r="AG271" s="199" t="s">
        <v>2365</v>
      </c>
      <c r="AH271" s="199" t="s">
        <v>1846</v>
      </c>
      <c r="AI271" s="199" t="s">
        <v>410</v>
      </c>
      <c r="AJ271" s="199"/>
      <c r="AK271" s="199"/>
      <c r="AL271" s="199"/>
      <c r="AM271" s="199"/>
      <c r="AN271" s="199"/>
    </row>
    <row r="272" spans="9:40">
      <c r="I272" s="9" t="s">
        <v>1249</v>
      </c>
      <c r="J272" s="9" t="s">
        <v>1249</v>
      </c>
      <c r="K272" s="9">
        <v>895</v>
      </c>
      <c r="L272" s="9"/>
      <c r="M272" s="9"/>
      <c r="N272" s="9" t="s">
        <v>410</v>
      </c>
      <c r="O272" s="9" t="s">
        <v>720</v>
      </c>
      <c r="P272" s="9" t="s">
        <v>728</v>
      </c>
      <c r="Q272" s="9"/>
      <c r="R272" s="9"/>
      <c r="S272" s="9" t="b">
        <v>0</v>
      </c>
      <c r="T272" s="9"/>
      <c r="U272" s="9" t="s">
        <v>742</v>
      </c>
      <c r="X272" s="199">
        <v>264</v>
      </c>
      <c r="Y272" s="199" t="s">
        <v>1839</v>
      </c>
      <c r="Z272" s="199"/>
      <c r="AA272" s="199"/>
      <c r="AB272" s="199" t="s">
        <v>1366</v>
      </c>
      <c r="AC272" s="199"/>
      <c r="AE272" s="199">
        <v>268</v>
      </c>
      <c r="AF272" s="199" t="s">
        <v>2366</v>
      </c>
      <c r="AG272" s="199" t="s">
        <v>2367</v>
      </c>
      <c r="AH272" s="199" t="s">
        <v>1846</v>
      </c>
      <c r="AI272" s="199" t="s">
        <v>410</v>
      </c>
      <c r="AJ272" s="199"/>
      <c r="AK272" s="199"/>
      <c r="AL272" s="199"/>
      <c r="AM272" s="199"/>
      <c r="AN272" s="199"/>
    </row>
    <row r="273" spans="9:40">
      <c r="I273" s="9" t="s">
        <v>1250</v>
      </c>
      <c r="J273" s="9" t="s">
        <v>1250</v>
      </c>
      <c r="K273" s="9">
        <v>896</v>
      </c>
      <c r="L273" s="9"/>
      <c r="M273" s="9"/>
      <c r="N273" s="9" t="s">
        <v>410</v>
      </c>
      <c r="O273" s="9" t="s">
        <v>720</v>
      </c>
      <c r="P273" s="9" t="s">
        <v>1251</v>
      </c>
      <c r="Q273" s="9"/>
      <c r="R273" s="9"/>
      <c r="S273" s="9" t="b">
        <v>0</v>
      </c>
      <c r="T273" s="9"/>
      <c r="U273" s="9" t="s">
        <v>1252</v>
      </c>
      <c r="X273" s="199">
        <v>265</v>
      </c>
      <c r="Y273" s="199" t="s">
        <v>1839</v>
      </c>
      <c r="Z273" s="199"/>
      <c r="AA273" s="199"/>
      <c r="AB273" s="199" t="s">
        <v>1158</v>
      </c>
      <c r="AC273" s="199"/>
      <c r="AE273" s="199">
        <v>269</v>
      </c>
      <c r="AF273" s="199" t="s">
        <v>2368</v>
      </c>
      <c r="AG273" s="199" t="s">
        <v>2369</v>
      </c>
      <c r="AH273" s="199" t="s">
        <v>1846</v>
      </c>
      <c r="AI273" s="199" t="s">
        <v>410</v>
      </c>
      <c r="AJ273" s="199"/>
      <c r="AK273" s="199"/>
      <c r="AL273" s="199"/>
      <c r="AM273" s="199"/>
      <c r="AN273" s="199"/>
    </row>
    <row r="274" spans="9:40">
      <c r="I274" s="9" t="s">
        <v>1253</v>
      </c>
      <c r="J274" s="9" t="s">
        <v>1253</v>
      </c>
      <c r="K274" s="9">
        <v>897</v>
      </c>
      <c r="L274" s="9"/>
      <c r="M274" s="9"/>
      <c r="N274" s="9" t="s">
        <v>410</v>
      </c>
      <c r="O274" s="9" t="s">
        <v>720</v>
      </c>
      <c r="P274" s="9" t="s">
        <v>1181</v>
      </c>
      <c r="Q274" s="9"/>
      <c r="R274" s="9"/>
      <c r="S274" s="9" t="b">
        <v>0</v>
      </c>
      <c r="T274" s="9"/>
      <c r="U274" s="9" t="s">
        <v>1254</v>
      </c>
      <c r="X274" s="199">
        <v>266</v>
      </c>
      <c r="Y274" s="199" t="s">
        <v>1840</v>
      </c>
      <c r="Z274" s="199"/>
      <c r="AA274" s="199"/>
      <c r="AB274" s="199" t="s">
        <v>1385</v>
      </c>
      <c r="AC274" s="199"/>
      <c r="AE274" s="199">
        <v>270</v>
      </c>
      <c r="AF274" s="199" t="s">
        <v>2370</v>
      </c>
      <c r="AG274" s="199" t="s">
        <v>2371</v>
      </c>
      <c r="AH274" s="199" t="s">
        <v>1846</v>
      </c>
      <c r="AI274" s="199" t="s">
        <v>410</v>
      </c>
      <c r="AJ274" s="199"/>
      <c r="AK274" s="199"/>
      <c r="AL274" s="199"/>
      <c r="AM274" s="199"/>
      <c r="AN274" s="199"/>
    </row>
    <row r="275" spans="9:40">
      <c r="I275" s="9" t="s">
        <v>1255</v>
      </c>
      <c r="J275" s="9" t="s">
        <v>1255</v>
      </c>
      <c r="K275" s="9">
        <v>898</v>
      </c>
      <c r="L275" s="9"/>
      <c r="M275" s="9"/>
      <c r="N275" s="9" t="s">
        <v>410</v>
      </c>
      <c r="O275" s="9" t="s">
        <v>720</v>
      </c>
      <c r="P275" s="9" t="s">
        <v>1256</v>
      </c>
      <c r="Q275" s="9"/>
      <c r="R275" s="9"/>
      <c r="S275" s="9" t="b">
        <v>0</v>
      </c>
      <c r="T275" s="9"/>
      <c r="U275" s="9" t="s">
        <v>1257</v>
      </c>
      <c r="X275" s="199">
        <v>267</v>
      </c>
      <c r="Y275" s="199" t="s">
        <v>1841</v>
      </c>
      <c r="Z275" s="199"/>
      <c r="AA275" s="199"/>
      <c r="AB275" s="199" t="s">
        <v>1842</v>
      </c>
      <c r="AC275" s="199"/>
      <c r="AE275" s="199">
        <v>271</v>
      </c>
      <c r="AF275" s="199" t="s">
        <v>2372</v>
      </c>
      <c r="AG275" s="199" t="s">
        <v>2373</v>
      </c>
      <c r="AH275" s="199" t="s">
        <v>1846</v>
      </c>
      <c r="AI275" s="199" t="s">
        <v>410</v>
      </c>
      <c r="AJ275" s="199"/>
      <c r="AK275" s="199"/>
      <c r="AL275" s="199"/>
      <c r="AM275" s="199"/>
      <c r="AN275" s="199"/>
    </row>
    <row r="276" spans="9:40">
      <c r="I276" s="9" t="s">
        <v>1258</v>
      </c>
      <c r="J276" s="9" t="s">
        <v>1258</v>
      </c>
      <c r="K276" s="9">
        <v>899</v>
      </c>
      <c r="L276" s="9"/>
      <c r="M276" s="9"/>
      <c r="N276" s="9" t="s">
        <v>410</v>
      </c>
      <c r="O276" s="9" t="s">
        <v>720</v>
      </c>
      <c r="P276" s="9" t="s">
        <v>1210</v>
      </c>
      <c r="Q276" s="9"/>
      <c r="R276" s="9"/>
      <c r="S276" s="9" t="b">
        <v>0</v>
      </c>
      <c r="T276" s="9"/>
      <c r="U276" s="9" t="s">
        <v>1211</v>
      </c>
      <c r="X276" s="199">
        <v>268</v>
      </c>
      <c r="Y276" s="199"/>
      <c r="Z276" s="199"/>
      <c r="AA276" s="199"/>
      <c r="AB276" s="199" t="s">
        <v>1843</v>
      </c>
      <c r="AC276" s="199"/>
      <c r="AE276" s="199">
        <v>272</v>
      </c>
      <c r="AF276" s="199" t="s">
        <v>2374</v>
      </c>
      <c r="AG276" s="199" t="s">
        <v>2375</v>
      </c>
      <c r="AH276" s="199" t="s">
        <v>1846</v>
      </c>
      <c r="AI276" s="199" t="s">
        <v>410</v>
      </c>
      <c r="AJ276" s="199"/>
      <c r="AK276" s="199"/>
      <c r="AL276" s="199"/>
      <c r="AM276" s="199"/>
      <c r="AN276" s="199"/>
    </row>
    <row r="277" spans="9:40">
      <c r="I277" s="9" t="s">
        <v>1259</v>
      </c>
      <c r="J277" s="9" t="s">
        <v>1259</v>
      </c>
      <c r="K277" s="9">
        <v>900</v>
      </c>
      <c r="L277" s="9"/>
      <c r="M277" s="9"/>
      <c r="N277" s="9" t="s">
        <v>410</v>
      </c>
      <c r="O277" s="9" t="s">
        <v>749</v>
      </c>
      <c r="P277" s="9" t="s">
        <v>1260</v>
      </c>
      <c r="Q277" s="9"/>
      <c r="R277" s="9"/>
      <c r="S277" s="9" t="b">
        <v>0</v>
      </c>
      <c r="T277" s="9"/>
      <c r="U277" s="9" t="s">
        <v>1261</v>
      </c>
      <c r="AE277" s="199">
        <v>273</v>
      </c>
      <c r="AF277" s="199" t="s">
        <v>2376</v>
      </c>
      <c r="AG277" s="199" t="s">
        <v>2377</v>
      </c>
      <c r="AH277" s="199" t="s">
        <v>1846</v>
      </c>
      <c r="AI277" s="199" t="s">
        <v>410</v>
      </c>
      <c r="AJ277" s="199"/>
      <c r="AK277" s="199"/>
      <c r="AL277" s="199"/>
      <c r="AM277" s="199"/>
      <c r="AN277" s="199"/>
    </row>
    <row r="278" spans="9:40">
      <c r="I278" s="9" t="s">
        <v>1262</v>
      </c>
      <c r="J278" s="9" t="s">
        <v>1262</v>
      </c>
      <c r="K278" s="9">
        <v>901</v>
      </c>
      <c r="L278" s="9"/>
      <c r="M278" s="9"/>
      <c r="N278" s="9" t="s">
        <v>410</v>
      </c>
      <c r="O278" s="9" t="s">
        <v>745</v>
      </c>
      <c r="P278" s="9" t="s">
        <v>1263</v>
      </c>
      <c r="Q278" s="9"/>
      <c r="R278" s="9"/>
      <c r="S278" s="9" t="b">
        <v>0</v>
      </c>
      <c r="T278" s="9"/>
      <c r="U278" s="9" t="s">
        <v>799</v>
      </c>
      <c r="AE278" s="199">
        <v>274</v>
      </c>
      <c r="AF278" s="199" t="s">
        <v>2378</v>
      </c>
      <c r="AG278" s="199" t="s">
        <v>2379</v>
      </c>
      <c r="AH278" s="199" t="s">
        <v>1846</v>
      </c>
      <c r="AI278" s="199" t="s">
        <v>410</v>
      </c>
      <c r="AJ278" s="199"/>
      <c r="AK278" s="199"/>
      <c r="AL278" s="199"/>
      <c r="AM278" s="199"/>
      <c r="AN278" s="199"/>
    </row>
    <row r="279" spans="9:40">
      <c r="I279" s="9" t="s">
        <v>1264</v>
      </c>
      <c r="J279" s="9" t="s">
        <v>1264</v>
      </c>
      <c r="K279" s="9">
        <v>902</v>
      </c>
      <c r="L279" s="9"/>
      <c r="M279" s="9"/>
      <c r="N279" s="9" t="s">
        <v>410</v>
      </c>
      <c r="O279" s="9" t="s">
        <v>745</v>
      </c>
      <c r="P279" s="9" t="s">
        <v>1265</v>
      </c>
      <c r="Q279" s="9"/>
      <c r="R279" s="9"/>
      <c r="S279" s="9" t="b">
        <v>0</v>
      </c>
      <c r="T279" s="9"/>
      <c r="U279" s="9" t="s">
        <v>1266</v>
      </c>
      <c r="AE279" s="199">
        <v>275</v>
      </c>
      <c r="AF279" s="199" t="s">
        <v>2380</v>
      </c>
      <c r="AG279" s="199" t="s">
        <v>2381</v>
      </c>
      <c r="AH279" s="199" t="s">
        <v>1846</v>
      </c>
      <c r="AI279" s="199" t="s">
        <v>410</v>
      </c>
      <c r="AJ279" s="199"/>
      <c r="AK279" s="199"/>
      <c r="AL279" s="199"/>
      <c r="AM279" s="199"/>
      <c r="AN279" s="199"/>
    </row>
    <row r="280" spans="9:40">
      <c r="I280" s="9" t="s">
        <v>1267</v>
      </c>
      <c r="J280" s="9" t="s">
        <v>1267</v>
      </c>
      <c r="K280" s="9">
        <v>904</v>
      </c>
      <c r="L280" s="9"/>
      <c r="M280" s="9"/>
      <c r="N280" s="9" t="s">
        <v>410</v>
      </c>
      <c r="O280" s="9" t="s">
        <v>724</v>
      </c>
      <c r="P280" s="9" t="s">
        <v>1079</v>
      </c>
      <c r="Q280" s="9"/>
      <c r="R280" s="9"/>
      <c r="S280" s="9" t="b">
        <v>0</v>
      </c>
      <c r="T280" s="9"/>
      <c r="U280" s="9" t="s">
        <v>1057</v>
      </c>
      <c r="AE280" s="199">
        <v>276</v>
      </c>
      <c r="AF280" s="199" t="s">
        <v>2382</v>
      </c>
      <c r="AG280" s="199" t="s">
        <v>2383</v>
      </c>
      <c r="AH280" s="199" t="s">
        <v>1846</v>
      </c>
      <c r="AI280" s="199" t="s">
        <v>410</v>
      </c>
      <c r="AJ280" s="199"/>
      <c r="AK280" s="199"/>
      <c r="AL280" s="199"/>
      <c r="AM280" s="199"/>
      <c r="AN280" s="199"/>
    </row>
    <row r="281" spans="9:40">
      <c r="I281" s="9" t="s">
        <v>1268</v>
      </c>
      <c r="J281" s="9" t="s">
        <v>1268</v>
      </c>
      <c r="K281" s="9">
        <v>905</v>
      </c>
      <c r="L281" s="9"/>
      <c r="M281" s="9"/>
      <c r="N281" s="9" t="s">
        <v>410</v>
      </c>
      <c r="O281" s="9" t="s">
        <v>745</v>
      </c>
      <c r="P281" s="9" t="s">
        <v>1269</v>
      </c>
      <c r="Q281" s="9"/>
      <c r="R281" s="9"/>
      <c r="S281" s="9" t="b">
        <v>0</v>
      </c>
      <c r="T281" s="9"/>
      <c r="U281" s="9"/>
      <c r="AE281" s="199">
        <v>277</v>
      </c>
      <c r="AF281" s="199" t="s">
        <v>2384</v>
      </c>
      <c r="AG281" s="199" t="s">
        <v>2385</v>
      </c>
      <c r="AH281" s="199" t="s">
        <v>1846</v>
      </c>
      <c r="AI281" s="199" t="s">
        <v>410</v>
      </c>
      <c r="AJ281" s="199"/>
      <c r="AK281" s="199"/>
      <c r="AL281" s="199"/>
      <c r="AM281" s="199"/>
      <c r="AN281" s="199"/>
    </row>
    <row r="282" spans="9:40">
      <c r="I282" s="9" t="s">
        <v>1270</v>
      </c>
      <c r="J282" s="9" t="s">
        <v>1270</v>
      </c>
      <c r="K282" s="9">
        <v>910</v>
      </c>
      <c r="L282" s="9"/>
      <c r="M282" s="9"/>
      <c r="N282" s="9" t="s">
        <v>410</v>
      </c>
      <c r="O282" s="9" t="s">
        <v>724</v>
      </c>
      <c r="P282" s="9" t="s">
        <v>1271</v>
      </c>
      <c r="Q282" s="9"/>
      <c r="R282" s="9"/>
      <c r="S282" s="9" t="b">
        <v>0</v>
      </c>
      <c r="T282" s="9"/>
      <c r="U282" s="9"/>
      <c r="AE282" s="199">
        <v>278</v>
      </c>
      <c r="AF282" s="199" t="s">
        <v>2386</v>
      </c>
      <c r="AG282" s="199" t="s">
        <v>2387</v>
      </c>
      <c r="AH282" s="199" t="s">
        <v>1846</v>
      </c>
      <c r="AI282" s="199" t="s">
        <v>410</v>
      </c>
      <c r="AJ282" s="199"/>
      <c r="AK282" s="199"/>
      <c r="AL282" s="199"/>
      <c r="AM282" s="199"/>
      <c r="AN282" s="199"/>
    </row>
    <row r="283" spans="9:40">
      <c r="I283" s="9" t="s">
        <v>61</v>
      </c>
      <c r="J283" s="9" t="s">
        <v>61</v>
      </c>
      <c r="K283" s="9">
        <v>911</v>
      </c>
      <c r="L283" s="9"/>
      <c r="M283" s="9"/>
      <c r="N283" s="9" t="s">
        <v>410</v>
      </c>
      <c r="O283" s="9" t="s">
        <v>689</v>
      </c>
      <c r="P283" s="9" t="s">
        <v>1272</v>
      </c>
      <c r="Q283" s="9"/>
      <c r="R283" s="9"/>
      <c r="S283" s="9" t="b">
        <v>0</v>
      </c>
      <c r="T283" s="9"/>
      <c r="U283" s="9" t="s">
        <v>61</v>
      </c>
      <c r="AE283" s="199">
        <v>279</v>
      </c>
      <c r="AF283" s="199" t="s">
        <v>2388</v>
      </c>
      <c r="AG283" s="199" t="s">
        <v>2389</v>
      </c>
      <c r="AH283" s="199" t="s">
        <v>1846</v>
      </c>
      <c r="AI283" s="199" t="s">
        <v>410</v>
      </c>
      <c r="AJ283" s="199"/>
      <c r="AK283" s="199"/>
      <c r="AL283" s="199"/>
      <c r="AM283" s="199"/>
      <c r="AN283" s="199"/>
    </row>
    <row r="284" spans="9:40">
      <c r="I284" s="9" t="s">
        <v>1273</v>
      </c>
      <c r="J284" s="9" t="s">
        <v>1273</v>
      </c>
      <c r="K284" s="9">
        <v>912</v>
      </c>
      <c r="L284" s="9"/>
      <c r="M284" s="9"/>
      <c r="N284" s="9" t="s">
        <v>410</v>
      </c>
      <c r="O284" s="9" t="s">
        <v>1274</v>
      </c>
      <c r="P284" s="9" t="s">
        <v>859</v>
      </c>
      <c r="Q284" s="9"/>
      <c r="R284" s="9"/>
      <c r="S284" s="9" t="b">
        <v>0</v>
      </c>
      <c r="T284" s="9"/>
      <c r="U284" s="9"/>
      <c r="AE284" s="199">
        <v>280</v>
      </c>
      <c r="AF284" s="199" t="s">
        <v>2390</v>
      </c>
      <c r="AG284" s="199" t="s">
        <v>2391</v>
      </c>
      <c r="AH284" s="199" t="s">
        <v>1846</v>
      </c>
      <c r="AI284" s="199" t="s">
        <v>410</v>
      </c>
      <c r="AJ284" s="199"/>
      <c r="AK284" s="199"/>
      <c r="AL284" s="199"/>
      <c r="AM284" s="199"/>
      <c r="AN284" s="199"/>
    </row>
    <row r="285" spans="9:40">
      <c r="I285" s="9" t="s">
        <v>1275</v>
      </c>
      <c r="J285" s="9" t="s">
        <v>1275</v>
      </c>
      <c r="K285" s="9">
        <v>913</v>
      </c>
      <c r="L285" s="9"/>
      <c r="M285" s="9"/>
      <c r="N285" s="9" t="s">
        <v>400</v>
      </c>
      <c r="O285" s="9" t="s">
        <v>724</v>
      </c>
      <c r="P285" s="9" t="s">
        <v>845</v>
      </c>
      <c r="Q285" s="9"/>
      <c r="R285" s="9"/>
      <c r="S285" s="9" t="b">
        <v>0</v>
      </c>
      <c r="T285" s="9"/>
      <c r="U285" s="9" t="s">
        <v>809</v>
      </c>
      <c r="AE285" s="199">
        <v>281</v>
      </c>
      <c r="AF285" s="199" t="s">
        <v>2392</v>
      </c>
      <c r="AG285" s="199" t="s">
        <v>2393</v>
      </c>
      <c r="AH285" s="199" t="s">
        <v>1846</v>
      </c>
      <c r="AI285" s="199" t="s">
        <v>410</v>
      </c>
      <c r="AJ285" s="199"/>
      <c r="AK285" s="199"/>
      <c r="AL285" s="199"/>
      <c r="AM285" s="199"/>
      <c r="AN285" s="199"/>
    </row>
    <row r="286" spans="9:40">
      <c r="I286" s="9" t="s">
        <v>1276</v>
      </c>
      <c r="J286" s="9" t="s">
        <v>1276</v>
      </c>
      <c r="K286" s="9">
        <v>914</v>
      </c>
      <c r="L286" s="9"/>
      <c r="M286" s="9"/>
      <c r="N286" s="9" t="s">
        <v>410</v>
      </c>
      <c r="O286" s="9" t="s">
        <v>724</v>
      </c>
      <c r="P286" s="9" t="s">
        <v>1277</v>
      </c>
      <c r="Q286" s="9"/>
      <c r="R286" s="9"/>
      <c r="S286" s="9" t="b">
        <v>0</v>
      </c>
      <c r="T286" s="9"/>
      <c r="U286" s="9" t="s">
        <v>712</v>
      </c>
      <c r="AE286" s="199">
        <v>282</v>
      </c>
      <c r="AF286" s="199" t="s">
        <v>2394</v>
      </c>
      <c r="AG286" s="199" t="s">
        <v>2395</v>
      </c>
      <c r="AH286" s="199" t="s">
        <v>1846</v>
      </c>
      <c r="AI286" s="199" t="s">
        <v>410</v>
      </c>
      <c r="AJ286" s="199"/>
      <c r="AK286" s="199"/>
      <c r="AL286" s="199"/>
      <c r="AM286" s="199"/>
      <c r="AN286" s="199"/>
    </row>
    <row r="287" spans="9:40">
      <c r="I287" s="9" t="s">
        <v>62</v>
      </c>
      <c r="J287" s="9" t="s">
        <v>62</v>
      </c>
      <c r="K287" s="9">
        <v>915</v>
      </c>
      <c r="L287" s="9"/>
      <c r="M287" s="9"/>
      <c r="N287" s="9" t="s">
        <v>410</v>
      </c>
      <c r="O287" s="9" t="s">
        <v>724</v>
      </c>
      <c r="P287" s="9" t="s">
        <v>845</v>
      </c>
      <c r="Q287" s="9"/>
      <c r="R287" s="9"/>
      <c r="S287" s="9" t="b">
        <v>0</v>
      </c>
      <c r="T287" s="9"/>
      <c r="U287" s="9" t="s">
        <v>62</v>
      </c>
      <c r="AE287" s="199">
        <v>283</v>
      </c>
      <c r="AF287" s="199" t="s">
        <v>2396</v>
      </c>
      <c r="AG287" s="199" t="s">
        <v>2397</v>
      </c>
      <c r="AH287" s="199" t="s">
        <v>1846</v>
      </c>
      <c r="AI287" s="199" t="s">
        <v>410</v>
      </c>
      <c r="AJ287" s="199"/>
      <c r="AK287" s="199"/>
      <c r="AL287" s="199"/>
      <c r="AM287" s="199"/>
      <c r="AN287" s="199"/>
    </row>
    <row r="288" spans="9:40">
      <c r="I288" s="9" t="s">
        <v>1278</v>
      </c>
      <c r="J288" s="9" t="s">
        <v>1278</v>
      </c>
      <c r="K288" s="9">
        <v>916</v>
      </c>
      <c r="L288" s="9"/>
      <c r="M288" s="9"/>
      <c r="N288" s="9" t="s">
        <v>410</v>
      </c>
      <c r="O288" s="9" t="s">
        <v>1279</v>
      </c>
      <c r="P288" s="9" t="s">
        <v>752</v>
      </c>
      <c r="Q288" s="9"/>
      <c r="R288" s="9"/>
      <c r="S288" s="9" t="b">
        <v>0</v>
      </c>
      <c r="T288" s="9"/>
      <c r="U288" s="9"/>
      <c r="AE288" s="199">
        <v>284</v>
      </c>
      <c r="AF288" s="199" t="s">
        <v>2398</v>
      </c>
      <c r="AG288" s="199" t="s">
        <v>2399</v>
      </c>
      <c r="AH288" s="199" t="s">
        <v>1846</v>
      </c>
      <c r="AI288" s="199" t="s">
        <v>410</v>
      </c>
      <c r="AJ288" s="199"/>
      <c r="AK288" s="199"/>
      <c r="AL288" s="199"/>
      <c r="AM288" s="199"/>
      <c r="AN288" s="199"/>
    </row>
    <row r="289" spans="9:40">
      <c r="I289" s="9" t="s">
        <v>1280</v>
      </c>
      <c r="J289" s="9" t="s">
        <v>1280</v>
      </c>
      <c r="K289" s="9">
        <v>917</v>
      </c>
      <c r="L289" s="9"/>
      <c r="M289" s="9"/>
      <c r="N289" s="9" t="s">
        <v>410</v>
      </c>
      <c r="O289" s="9" t="s">
        <v>1279</v>
      </c>
      <c r="P289" s="9" t="s">
        <v>752</v>
      </c>
      <c r="Q289" s="9"/>
      <c r="R289" s="9"/>
      <c r="S289" s="9" t="b">
        <v>0</v>
      </c>
      <c r="T289" s="9"/>
      <c r="U289" s="9"/>
      <c r="AE289" s="199">
        <v>285</v>
      </c>
      <c r="AF289" s="199" t="s">
        <v>2400</v>
      </c>
      <c r="AG289" s="199" t="s">
        <v>2401</v>
      </c>
      <c r="AH289" s="199" t="s">
        <v>1846</v>
      </c>
      <c r="AI289" s="199" t="s">
        <v>410</v>
      </c>
      <c r="AJ289" s="199"/>
      <c r="AK289" s="199"/>
      <c r="AL289" s="199"/>
      <c r="AM289" s="199"/>
      <c r="AN289" s="199"/>
    </row>
    <row r="290" spans="9:40">
      <c r="I290" s="9" t="s">
        <v>1281</v>
      </c>
      <c r="J290" s="9" t="s">
        <v>1281</v>
      </c>
      <c r="K290" s="9">
        <v>918</v>
      </c>
      <c r="L290" s="9"/>
      <c r="M290" s="9"/>
      <c r="N290" s="9" t="s">
        <v>410</v>
      </c>
      <c r="O290" s="9" t="s">
        <v>724</v>
      </c>
      <c r="P290" s="9" t="s">
        <v>845</v>
      </c>
      <c r="Q290" s="9"/>
      <c r="R290" s="9"/>
      <c r="S290" s="9" t="b">
        <v>0</v>
      </c>
      <c r="T290" s="9"/>
      <c r="U290" s="9" t="s">
        <v>799</v>
      </c>
      <c r="AE290" s="199">
        <v>286</v>
      </c>
      <c r="AF290" s="199" t="s">
        <v>2402</v>
      </c>
      <c r="AG290" s="199" t="s">
        <v>2403</v>
      </c>
      <c r="AH290" s="199" t="s">
        <v>1846</v>
      </c>
      <c r="AI290" s="199" t="s">
        <v>410</v>
      </c>
      <c r="AJ290" s="199"/>
      <c r="AK290" s="199"/>
      <c r="AL290" s="199"/>
      <c r="AM290" s="199"/>
      <c r="AN290" s="199"/>
    </row>
    <row r="291" spans="9:40">
      <c r="I291" s="9" t="s">
        <v>1282</v>
      </c>
      <c r="J291" s="9" t="s">
        <v>1282</v>
      </c>
      <c r="K291" s="9">
        <v>919</v>
      </c>
      <c r="L291" s="9"/>
      <c r="M291" s="9"/>
      <c r="N291" s="9" t="s">
        <v>410</v>
      </c>
      <c r="O291" s="9" t="s">
        <v>724</v>
      </c>
      <c r="P291" s="9" t="s">
        <v>1210</v>
      </c>
      <c r="Q291" s="9"/>
      <c r="R291" s="9"/>
      <c r="S291" s="9" t="b">
        <v>0</v>
      </c>
      <c r="T291" s="9"/>
      <c r="U291" s="9" t="s">
        <v>712</v>
      </c>
      <c r="AE291" s="199">
        <v>287</v>
      </c>
      <c r="AF291" s="199" t="s">
        <v>2404</v>
      </c>
      <c r="AG291" s="199"/>
      <c r="AH291" s="199" t="s">
        <v>1846</v>
      </c>
      <c r="AI291" s="199" t="s">
        <v>410</v>
      </c>
      <c r="AJ291" s="199"/>
      <c r="AK291" s="199"/>
      <c r="AL291" s="199"/>
      <c r="AM291" s="199"/>
      <c r="AN291" s="199"/>
    </row>
    <row r="292" spans="9:40">
      <c r="I292" s="9" t="s">
        <v>1283</v>
      </c>
      <c r="J292" s="9" t="s">
        <v>1283</v>
      </c>
      <c r="K292" s="9">
        <v>920</v>
      </c>
      <c r="L292" s="9"/>
      <c r="M292" s="9"/>
      <c r="N292" s="9" t="s">
        <v>410</v>
      </c>
      <c r="O292" s="9" t="s">
        <v>724</v>
      </c>
      <c r="P292" s="9" t="s">
        <v>752</v>
      </c>
      <c r="Q292" s="9"/>
      <c r="R292" s="9"/>
      <c r="S292" s="9" t="b">
        <v>0</v>
      </c>
      <c r="T292" s="9"/>
      <c r="U292" s="9"/>
      <c r="AE292" s="199">
        <v>288</v>
      </c>
      <c r="AF292" s="199" t="s">
        <v>2405</v>
      </c>
      <c r="AG292" s="199" t="s">
        <v>2406</v>
      </c>
      <c r="AH292" s="199" t="s">
        <v>1846</v>
      </c>
      <c r="AI292" s="199" t="s">
        <v>410</v>
      </c>
      <c r="AJ292" s="199"/>
      <c r="AK292" s="199"/>
      <c r="AL292" s="199"/>
      <c r="AM292" s="199"/>
      <c r="AN292" s="199"/>
    </row>
    <row r="293" spans="9:40">
      <c r="I293" s="9" t="s">
        <v>1284</v>
      </c>
      <c r="J293" s="9" t="s">
        <v>1284</v>
      </c>
      <c r="K293" s="9">
        <v>921</v>
      </c>
      <c r="L293" s="9"/>
      <c r="M293" s="9"/>
      <c r="N293" s="9" t="s">
        <v>410</v>
      </c>
      <c r="O293" s="9" t="s">
        <v>724</v>
      </c>
      <c r="P293" s="9" t="s">
        <v>845</v>
      </c>
      <c r="Q293" s="9"/>
      <c r="R293" s="9"/>
      <c r="S293" s="9" t="b">
        <v>0</v>
      </c>
      <c r="T293" s="9"/>
      <c r="U293" s="9" t="s">
        <v>799</v>
      </c>
      <c r="AE293" s="199">
        <v>289</v>
      </c>
      <c r="AF293" s="199" t="s">
        <v>2407</v>
      </c>
      <c r="AG293" s="199" t="s">
        <v>2408</v>
      </c>
      <c r="AH293" s="199" t="s">
        <v>1846</v>
      </c>
      <c r="AI293" s="199" t="s">
        <v>410</v>
      </c>
      <c r="AJ293" s="199"/>
      <c r="AK293" s="199"/>
      <c r="AL293" s="199"/>
      <c r="AM293" s="199"/>
      <c r="AN293" s="199"/>
    </row>
    <row r="294" spans="9:40">
      <c r="I294" s="9" t="s">
        <v>1285</v>
      </c>
      <c r="J294" s="9" t="s">
        <v>1285</v>
      </c>
      <c r="K294" s="9">
        <v>922</v>
      </c>
      <c r="L294" s="9"/>
      <c r="M294" s="9"/>
      <c r="N294" s="9" t="s">
        <v>410</v>
      </c>
      <c r="O294" s="9" t="s">
        <v>724</v>
      </c>
      <c r="P294" s="9" t="s">
        <v>752</v>
      </c>
      <c r="Q294" s="9"/>
      <c r="R294" s="9"/>
      <c r="S294" s="9" t="b">
        <v>0</v>
      </c>
      <c r="T294" s="9"/>
      <c r="U294" s="9" t="s">
        <v>1286</v>
      </c>
      <c r="AE294" s="199">
        <v>290</v>
      </c>
      <c r="AF294" s="199" t="s">
        <v>2409</v>
      </c>
      <c r="AG294" s="199" t="s">
        <v>2410</v>
      </c>
      <c r="AH294" s="199" t="s">
        <v>1846</v>
      </c>
      <c r="AI294" s="199" t="s">
        <v>410</v>
      </c>
      <c r="AJ294" s="199"/>
      <c r="AK294" s="199"/>
      <c r="AL294" s="199"/>
      <c r="AM294" s="199"/>
      <c r="AN294" s="199"/>
    </row>
    <row r="295" spans="9:40">
      <c r="I295" s="9" t="s">
        <v>63</v>
      </c>
      <c r="J295" s="9" t="s">
        <v>63</v>
      </c>
      <c r="K295" s="9">
        <v>923</v>
      </c>
      <c r="L295" s="9"/>
      <c r="M295" s="9"/>
      <c r="N295" s="9" t="s">
        <v>410</v>
      </c>
      <c r="O295" s="9" t="s">
        <v>1022</v>
      </c>
      <c r="P295" s="9" t="s">
        <v>752</v>
      </c>
      <c r="Q295" s="9"/>
      <c r="R295" s="9"/>
      <c r="S295" s="9" t="b">
        <v>0</v>
      </c>
      <c r="T295" s="9"/>
      <c r="U295" s="9" t="s">
        <v>63</v>
      </c>
      <c r="AE295" s="199">
        <v>291</v>
      </c>
      <c r="AF295" s="199" t="s">
        <v>2411</v>
      </c>
      <c r="AG295" s="199" t="s">
        <v>2412</v>
      </c>
      <c r="AH295" s="199" t="s">
        <v>1846</v>
      </c>
      <c r="AI295" s="199" t="s">
        <v>410</v>
      </c>
      <c r="AJ295" s="199"/>
      <c r="AK295" s="199"/>
      <c r="AL295" s="199"/>
      <c r="AM295" s="199"/>
      <c r="AN295" s="199"/>
    </row>
    <row r="296" spans="9:40">
      <c r="I296" s="9" t="s">
        <v>64</v>
      </c>
      <c r="J296" s="9" t="s">
        <v>64</v>
      </c>
      <c r="K296" s="9">
        <v>924</v>
      </c>
      <c r="L296" s="9"/>
      <c r="M296" s="9"/>
      <c r="N296" s="9" t="s">
        <v>410</v>
      </c>
      <c r="O296" s="9" t="s">
        <v>724</v>
      </c>
      <c r="P296" s="9" t="s">
        <v>1287</v>
      </c>
      <c r="Q296" s="9"/>
      <c r="R296" s="9"/>
      <c r="S296" s="9" t="b">
        <v>0</v>
      </c>
      <c r="T296" s="9"/>
      <c r="U296" s="9" t="s">
        <v>64</v>
      </c>
      <c r="AE296" s="199">
        <v>292</v>
      </c>
      <c r="AF296" s="199" t="s">
        <v>2413</v>
      </c>
      <c r="AG296" s="199" t="s">
        <v>2414</v>
      </c>
      <c r="AH296" s="199" t="s">
        <v>1846</v>
      </c>
      <c r="AI296" s="199" t="s">
        <v>410</v>
      </c>
      <c r="AJ296" s="199"/>
      <c r="AK296" s="199"/>
      <c r="AL296" s="199"/>
      <c r="AM296" s="199"/>
      <c r="AN296" s="199"/>
    </row>
    <row r="297" spans="9:40">
      <c r="I297" s="9" t="s">
        <v>65</v>
      </c>
      <c r="J297" s="9" t="s">
        <v>65</v>
      </c>
      <c r="K297" s="9">
        <v>925</v>
      </c>
      <c r="L297" s="9"/>
      <c r="M297" s="9"/>
      <c r="N297" s="9" t="s">
        <v>410</v>
      </c>
      <c r="O297" s="9" t="s">
        <v>724</v>
      </c>
      <c r="P297" s="9" t="s">
        <v>752</v>
      </c>
      <c r="Q297" s="9"/>
      <c r="R297" s="9"/>
      <c r="S297" s="9" t="b">
        <v>0</v>
      </c>
      <c r="T297" s="9"/>
      <c r="U297" s="9" t="s">
        <v>65</v>
      </c>
      <c r="AE297" s="199">
        <v>293</v>
      </c>
      <c r="AF297" s="199" t="s">
        <v>2415</v>
      </c>
      <c r="AG297" s="199" t="s">
        <v>2416</v>
      </c>
      <c r="AH297" s="199" t="s">
        <v>1846</v>
      </c>
      <c r="AI297" s="199" t="s">
        <v>410</v>
      </c>
      <c r="AJ297" s="199"/>
      <c r="AK297" s="199"/>
      <c r="AL297" s="199"/>
      <c r="AM297" s="199"/>
      <c r="AN297" s="199"/>
    </row>
    <row r="298" spans="9:40">
      <c r="I298" s="9" t="s">
        <v>66</v>
      </c>
      <c r="J298" s="9" t="s">
        <v>66</v>
      </c>
      <c r="K298" s="9">
        <v>926</v>
      </c>
      <c r="L298" s="9"/>
      <c r="M298" s="9"/>
      <c r="N298" s="9" t="s">
        <v>410</v>
      </c>
      <c r="O298" s="9" t="s">
        <v>724</v>
      </c>
      <c r="P298" s="9" t="s">
        <v>752</v>
      </c>
      <c r="Q298" s="9"/>
      <c r="R298" s="9"/>
      <c r="S298" s="9" t="b">
        <v>0</v>
      </c>
      <c r="T298" s="9"/>
      <c r="U298" s="9" t="s">
        <v>66</v>
      </c>
      <c r="AE298" s="199">
        <v>294</v>
      </c>
      <c r="AF298" s="199" t="s">
        <v>2417</v>
      </c>
      <c r="AG298" s="199" t="s">
        <v>2418</v>
      </c>
      <c r="AH298" s="199" t="s">
        <v>1846</v>
      </c>
      <c r="AI298" s="199" t="s">
        <v>410</v>
      </c>
      <c r="AJ298" s="199"/>
      <c r="AK298" s="199"/>
      <c r="AL298" s="199"/>
      <c r="AM298" s="199"/>
      <c r="AN298" s="199"/>
    </row>
    <row r="299" spans="9:40">
      <c r="I299" s="9" t="s">
        <v>1288</v>
      </c>
      <c r="J299" s="9" t="s">
        <v>1288</v>
      </c>
      <c r="K299" s="9">
        <v>927</v>
      </c>
      <c r="L299" s="9"/>
      <c r="M299" s="9"/>
      <c r="N299" s="9" t="s">
        <v>410</v>
      </c>
      <c r="O299" s="9" t="s">
        <v>724</v>
      </c>
      <c r="P299" s="9" t="s">
        <v>845</v>
      </c>
      <c r="Q299" s="9"/>
      <c r="R299" s="9"/>
      <c r="S299" s="9" t="b">
        <v>0</v>
      </c>
      <c r="T299" s="9"/>
      <c r="U299" s="9" t="s">
        <v>1289</v>
      </c>
      <c r="AE299" s="199">
        <v>295</v>
      </c>
      <c r="AF299" s="199" t="s">
        <v>2419</v>
      </c>
      <c r="AG299" s="199" t="s">
        <v>2420</v>
      </c>
      <c r="AH299" s="199" t="s">
        <v>1846</v>
      </c>
      <c r="AI299" s="199" t="s">
        <v>410</v>
      </c>
      <c r="AJ299" s="199"/>
      <c r="AK299" s="199"/>
      <c r="AL299" s="199"/>
      <c r="AM299" s="199"/>
      <c r="AN299" s="199"/>
    </row>
    <row r="300" spans="9:40">
      <c r="I300" s="9" t="s">
        <v>67</v>
      </c>
      <c r="J300" s="9" t="s">
        <v>67</v>
      </c>
      <c r="K300" s="9">
        <v>928</v>
      </c>
      <c r="L300" s="9"/>
      <c r="M300" s="9"/>
      <c r="N300" s="9" t="s">
        <v>410</v>
      </c>
      <c r="O300" s="9" t="s">
        <v>1075</v>
      </c>
      <c r="P300" s="9" t="s">
        <v>1290</v>
      </c>
      <c r="Q300" s="9"/>
      <c r="R300" s="9"/>
      <c r="S300" s="9" t="b">
        <v>0</v>
      </c>
      <c r="T300" s="9"/>
      <c r="U300" s="9" t="s">
        <v>67</v>
      </c>
      <c r="AE300" s="199">
        <v>296</v>
      </c>
      <c r="AF300" s="199" t="s">
        <v>2421</v>
      </c>
      <c r="AG300" s="199" t="s">
        <v>2422</v>
      </c>
      <c r="AH300" s="199" t="s">
        <v>1846</v>
      </c>
      <c r="AI300" s="199" t="s">
        <v>410</v>
      </c>
      <c r="AJ300" s="199"/>
      <c r="AK300" s="199"/>
      <c r="AL300" s="199"/>
      <c r="AM300" s="199"/>
      <c r="AN300" s="199"/>
    </row>
    <row r="301" spans="9:40">
      <c r="I301" s="9" t="s">
        <v>68</v>
      </c>
      <c r="J301" s="9" t="s">
        <v>68</v>
      </c>
      <c r="K301" s="9">
        <v>929</v>
      </c>
      <c r="L301" s="9"/>
      <c r="M301" s="9"/>
      <c r="N301" s="9" t="s">
        <v>410</v>
      </c>
      <c r="O301" s="9" t="s">
        <v>724</v>
      </c>
      <c r="P301" s="9" t="s">
        <v>1291</v>
      </c>
      <c r="Q301" s="9"/>
      <c r="R301" s="9"/>
      <c r="S301" s="9" t="b">
        <v>0</v>
      </c>
      <c r="T301" s="9"/>
      <c r="U301" s="9" t="s">
        <v>68</v>
      </c>
      <c r="AE301" s="199">
        <v>297</v>
      </c>
      <c r="AF301" s="199" t="s">
        <v>2423</v>
      </c>
      <c r="AG301" s="199" t="s">
        <v>2424</v>
      </c>
      <c r="AH301" s="199" t="s">
        <v>1846</v>
      </c>
      <c r="AI301" s="199" t="s">
        <v>410</v>
      </c>
      <c r="AJ301" s="199"/>
      <c r="AK301" s="199"/>
      <c r="AL301" s="199"/>
      <c r="AM301" s="199"/>
      <c r="AN301" s="199"/>
    </row>
    <row r="302" spans="9:40">
      <c r="I302" s="9" t="s">
        <v>69</v>
      </c>
      <c r="J302" s="9" t="s">
        <v>69</v>
      </c>
      <c r="K302" s="9">
        <v>930</v>
      </c>
      <c r="L302" s="9"/>
      <c r="M302" s="9"/>
      <c r="N302" s="9" t="s">
        <v>410</v>
      </c>
      <c r="O302" s="9" t="s">
        <v>724</v>
      </c>
      <c r="P302" s="9" t="s">
        <v>1292</v>
      </c>
      <c r="Q302" s="9"/>
      <c r="R302" s="9"/>
      <c r="S302" s="9" t="b">
        <v>0</v>
      </c>
      <c r="T302" s="9"/>
      <c r="U302" s="9" t="s">
        <v>69</v>
      </c>
      <c r="AE302" s="199">
        <v>298</v>
      </c>
      <c r="AF302" s="199" t="s">
        <v>2425</v>
      </c>
      <c r="AG302" s="199" t="s">
        <v>2426</v>
      </c>
      <c r="AH302" s="199" t="s">
        <v>1846</v>
      </c>
      <c r="AI302" s="199" t="s">
        <v>410</v>
      </c>
      <c r="AJ302" s="199"/>
      <c r="AK302" s="199"/>
      <c r="AL302" s="199"/>
      <c r="AM302" s="199"/>
      <c r="AN302" s="199"/>
    </row>
    <row r="303" spans="9:40">
      <c r="I303" s="9" t="s">
        <v>1293</v>
      </c>
      <c r="J303" s="9" t="s">
        <v>1293</v>
      </c>
      <c r="K303" s="9">
        <v>931</v>
      </c>
      <c r="L303" s="9"/>
      <c r="M303" s="9"/>
      <c r="N303" s="9" t="s">
        <v>410</v>
      </c>
      <c r="O303" s="9" t="s">
        <v>749</v>
      </c>
      <c r="P303" s="9" t="s">
        <v>1294</v>
      </c>
      <c r="Q303" s="9"/>
      <c r="R303" s="9"/>
      <c r="S303" s="9" t="b">
        <v>0</v>
      </c>
      <c r="T303" s="9"/>
      <c r="U303" s="9" t="s">
        <v>1295</v>
      </c>
      <c r="AE303" s="199">
        <v>299</v>
      </c>
      <c r="AF303" s="199" t="s">
        <v>2427</v>
      </c>
      <c r="AG303" s="199" t="s">
        <v>2428</v>
      </c>
      <c r="AH303" s="199" t="s">
        <v>1846</v>
      </c>
      <c r="AI303" s="199" t="s">
        <v>410</v>
      </c>
      <c r="AJ303" s="199"/>
      <c r="AK303" s="199"/>
      <c r="AL303" s="199"/>
      <c r="AM303" s="199"/>
      <c r="AN303" s="199"/>
    </row>
    <row r="304" spans="9:40">
      <c r="I304" s="9" t="s">
        <v>1296</v>
      </c>
      <c r="J304" s="9" t="s">
        <v>1296</v>
      </c>
      <c r="K304" s="9">
        <v>932</v>
      </c>
      <c r="L304" s="9"/>
      <c r="M304" s="9"/>
      <c r="N304" s="9" t="s">
        <v>410</v>
      </c>
      <c r="O304" s="9" t="s">
        <v>724</v>
      </c>
      <c r="P304" s="9" t="s">
        <v>848</v>
      </c>
      <c r="Q304" s="9"/>
      <c r="R304" s="9"/>
      <c r="S304" s="9" t="b">
        <v>0</v>
      </c>
      <c r="T304" s="9"/>
      <c r="U304" s="9" t="s">
        <v>979</v>
      </c>
      <c r="AE304" s="199">
        <v>300</v>
      </c>
      <c r="AF304" s="199" t="s">
        <v>2429</v>
      </c>
      <c r="AG304" s="199" t="s">
        <v>2430</v>
      </c>
      <c r="AH304" s="199" t="s">
        <v>1846</v>
      </c>
      <c r="AI304" s="199" t="s">
        <v>410</v>
      </c>
      <c r="AJ304" s="199"/>
      <c r="AK304" s="199"/>
      <c r="AL304" s="199"/>
      <c r="AM304" s="199"/>
      <c r="AN304" s="199"/>
    </row>
    <row r="305" spans="9:40">
      <c r="I305" s="9" t="s">
        <v>1297</v>
      </c>
      <c r="J305" s="9" t="s">
        <v>1297</v>
      </c>
      <c r="K305" s="9">
        <v>933</v>
      </c>
      <c r="L305" s="9"/>
      <c r="M305" s="9"/>
      <c r="N305" s="9" t="s">
        <v>410</v>
      </c>
      <c r="O305" s="9" t="s">
        <v>724</v>
      </c>
      <c r="P305" s="9" t="s">
        <v>848</v>
      </c>
      <c r="Q305" s="9"/>
      <c r="R305" s="9"/>
      <c r="S305" s="9" t="b">
        <v>0</v>
      </c>
      <c r="T305" s="9"/>
      <c r="U305" s="9" t="s">
        <v>1298</v>
      </c>
      <c r="AE305" s="199">
        <v>301</v>
      </c>
      <c r="AF305" s="199" t="s">
        <v>2431</v>
      </c>
      <c r="AG305" s="199" t="s">
        <v>2432</v>
      </c>
      <c r="AH305" s="199" t="s">
        <v>1846</v>
      </c>
      <c r="AI305" s="199" t="s">
        <v>410</v>
      </c>
      <c r="AJ305" s="199"/>
      <c r="AK305" s="199"/>
      <c r="AL305" s="199"/>
      <c r="AM305" s="199"/>
      <c r="AN305" s="199"/>
    </row>
    <row r="306" spans="9:40">
      <c r="I306" s="9" t="s">
        <v>1299</v>
      </c>
      <c r="J306" s="9" t="s">
        <v>1299</v>
      </c>
      <c r="K306" s="9">
        <v>934</v>
      </c>
      <c r="L306" s="9"/>
      <c r="M306" s="9"/>
      <c r="N306" s="9" t="s">
        <v>410</v>
      </c>
      <c r="O306" s="9" t="s">
        <v>745</v>
      </c>
      <c r="P306" s="9" t="s">
        <v>1300</v>
      </c>
      <c r="Q306" s="9"/>
      <c r="R306" s="9"/>
      <c r="S306" s="9" t="b">
        <v>0</v>
      </c>
      <c r="T306" s="9"/>
      <c r="U306" s="9"/>
      <c r="AE306" s="199">
        <v>302</v>
      </c>
      <c r="AF306" s="199" t="s">
        <v>2433</v>
      </c>
      <c r="AG306" s="199" t="s">
        <v>2434</v>
      </c>
      <c r="AH306" s="199" t="s">
        <v>1846</v>
      </c>
      <c r="AI306" s="199" t="s">
        <v>410</v>
      </c>
      <c r="AJ306" s="199"/>
      <c r="AK306" s="199"/>
      <c r="AL306" s="199"/>
      <c r="AM306" s="199"/>
      <c r="AN306" s="199"/>
    </row>
    <row r="307" spans="9:40">
      <c r="I307" s="9" t="s">
        <v>1301</v>
      </c>
      <c r="J307" s="9" t="s">
        <v>1301</v>
      </c>
      <c r="K307" s="9">
        <v>935</v>
      </c>
      <c r="L307" s="9"/>
      <c r="M307" s="9"/>
      <c r="N307" s="9" t="s">
        <v>410</v>
      </c>
      <c r="O307" s="9" t="s">
        <v>724</v>
      </c>
      <c r="P307" s="9" t="s">
        <v>1302</v>
      </c>
      <c r="Q307" s="9"/>
      <c r="R307" s="9"/>
      <c r="S307" s="9" t="b">
        <v>0</v>
      </c>
      <c r="T307" s="9"/>
      <c r="U307" s="9"/>
      <c r="AE307" s="199">
        <v>303</v>
      </c>
      <c r="AF307" s="199" t="s">
        <v>2435</v>
      </c>
      <c r="AG307" s="199" t="s">
        <v>2436</v>
      </c>
      <c r="AH307" s="199" t="s">
        <v>1846</v>
      </c>
      <c r="AI307" s="199" t="s">
        <v>410</v>
      </c>
      <c r="AJ307" s="199"/>
      <c r="AK307" s="199"/>
      <c r="AL307" s="199"/>
      <c r="AM307" s="199"/>
      <c r="AN307" s="199"/>
    </row>
    <row r="308" spans="9:40">
      <c r="I308" s="9" t="s">
        <v>1303</v>
      </c>
      <c r="J308" s="9" t="s">
        <v>1303</v>
      </c>
      <c r="K308" s="9">
        <v>937</v>
      </c>
      <c r="L308" s="9"/>
      <c r="M308" s="9"/>
      <c r="N308" s="9" t="s">
        <v>410</v>
      </c>
      <c r="O308" s="9"/>
      <c r="P308" s="9" t="s">
        <v>1304</v>
      </c>
      <c r="Q308" s="9"/>
      <c r="R308" s="9"/>
      <c r="S308" s="9" t="b">
        <v>0</v>
      </c>
      <c r="T308" s="9"/>
      <c r="U308" s="9" t="s">
        <v>1248</v>
      </c>
      <c r="AE308" s="199">
        <v>304</v>
      </c>
      <c r="AF308" s="199" t="s">
        <v>2437</v>
      </c>
      <c r="AG308" s="199" t="s">
        <v>2438</v>
      </c>
      <c r="AH308" s="199" t="s">
        <v>1846</v>
      </c>
      <c r="AI308" s="199" t="s">
        <v>410</v>
      </c>
      <c r="AJ308" s="199"/>
      <c r="AK308" s="199"/>
      <c r="AL308" s="199"/>
      <c r="AM308" s="199"/>
      <c r="AN308" s="199"/>
    </row>
    <row r="309" spans="9:40">
      <c r="I309" s="9" t="s">
        <v>1305</v>
      </c>
      <c r="J309" s="9" t="s">
        <v>1305</v>
      </c>
      <c r="K309" s="9">
        <v>938</v>
      </c>
      <c r="L309" s="9"/>
      <c r="M309" s="9"/>
      <c r="N309" s="9" t="s">
        <v>410</v>
      </c>
      <c r="O309" s="9"/>
      <c r="P309" s="9" t="s">
        <v>1304</v>
      </c>
      <c r="Q309" s="9"/>
      <c r="R309" s="9"/>
      <c r="S309" s="9" t="b">
        <v>0</v>
      </c>
      <c r="T309" s="9"/>
      <c r="U309" s="9" t="s">
        <v>1248</v>
      </c>
      <c r="AE309" s="199">
        <v>305</v>
      </c>
      <c r="AF309" s="199" t="s">
        <v>2439</v>
      </c>
      <c r="AG309" s="199" t="s">
        <v>2440</v>
      </c>
      <c r="AH309" s="199" t="s">
        <v>1846</v>
      </c>
      <c r="AI309" s="199" t="s">
        <v>410</v>
      </c>
      <c r="AJ309" s="199"/>
      <c r="AK309" s="199"/>
      <c r="AL309" s="199"/>
      <c r="AM309" s="199"/>
      <c r="AN309" s="199"/>
    </row>
    <row r="310" spans="9:40">
      <c r="I310" s="9" t="s">
        <v>1306</v>
      </c>
      <c r="J310" s="9" t="s">
        <v>1306</v>
      </c>
      <c r="K310" s="9">
        <v>939</v>
      </c>
      <c r="L310" s="9"/>
      <c r="M310" s="9"/>
      <c r="N310" s="9" t="s">
        <v>410</v>
      </c>
      <c r="O310" s="9"/>
      <c r="P310" s="9" t="s">
        <v>1307</v>
      </c>
      <c r="Q310" s="9"/>
      <c r="R310" s="9"/>
      <c r="S310" s="9" t="b">
        <v>0</v>
      </c>
      <c r="T310" s="9"/>
      <c r="U310" s="9" t="s">
        <v>1308</v>
      </c>
      <c r="AE310" s="199">
        <v>306</v>
      </c>
      <c r="AF310" s="199" t="s">
        <v>2441</v>
      </c>
      <c r="AG310" s="199" t="s">
        <v>2442</v>
      </c>
      <c r="AH310" s="199" t="s">
        <v>1846</v>
      </c>
      <c r="AI310" s="199" t="s">
        <v>410</v>
      </c>
      <c r="AJ310" s="199"/>
      <c r="AK310" s="199"/>
      <c r="AL310" s="199"/>
      <c r="AM310" s="199"/>
      <c r="AN310" s="199"/>
    </row>
    <row r="311" spans="9:40">
      <c r="I311" s="9" t="s">
        <v>1309</v>
      </c>
      <c r="J311" s="9" t="s">
        <v>1309</v>
      </c>
      <c r="K311" s="9">
        <v>940</v>
      </c>
      <c r="L311" s="9"/>
      <c r="M311" s="9"/>
      <c r="N311" s="9" t="s">
        <v>410</v>
      </c>
      <c r="O311" s="9"/>
      <c r="P311" s="9" t="s">
        <v>1307</v>
      </c>
      <c r="Q311" s="9"/>
      <c r="R311" s="9"/>
      <c r="S311" s="9" t="b">
        <v>0</v>
      </c>
      <c r="T311" s="9"/>
      <c r="U311" s="9" t="s">
        <v>1308</v>
      </c>
      <c r="AE311" s="199">
        <v>307</v>
      </c>
      <c r="AF311" s="199" t="s">
        <v>2443</v>
      </c>
      <c r="AG311" s="199" t="s">
        <v>2444</v>
      </c>
      <c r="AH311" s="199" t="s">
        <v>1846</v>
      </c>
      <c r="AI311" s="199" t="s">
        <v>410</v>
      </c>
      <c r="AJ311" s="199"/>
      <c r="AK311" s="199"/>
      <c r="AL311" s="199"/>
      <c r="AM311" s="199"/>
      <c r="AN311" s="199"/>
    </row>
    <row r="312" spans="9:40">
      <c r="I312" s="9" t="s">
        <v>70</v>
      </c>
      <c r="J312" s="9" t="s">
        <v>70</v>
      </c>
      <c r="K312" s="9">
        <v>941</v>
      </c>
      <c r="L312" s="9"/>
      <c r="M312" s="9"/>
      <c r="N312" s="9" t="s">
        <v>410</v>
      </c>
      <c r="O312" s="9" t="s">
        <v>1075</v>
      </c>
      <c r="P312" s="9" t="s">
        <v>1310</v>
      </c>
      <c r="Q312" s="9"/>
      <c r="R312" s="9"/>
      <c r="S312" s="9" t="b">
        <v>0</v>
      </c>
      <c r="T312" s="9"/>
      <c r="U312" s="9" t="s">
        <v>70</v>
      </c>
      <c r="AE312" s="199">
        <v>308</v>
      </c>
      <c r="AF312" s="199" t="s">
        <v>2445</v>
      </c>
      <c r="AG312" s="199" t="s">
        <v>2446</v>
      </c>
      <c r="AH312" s="199" t="s">
        <v>1846</v>
      </c>
      <c r="AI312" s="199" t="s">
        <v>410</v>
      </c>
      <c r="AJ312" s="199"/>
      <c r="AK312" s="199"/>
      <c r="AL312" s="199"/>
      <c r="AM312" s="199"/>
      <c r="AN312" s="199"/>
    </row>
    <row r="313" spans="9:40">
      <c r="I313" s="9" t="s">
        <v>1311</v>
      </c>
      <c r="J313" s="9" t="s">
        <v>1311</v>
      </c>
      <c r="K313" s="9">
        <v>942</v>
      </c>
      <c r="L313" s="9"/>
      <c r="M313" s="9"/>
      <c r="N313" s="9" t="s">
        <v>410</v>
      </c>
      <c r="O313" s="9" t="s">
        <v>724</v>
      </c>
      <c r="P313" s="9" t="s">
        <v>845</v>
      </c>
      <c r="Q313" s="9"/>
      <c r="R313" s="9"/>
      <c r="S313" s="9" t="b">
        <v>0</v>
      </c>
      <c r="T313" s="9"/>
      <c r="U313" s="9" t="s">
        <v>1312</v>
      </c>
      <c r="AE313" s="199">
        <v>309</v>
      </c>
      <c r="AF313" s="199" t="s">
        <v>2447</v>
      </c>
      <c r="AG313" s="199" t="s">
        <v>2448</v>
      </c>
      <c r="AH313" s="199" t="s">
        <v>1846</v>
      </c>
      <c r="AI313" s="199" t="s">
        <v>410</v>
      </c>
      <c r="AJ313" s="199"/>
      <c r="AK313" s="199"/>
      <c r="AL313" s="199"/>
      <c r="AM313" s="199"/>
      <c r="AN313" s="199"/>
    </row>
    <row r="314" spans="9:40">
      <c r="I314" s="9" t="s">
        <v>1313</v>
      </c>
      <c r="J314" s="9" t="s">
        <v>1313</v>
      </c>
      <c r="K314" s="9">
        <v>943</v>
      </c>
      <c r="L314" s="9"/>
      <c r="M314" s="9"/>
      <c r="N314" s="9" t="s">
        <v>410</v>
      </c>
      <c r="O314" s="9" t="s">
        <v>724</v>
      </c>
      <c r="P314" s="9" t="s">
        <v>752</v>
      </c>
      <c r="Q314" s="9"/>
      <c r="R314" s="9"/>
      <c r="S314" s="9" t="b">
        <v>0</v>
      </c>
      <c r="T314" s="9"/>
      <c r="U314" s="9" t="s">
        <v>809</v>
      </c>
      <c r="AE314" s="199">
        <v>310</v>
      </c>
      <c r="AF314" s="199" t="s">
        <v>2449</v>
      </c>
      <c r="AG314" s="199" t="s">
        <v>2450</v>
      </c>
      <c r="AH314" s="199" t="s">
        <v>1846</v>
      </c>
      <c r="AI314" s="199" t="s">
        <v>410</v>
      </c>
      <c r="AJ314" s="199"/>
      <c r="AK314" s="199"/>
      <c r="AL314" s="199"/>
      <c r="AM314" s="199"/>
      <c r="AN314" s="199"/>
    </row>
    <row r="315" spans="9:40">
      <c r="I315" s="9" t="s">
        <v>1314</v>
      </c>
      <c r="J315" s="9" t="s">
        <v>1314</v>
      </c>
      <c r="K315" s="9">
        <v>944</v>
      </c>
      <c r="L315" s="9"/>
      <c r="M315" s="9"/>
      <c r="N315" s="9" t="s">
        <v>410</v>
      </c>
      <c r="O315" s="9" t="s">
        <v>745</v>
      </c>
      <c r="P315" s="9" t="s">
        <v>1315</v>
      </c>
      <c r="Q315" s="9"/>
      <c r="R315" s="9"/>
      <c r="S315" s="9" t="b">
        <v>0</v>
      </c>
      <c r="T315" s="9"/>
      <c r="U315" s="9" t="s">
        <v>1124</v>
      </c>
      <c r="AE315" s="199">
        <v>311</v>
      </c>
      <c r="AF315" s="199" t="s">
        <v>2451</v>
      </c>
      <c r="AG315" s="199" t="s">
        <v>2452</v>
      </c>
      <c r="AH315" s="199" t="s">
        <v>1846</v>
      </c>
      <c r="AI315" s="199" t="s">
        <v>410</v>
      </c>
      <c r="AJ315" s="199"/>
      <c r="AK315" s="199"/>
      <c r="AL315" s="199"/>
      <c r="AM315" s="199"/>
      <c r="AN315" s="199"/>
    </row>
    <row r="316" spans="9:40">
      <c r="I316" s="9" t="s">
        <v>1316</v>
      </c>
      <c r="J316" s="9" t="s">
        <v>1316</v>
      </c>
      <c r="K316" s="9">
        <v>945</v>
      </c>
      <c r="L316" s="9"/>
      <c r="M316" s="9"/>
      <c r="N316" s="9" t="s">
        <v>410</v>
      </c>
      <c r="O316" s="9" t="s">
        <v>745</v>
      </c>
      <c r="P316" s="9" t="s">
        <v>1317</v>
      </c>
      <c r="Q316" s="9"/>
      <c r="R316" s="9"/>
      <c r="S316" s="9" t="b">
        <v>0</v>
      </c>
      <c r="T316" s="9"/>
      <c r="U316" s="9" t="s">
        <v>1318</v>
      </c>
      <c r="AE316" s="199">
        <v>312</v>
      </c>
      <c r="AF316" s="199" t="s">
        <v>2453</v>
      </c>
      <c r="AG316" s="199" t="s">
        <v>2454</v>
      </c>
      <c r="AH316" s="199" t="s">
        <v>1846</v>
      </c>
      <c r="AI316" s="199" t="s">
        <v>410</v>
      </c>
      <c r="AJ316" s="199"/>
      <c r="AK316" s="199"/>
      <c r="AL316" s="199"/>
      <c r="AM316" s="199"/>
      <c r="AN316" s="199"/>
    </row>
    <row r="317" spans="9:40">
      <c r="I317" s="9" t="s">
        <v>1319</v>
      </c>
      <c r="J317" s="9" t="s">
        <v>1319</v>
      </c>
      <c r="K317" s="9">
        <v>946</v>
      </c>
      <c r="L317" s="9"/>
      <c r="M317" s="9"/>
      <c r="N317" s="9" t="s">
        <v>410</v>
      </c>
      <c r="O317" s="9" t="s">
        <v>745</v>
      </c>
      <c r="P317" s="9" t="s">
        <v>746</v>
      </c>
      <c r="Q317" s="9"/>
      <c r="R317" s="9"/>
      <c r="S317" s="9" t="b">
        <v>0</v>
      </c>
      <c r="T317" s="9"/>
      <c r="U317" s="9" t="s">
        <v>1320</v>
      </c>
      <c r="AE317" s="199">
        <v>313</v>
      </c>
      <c r="AF317" s="199" t="s">
        <v>2455</v>
      </c>
      <c r="AG317" s="199" t="s">
        <v>2456</v>
      </c>
      <c r="AH317" s="199" t="s">
        <v>1846</v>
      </c>
      <c r="AI317" s="199" t="s">
        <v>410</v>
      </c>
      <c r="AJ317" s="199"/>
      <c r="AK317" s="199"/>
      <c r="AL317" s="199"/>
      <c r="AM317" s="199"/>
      <c r="AN317" s="199"/>
    </row>
    <row r="318" spans="9:40">
      <c r="I318" s="9" t="s">
        <v>1321</v>
      </c>
      <c r="J318" s="9" t="s">
        <v>1321</v>
      </c>
      <c r="K318" s="9">
        <v>947</v>
      </c>
      <c r="L318" s="9"/>
      <c r="M318" s="9"/>
      <c r="N318" s="9" t="s">
        <v>410</v>
      </c>
      <c r="O318" s="9" t="s">
        <v>745</v>
      </c>
      <c r="P318" s="9" t="s">
        <v>746</v>
      </c>
      <c r="Q318" s="9"/>
      <c r="R318" s="9"/>
      <c r="S318" s="9" t="b">
        <v>0</v>
      </c>
      <c r="T318" s="9"/>
      <c r="U318" s="9" t="s">
        <v>1322</v>
      </c>
      <c r="AE318" s="199">
        <v>314</v>
      </c>
      <c r="AF318" s="199" t="s">
        <v>2457</v>
      </c>
      <c r="AG318" s="199" t="s">
        <v>2458</v>
      </c>
      <c r="AH318" s="199" t="s">
        <v>1846</v>
      </c>
      <c r="AI318" s="199" t="s">
        <v>410</v>
      </c>
      <c r="AJ318" s="199"/>
      <c r="AK318" s="199"/>
      <c r="AL318" s="199"/>
      <c r="AM318" s="199"/>
      <c r="AN318" s="199"/>
    </row>
    <row r="319" spans="9:40">
      <c r="I319" s="9" t="s">
        <v>1323</v>
      </c>
      <c r="J319" s="9" t="s">
        <v>1323</v>
      </c>
      <c r="K319" s="9">
        <v>948</v>
      </c>
      <c r="L319" s="9"/>
      <c r="M319" s="9"/>
      <c r="N319" s="9" t="s">
        <v>410</v>
      </c>
      <c r="O319" s="9" t="s">
        <v>745</v>
      </c>
      <c r="P319" s="9" t="s">
        <v>746</v>
      </c>
      <c r="Q319" s="9"/>
      <c r="R319" s="9"/>
      <c r="S319" s="9" t="b">
        <v>0</v>
      </c>
      <c r="T319" s="9"/>
      <c r="U319" s="9" t="s">
        <v>1324</v>
      </c>
      <c r="AE319" s="199">
        <v>315</v>
      </c>
      <c r="AF319" s="199" t="s">
        <v>2459</v>
      </c>
      <c r="AG319" s="199" t="s">
        <v>2460</v>
      </c>
      <c r="AH319" s="199" t="s">
        <v>1846</v>
      </c>
      <c r="AI319" s="199" t="s">
        <v>410</v>
      </c>
      <c r="AJ319" s="199"/>
      <c r="AK319" s="199"/>
      <c r="AL319" s="199"/>
      <c r="AM319" s="199"/>
      <c r="AN319" s="199"/>
    </row>
    <row r="320" spans="9:40">
      <c r="I320" s="9" t="s">
        <v>1325</v>
      </c>
      <c r="J320" s="9" t="s">
        <v>1325</v>
      </c>
      <c r="K320" s="9">
        <v>949</v>
      </c>
      <c r="L320" s="9"/>
      <c r="M320" s="9"/>
      <c r="N320" s="9" t="s">
        <v>410</v>
      </c>
      <c r="O320" s="9" t="s">
        <v>724</v>
      </c>
      <c r="P320" s="9" t="s">
        <v>1326</v>
      </c>
      <c r="Q320" s="9"/>
      <c r="R320" s="9"/>
      <c r="S320" s="9" t="b">
        <v>0</v>
      </c>
      <c r="T320" s="9"/>
      <c r="U320" s="9"/>
      <c r="AE320" s="199">
        <v>316</v>
      </c>
      <c r="AF320" s="199" t="s">
        <v>2461</v>
      </c>
      <c r="AG320" s="199" t="s">
        <v>2462</v>
      </c>
      <c r="AH320" s="199" t="s">
        <v>1846</v>
      </c>
      <c r="AI320" s="199" t="s">
        <v>410</v>
      </c>
      <c r="AJ320" s="199"/>
      <c r="AK320" s="199"/>
      <c r="AL320" s="199"/>
      <c r="AM320" s="199"/>
      <c r="AN320" s="199"/>
    </row>
    <row r="321" spans="9:40">
      <c r="I321" s="9" t="s">
        <v>1327</v>
      </c>
      <c r="J321" s="9" t="s">
        <v>1327</v>
      </c>
      <c r="K321" s="9">
        <v>950</v>
      </c>
      <c r="L321" s="9"/>
      <c r="M321" s="9"/>
      <c r="N321" s="9" t="s">
        <v>410</v>
      </c>
      <c r="O321" s="9" t="s">
        <v>724</v>
      </c>
      <c r="P321" s="9" t="s">
        <v>1326</v>
      </c>
      <c r="Q321" s="9"/>
      <c r="R321" s="9"/>
      <c r="S321" s="9" t="b">
        <v>0</v>
      </c>
      <c r="T321" s="9"/>
      <c r="U321" s="9"/>
      <c r="AE321" s="199">
        <v>317</v>
      </c>
      <c r="AF321" s="199" t="s">
        <v>2463</v>
      </c>
      <c r="AG321" s="199" t="s">
        <v>2464</v>
      </c>
      <c r="AH321" s="199" t="s">
        <v>1846</v>
      </c>
      <c r="AI321" s="199" t="s">
        <v>410</v>
      </c>
      <c r="AJ321" s="199"/>
      <c r="AK321" s="199"/>
      <c r="AL321" s="199"/>
      <c r="AM321" s="199"/>
      <c r="AN321" s="199"/>
    </row>
    <row r="322" spans="9:40">
      <c r="I322" s="9" t="s">
        <v>1328</v>
      </c>
      <c r="J322" s="9" t="s">
        <v>1328</v>
      </c>
      <c r="K322" s="9">
        <v>951</v>
      </c>
      <c r="L322" s="9"/>
      <c r="M322" s="9"/>
      <c r="N322" s="9" t="s">
        <v>410</v>
      </c>
      <c r="O322" s="9" t="s">
        <v>724</v>
      </c>
      <c r="P322" s="9" t="s">
        <v>1326</v>
      </c>
      <c r="Q322" s="9"/>
      <c r="R322" s="9"/>
      <c r="S322" s="9" t="b">
        <v>0</v>
      </c>
      <c r="T322" s="9"/>
      <c r="U322" s="9"/>
      <c r="AE322" s="199">
        <v>318</v>
      </c>
      <c r="AF322" s="199" t="s">
        <v>2465</v>
      </c>
      <c r="AG322" s="199" t="s">
        <v>2466</v>
      </c>
      <c r="AH322" s="199" t="s">
        <v>1846</v>
      </c>
      <c r="AI322" s="199" t="s">
        <v>410</v>
      </c>
      <c r="AJ322" s="199"/>
      <c r="AK322" s="199"/>
      <c r="AL322" s="199"/>
      <c r="AM322" s="199"/>
      <c r="AN322" s="199"/>
    </row>
    <row r="323" spans="9:40">
      <c r="I323" s="9" t="s">
        <v>1329</v>
      </c>
      <c r="J323" s="9" t="s">
        <v>1329</v>
      </c>
      <c r="K323" s="9">
        <v>952</v>
      </c>
      <c r="L323" s="9"/>
      <c r="M323" s="9"/>
      <c r="N323" s="9" t="s">
        <v>410</v>
      </c>
      <c r="O323" s="9" t="s">
        <v>724</v>
      </c>
      <c r="P323" s="9" t="s">
        <v>1326</v>
      </c>
      <c r="Q323" s="9"/>
      <c r="R323" s="9"/>
      <c r="S323" s="9" t="b">
        <v>0</v>
      </c>
      <c r="T323" s="9"/>
      <c r="U323" s="9"/>
      <c r="AE323" s="199">
        <v>319</v>
      </c>
      <c r="AF323" s="199" t="s">
        <v>2467</v>
      </c>
      <c r="AG323" s="199" t="s">
        <v>2468</v>
      </c>
      <c r="AH323" s="199" t="s">
        <v>1846</v>
      </c>
      <c r="AI323" s="199" t="s">
        <v>410</v>
      </c>
      <c r="AJ323" s="199"/>
      <c r="AK323" s="199"/>
      <c r="AL323" s="199"/>
      <c r="AM323" s="199"/>
      <c r="AN323" s="199"/>
    </row>
    <row r="324" spans="9:40">
      <c r="I324" s="9" t="s">
        <v>1330</v>
      </c>
      <c r="J324" s="9" t="s">
        <v>1330</v>
      </c>
      <c r="K324" s="9">
        <v>953</v>
      </c>
      <c r="L324" s="9"/>
      <c r="M324" s="9"/>
      <c r="N324" s="9" t="s">
        <v>410</v>
      </c>
      <c r="O324" s="9"/>
      <c r="P324" s="9" t="s">
        <v>1331</v>
      </c>
      <c r="Q324" s="9"/>
      <c r="R324" s="9"/>
      <c r="S324" s="9" t="b">
        <v>0</v>
      </c>
      <c r="T324" s="9"/>
      <c r="U324" s="9"/>
      <c r="AE324" s="199">
        <v>320</v>
      </c>
      <c r="AF324" s="199" t="s">
        <v>2469</v>
      </c>
      <c r="AG324" s="199" t="s">
        <v>2470</v>
      </c>
      <c r="AH324" s="199" t="s">
        <v>1846</v>
      </c>
      <c r="AI324" s="199" t="s">
        <v>410</v>
      </c>
      <c r="AJ324" s="199"/>
      <c r="AK324" s="199"/>
      <c r="AL324" s="199"/>
      <c r="AM324" s="199"/>
      <c r="AN324" s="199"/>
    </row>
    <row r="325" spans="9:40">
      <c r="I325" s="9" t="s">
        <v>1332</v>
      </c>
      <c r="J325" s="9" t="s">
        <v>1332</v>
      </c>
      <c r="K325" s="9">
        <v>954</v>
      </c>
      <c r="L325" s="9"/>
      <c r="M325" s="9"/>
      <c r="N325" s="9" t="s">
        <v>410</v>
      </c>
      <c r="O325" s="9" t="s">
        <v>724</v>
      </c>
      <c r="P325" s="9" t="s">
        <v>1331</v>
      </c>
      <c r="Q325" s="9"/>
      <c r="R325" s="9"/>
      <c r="S325" s="9" t="b">
        <v>0</v>
      </c>
      <c r="T325" s="9"/>
      <c r="U325" s="9"/>
      <c r="AE325" s="199">
        <v>321</v>
      </c>
      <c r="AF325" s="199" t="s">
        <v>2471</v>
      </c>
      <c r="AG325" s="199" t="s">
        <v>2472</v>
      </c>
      <c r="AH325" s="199" t="s">
        <v>1846</v>
      </c>
      <c r="AI325" s="199" t="s">
        <v>410</v>
      </c>
      <c r="AJ325" s="199"/>
      <c r="AK325" s="199"/>
      <c r="AL325" s="199"/>
      <c r="AM325" s="199"/>
      <c r="AN325" s="199"/>
    </row>
    <row r="326" spans="9:40">
      <c r="I326" s="9" t="s">
        <v>1333</v>
      </c>
      <c r="J326" s="9" t="s">
        <v>1333</v>
      </c>
      <c r="K326" s="9">
        <v>955</v>
      </c>
      <c r="L326" s="9"/>
      <c r="M326" s="9"/>
      <c r="N326" s="9" t="s">
        <v>410</v>
      </c>
      <c r="O326" s="9" t="s">
        <v>724</v>
      </c>
      <c r="P326" s="9" t="s">
        <v>1334</v>
      </c>
      <c r="Q326" s="9"/>
      <c r="R326" s="9"/>
      <c r="S326" s="9" t="b">
        <v>0</v>
      </c>
      <c r="T326" s="9"/>
      <c r="U326" s="9" t="s">
        <v>1201</v>
      </c>
      <c r="AE326" s="199">
        <v>322</v>
      </c>
      <c r="AF326" s="199" t="s">
        <v>2473</v>
      </c>
      <c r="AG326" s="199" t="s">
        <v>2474</v>
      </c>
      <c r="AH326" s="199" t="s">
        <v>1846</v>
      </c>
      <c r="AI326" s="199" t="s">
        <v>410</v>
      </c>
      <c r="AJ326" s="199"/>
      <c r="AK326" s="199"/>
      <c r="AL326" s="199"/>
      <c r="AM326" s="199"/>
      <c r="AN326" s="199"/>
    </row>
    <row r="327" spans="9:40">
      <c r="I327" s="9" t="s">
        <v>1335</v>
      </c>
      <c r="J327" s="9" t="s">
        <v>1335</v>
      </c>
      <c r="K327" s="9">
        <v>956</v>
      </c>
      <c r="L327" s="9"/>
      <c r="M327" s="9"/>
      <c r="N327" s="9" t="s">
        <v>410</v>
      </c>
      <c r="O327" s="9" t="s">
        <v>768</v>
      </c>
      <c r="P327" s="9" t="s">
        <v>1336</v>
      </c>
      <c r="Q327" s="9"/>
      <c r="R327" s="9"/>
      <c r="S327" s="9" t="b">
        <v>0</v>
      </c>
      <c r="T327" s="9"/>
      <c r="U327" s="9" t="s">
        <v>1201</v>
      </c>
      <c r="AE327" s="199">
        <v>323</v>
      </c>
      <c r="AF327" s="199" t="s">
        <v>2475</v>
      </c>
      <c r="AG327" s="199" t="s">
        <v>2476</v>
      </c>
      <c r="AH327" s="199" t="s">
        <v>1846</v>
      </c>
      <c r="AI327" s="199" t="s">
        <v>410</v>
      </c>
      <c r="AJ327" s="199"/>
      <c r="AK327" s="199"/>
      <c r="AL327" s="199"/>
      <c r="AM327" s="199"/>
      <c r="AN327" s="199"/>
    </row>
    <row r="328" spans="9:40">
      <c r="I328" s="9" t="s">
        <v>1337</v>
      </c>
      <c r="J328" s="9" t="s">
        <v>1337</v>
      </c>
      <c r="K328" s="9">
        <v>958</v>
      </c>
      <c r="L328" s="9"/>
      <c r="M328" s="9"/>
      <c r="N328" s="9" t="s">
        <v>410</v>
      </c>
      <c r="O328" s="9" t="s">
        <v>724</v>
      </c>
      <c r="P328" s="9" t="s">
        <v>1271</v>
      </c>
      <c r="Q328" s="9"/>
      <c r="R328" s="9"/>
      <c r="S328" s="9" t="b">
        <v>0</v>
      </c>
      <c r="T328" s="9"/>
      <c r="U328" s="9"/>
    </row>
    <row r="329" spans="9:40">
      <c r="I329" s="9" t="s">
        <v>1338</v>
      </c>
      <c r="J329" s="9" t="s">
        <v>1338</v>
      </c>
      <c r="K329" s="9">
        <v>961</v>
      </c>
      <c r="L329" s="9"/>
      <c r="M329" s="9"/>
      <c r="N329" s="9" t="s">
        <v>410</v>
      </c>
      <c r="O329" s="9" t="s">
        <v>1113</v>
      </c>
      <c r="P329" s="9" t="s">
        <v>1029</v>
      </c>
      <c r="Q329" s="9"/>
      <c r="R329" s="9"/>
      <c r="S329" s="9" t="b">
        <v>0</v>
      </c>
      <c r="T329" s="9"/>
      <c r="U329" s="9" t="s">
        <v>1339</v>
      </c>
    </row>
    <row r="330" spans="9:40">
      <c r="I330" s="9" t="s">
        <v>1340</v>
      </c>
      <c r="J330" s="9" t="s">
        <v>1340</v>
      </c>
      <c r="K330" s="9">
        <v>962</v>
      </c>
      <c r="L330" s="9"/>
      <c r="M330" s="9"/>
      <c r="N330" s="9" t="s">
        <v>410</v>
      </c>
      <c r="O330" s="9" t="s">
        <v>1113</v>
      </c>
      <c r="P330" s="9" t="s">
        <v>1341</v>
      </c>
      <c r="Q330" s="9"/>
      <c r="R330" s="9"/>
      <c r="S330" s="9" t="b">
        <v>0</v>
      </c>
      <c r="T330" s="9"/>
      <c r="U330" s="9" t="s">
        <v>1246</v>
      </c>
    </row>
    <row r="331" spans="9:40">
      <c r="I331" s="9" t="s">
        <v>1342</v>
      </c>
      <c r="J331" s="9" t="s">
        <v>1342</v>
      </c>
      <c r="K331" s="9">
        <v>963</v>
      </c>
      <c r="L331" s="9"/>
      <c r="M331" s="9"/>
      <c r="N331" s="9" t="s">
        <v>410</v>
      </c>
      <c r="O331" s="9" t="s">
        <v>1113</v>
      </c>
      <c r="P331" s="9" t="s">
        <v>752</v>
      </c>
      <c r="Q331" s="9"/>
      <c r="R331" s="9"/>
      <c r="S331" s="9" t="b">
        <v>0</v>
      </c>
      <c r="T331" s="9"/>
      <c r="U331" s="9" t="s">
        <v>1246</v>
      </c>
    </row>
    <row r="332" spans="9:40">
      <c r="I332" s="9" t="s">
        <v>1343</v>
      </c>
      <c r="J332" s="9" t="s">
        <v>1343</v>
      </c>
      <c r="K332" s="9">
        <v>964</v>
      </c>
      <c r="L332" s="9"/>
      <c r="M332" s="9"/>
      <c r="N332" s="9" t="s">
        <v>410</v>
      </c>
      <c r="O332" s="9" t="s">
        <v>720</v>
      </c>
      <c r="P332" s="9" t="s">
        <v>760</v>
      </c>
      <c r="Q332" s="9"/>
      <c r="R332" s="9"/>
      <c r="S332" s="9" t="b">
        <v>0</v>
      </c>
      <c r="T332" s="9"/>
      <c r="U332" s="9" t="s">
        <v>1344</v>
      </c>
    </row>
    <row r="333" spans="9:40">
      <c r="I333" s="9" t="s">
        <v>1345</v>
      </c>
      <c r="J333" s="9" t="s">
        <v>1345</v>
      </c>
      <c r="K333" s="9">
        <v>965</v>
      </c>
      <c r="L333" s="9"/>
      <c r="M333" s="9"/>
      <c r="N333" s="9" t="s">
        <v>410</v>
      </c>
      <c r="O333" s="9" t="s">
        <v>720</v>
      </c>
      <c r="P333" s="9" t="s">
        <v>760</v>
      </c>
      <c r="Q333" s="9"/>
      <c r="R333" s="9"/>
      <c r="S333" s="9" t="b">
        <v>0</v>
      </c>
      <c r="T333" s="9"/>
      <c r="U333" s="9" t="s">
        <v>1346</v>
      </c>
    </row>
    <row r="334" spans="9:40">
      <c r="I334" s="9" t="s">
        <v>1347</v>
      </c>
      <c r="J334" s="9" t="s">
        <v>1347</v>
      </c>
      <c r="K334" s="9">
        <v>966</v>
      </c>
      <c r="L334" s="9"/>
      <c r="M334" s="9"/>
      <c r="N334" s="9" t="s">
        <v>410</v>
      </c>
      <c r="O334" s="9" t="s">
        <v>1279</v>
      </c>
      <c r="P334" s="9" t="s">
        <v>845</v>
      </c>
      <c r="Q334" s="9"/>
      <c r="R334" s="9"/>
      <c r="S334" s="9" t="b">
        <v>0</v>
      </c>
      <c r="T334" s="9"/>
      <c r="U334" s="9"/>
    </row>
    <row r="335" spans="9:40">
      <c r="I335" s="9" t="s">
        <v>1348</v>
      </c>
      <c r="J335" s="9" t="s">
        <v>1348</v>
      </c>
      <c r="K335" s="9">
        <v>967</v>
      </c>
      <c r="L335" s="9"/>
      <c r="M335" s="9"/>
      <c r="N335" s="9" t="s">
        <v>410</v>
      </c>
      <c r="O335" s="9" t="s">
        <v>759</v>
      </c>
      <c r="P335" s="9" t="s">
        <v>859</v>
      </c>
      <c r="Q335" s="9"/>
      <c r="R335" s="9"/>
      <c r="S335" s="9" t="b">
        <v>0</v>
      </c>
      <c r="T335" s="9"/>
      <c r="U335" s="9"/>
    </row>
    <row r="336" spans="9:40">
      <c r="I336" s="9" t="s">
        <v>1349</v>
      </c>
      <c r="J336" s="9" t="s">
        <v>1349</v>
      </c>
      <c r="K336" s="9">
        <v>968</v>
      </c>
      <c r="L336" s="9"/>
      <c r="M336" s="9"/>
      <c r="N336" s="9" t="s">
        <v>410</v>
      </c>
      <c r="O336" s="9" t="s">
        <v>759</v>
      </c>
      <c r="P336" s="9" t="s">
        <v>859</v>
      </c>
      <c r="Q336" s="9"/>
      <c r="R336" s="9"/>
      <c r="S336" s="9" t="b">
        <v>0</v>
      </c>
      <c r="T336" s="9"/>
      <c r="U336" s="9"/>
    </row>
    <row r="337" spans="9:21">
      <c r="I337" s="9" t="s">
        <v>1350</v>
      </c>
      <c r="J337" s="9" t="s">
        <v>1350</v>
      </c>
      <c r="K337" s="9">
        <v>969</v>
      </c>
      <c r="L337" s="9"/>
      <c r="M337" s="9"/>
      <c r="N337" s="9" t="s">
        <v>410</v>
      </c>
      <c r="O337" s="9" t="s">
        <v>759</v>
      </c>
      <c r="P337" s="9" t="s">
        <v>760</v>
      </c>
      <c r="Q337" s="9"/>
      <c r="R337" s="9"/>
      <c r="S337" s="9" t="b">
        <v>0</v>
      </c>
      <c r="T337" s="9"/>
      <c r="U337" s="9"/>
    </row>
    <row r="338" spans="9:21">
      <c r="I338" s="9" t="s">
        <v>71</v>
      </c>
      <c r="J338" s="9" t="s">
        <v>71</v>
      </c>
      <c r="K338" s="9">
        <v>970</v>
      </c>
      <c r="L338" s="9"/>
      <c r="M338" s="9"/>
      <c r="N338" s="9" t="s">
        <v>410</v>
      </c>
      <c r="O338" s="9" t="s">
        <v>724</v>
      </c>
      <c r="P338" s="9" t="s">
        <v>845</v>
      </c>
      <c r="Q338" s="9"/>
      <c r="R338" s="9"/>
      <c r="S338" s="9" t="b">
        <v>0</v>
      </c>
      <c r="T338" s="9"/>
      <c r="U338" s="9" t="s">
        <v>71</v>
      </c>
    </row>
    <row r="339" spans="9:21">
      <c r="I339" s="9" t="s">
        <v>1351</v>
      </c>
      <c r="J339" s="9" t="s">
        <v>1351</v>
      </c>
      <c r="K339" s="9">
        <v>971</v>
      </c>
      <c r="L339" s="9"/>
      <c r="M339" s="9"/>
      <c r="N339" s="9" t="s">
        <v>410</v>
      </c>
      <c r="O339" s="9" t="s">
        <v>720</v>
      </c>
      <c r="P339" s="9" t="s">
        <v>760</v>
      </c>
      <c r="Q339" s="9"/>
      <c r="R339" s="9"/>
      <c r="S339" s="9" t="b">
        <v>0</v>
      </c>
      <c r="T339" s="9"/>
      <c r="U339" s="9" t="s">
        <v>742</v>
      </c>
    </row>
    <row r="340" spans="9:21">
      <c r="I340" s="9" t="s">
        <v>1352</v>
      </c>
      <c r="J340" s="9" t="s">
        <v>1352</v>
      </c>
      <c r="K340" s="9">
        <v>972</v>
      </c>
      <c r="L340" s="9"/>
      <c r="M340" s="9"/>
      <c r="N340" s="9" t="s">
        <v>410</v>
      </c>
      <c r="O340" s="9" t="s">
        <v>720</v>
      </c>
      <c r="P340" s="9" t="s">
        <v>848</v>
      </c>
      <c r="Q340" s="9"/>
      <c r="R340" s="9"/>
      <c r="S340" s="9" t="b">
        <v>0</v>
      </c>
      <c r="T340" s="9"/>
      <c r="U340" s="9" t="s">
        <v>1353</v>
      </c>
    </row>
    <row r="341" spans="9:21">
      <c r="I341" s="9" t="s">
        <v>1354</v>
      </c>
      <c r="J341" s="9" t="s">
        <v>1354</v>
      </c>
      <c r="K341" s="9">
        <v>973</v>
      </c>
      <c r="L341" s="9"/>
      <c r="M341" s="9"/>
      <c r="N341" s="9" t="s">
        <v>410</v>
      </c>
      <c r="O341" s="9" t="s">
        <v>720</v>
      </c>
      <c r="P341" s="9" t="s">
        <v>848</v>
      </c>
      <c r="Q341" s="9"/>
      <c r="R341" s="9"/>
      <c r="S341" s="9" t="b">
        <v>0</v>
      </c>
      <c r="T341" s="9"/>
      <c r="U341" s="9" t="s">
        <v>1355</v>
      </c>
    </row>
    <row r="342" spans="9:21">
      <c r="I342" s="9" t="s">
        <v>1356</v>
      </c>
      <c r="J342" s="9" t="s">
        <v>1356</v>
      </c>
      <c r="K342" s="9">
        <v>974</v>
      </c>
      <c r="L342" s="9"/>
      <c r="M342" s="9"/>
      <c r="N342" s="9" t="s">
        <v>410</v>
      </c>
      <c r="O342" s="9" t="s">
        <v>720</v>
      </c>
      <c r="P342" s="9" t="s">
        <v>848</v>
      </c>
      <c r="Q342" s="9"/>
      <c r="R342" s="9"/>
      <c r="S342" s="9" t="b">
        <v>0</v>
      </c>
      <c r="T342" s="9"/>
      <c r="U342" s="9" t="s">
        <v>1357</v>
      </c>
    </row>
    <row r="343" spans="9:21">
      <c r="I343" s="9" t="s">
        <v>1358</v>
      </c>
      <c r="J343" s="9" t="s">
        <v>1358</v>
      </c>
      <c r="K343" s="9">
        <v>975</v>
      </c>
      <c r="L343" s="9"/>
      <c r="M343" s="9"/>
      <c r="N343" s="9" t="s">
        <v>410</v>
      </c>
      <c r="O343" s="9" t="s">
        <v>720</v>
      </c>
      <c r="P343" s="9" t="s">
        <v>848</v>
      </c>
      <c r="Q343" s="9"/>
      <c r="R343" s="9"/>
      <c r="S343" s="9" t="b">
        <v>0</v>
      </c>
      <c r="T343" s="9"/>
      <c r="U343" s="9" t="s">
        <v>1359</v>
      </c>
    </row>
    <row r="344" spans="9:21">
      <c r="I344" s="9" t="s">
        <v>72</v>
      </c>
      <c r="J344" s="9" t="s">
        <v>72</v>
      </c>
      <c r="K344" s="9">
        <v>976</v>
      </c>
      <c r="L344" s="9"/>
      <c r="M344" s="9"/>
      <c r="N344" s="9" t="s">
        <v>410</v>
      </c>
      <c r="O344" s="9" t="s">
        <v>724</v>
      </c>
      <c r="P344" s="9" t="s">
        <v>1360</v>
      </c>
      <c r="Q344" s="9"/>
      <c r="R344" s="9"/>
      <c r="S344" s="9" t="b">
        <v>0</v>
      </c>
      <c r="T344" s="9"/>
      <c r="U344" s="9" t="s">
        <v>72</v>
      </c>
    </row>
    <row r="345" spans="9:21">
      <c r="I345" s="9" t="s">
        <v>73</v>
      </c>
      <c r="J345" s="9" t="s">
        <v>73</v>
      </c>
      <c r="K345" s="9">
        <v>977</v>
      </c>
      <c r="L345" s="9"/>
      <c r="M345" s="9"/>
      <c r="N345" s="9" t="s">
        <v>410</v>
      </c>
      <c r="O345" s="9" t="s">
        <v>724</v>
      </c>
      <c r="P345" s="9" t="s">
        <v>1361</v>
      </c>
      <c r="Q345" s="9"/>
      <c r="R345" s="9"/>
      <c r="S345" s="9" t="b">
        <v>0</v>
      </c>
      <c r="T345" s="9"/>
      <c r="U345" s="9" t="s">
        <v>73</v>
      </c>
    </row>
    <row r="346" spans="9:21">
      <c r="I346" s="9" t="s">
        <v>1362</v>
      </c>
      <c r="J346" s="9" t="s">
        <v>1362</v>
      </c>
      <c r="K346" s="9">
        <v>978</v>
      </c>
      <c r="L346" s="9"/>
      <c r="M346" s="9"/>
      <c r="N346" s="9" t="s">
        <v>410</v>
      </c>
      <c r="O346" s="9" t="s">
        <v>720</v>
      </c>
      <c r="P346" s="9" t="s">
        <v>1363</v>
      </c>
      <c r="Q346" s="9"/>
      <c r="R346" s="9"/>
      <c r="S346" s="9" t="b">
        <v>0</v>
      </c>
      <c r="T346" s="9"/>
      <c r="U346" s="9" t="s">
        <v>1364</v>
      </c>
    </row>
    <row r="347" spans="9:21">
      <c r="I347" s="9" t="s">
        <v>1365</v>
      </c>
      <c r="J347" s="9" t="s">
        <v>1365</v>
      </c>
      <c r="K347" s="9">
        <v>979</v>
      </c>
      <c r="L347" s="9"/>
      <c r="M347" s="9"/>
      <c r="N347" s="9" t="s">
        <v>410</v>
      </c>
      <c r="O347" s="9" t="s">
        <v>1113</v>
      </c>
      <c r="P347" s="9" t="s">
        <v>711</v>
      </c>
      <c r="Q347" s="9"/>
      <c r="R347" s="9"/>
      <c r="S347" s="9" t="b">
        <v>0</v>
      </c>
      <c r="T347" s="9"/>
      <c r="U347" s="9" t="s">
        <v>1366</v>
      </c>
    </row>
    <row r="348" spans="9:21">
      <c r="I348" s="9" t="s">
        <v>1367</v>
      </c>
      <c r="J348" s="9" t="s">
        <v>1367</v>
      </c>
      <c r="K348" s="9">
        <v>980</v>
      </c>
      <c r="L348" s="9"/>
      <c r="M348" s="9"/>
      <c r="N348" s="9" t="s">
        <v>410</v>
      </c>
      <c r="O348" s="9" t="s">
        <v>724</v>
      </c>
      <c r="P348" s="9" t="s">
        <v>859</v>
      </c>
      <c r="Q348" s="9"/>
      <c r="R348" s="9"/>
      <c r="S348" s="9" t="b">
        <v>0</v>
      </c>
      <c r="T348" s="9"/>
      <c r="U348" s="9" t="s">
        <v>1368</v>
      </c>
    </row>
    <row r="349" spans="9:21">
      <c r="I349" s="9" t="s">
        <v>1369</v>
      </c>
      <c r="J349" s="9" t="s">
        <v>1369</v>
      </c>
      <c r="K349" s="9">
        <v>981</v>
      </c>
      <c r="L349" s="9"/>
      <c r="M349" s="9"/>
      <c r="N349" s="9" t="s">
        <v>410</v>
      </c>
      <c r="O349" s="9" t="s">
        <v>1113</v>
      </c>
      <c r="P349" s="9" t="s">
        <v>711</v>
      </c>
      <c r="Q349" s="9"/>
      <c r="R349" s="9"/>
      <c r="S349" s="9" t="b">
        <v>0</v>
      </c>
      <c r="T349" s="9"/>
      <c r="U349" s="9" t="s">
        <v>1339</v>
      </c>
    </row>
    <row r="350" spans="9:21">
      <c r="I350" s="9" t="s">
        <v>1370</v>
      </c>
      <c r="J350" s="9" t="s">
        <v>1370</v>
      </c>
      <c r="K350" s="9">
        <v>982</v>
      </c>
      <c r="L350" s="9"/>
      <c r="M350" s="9"/>
      <c r="N350" s="9" t="s">
        <v>410</v>
      </c>
      <c r="O350" s="9" t="s">
        <v>1113</v>
      </c>
      <c r="P350" s="9" t="s">
        <v>1371</v>
      </c>
      <c r="Q350" s="9"/>
      <c r="R350" s="9"/>
      <c r="S350" s="9" t="b">
        <v>0</v>
      </c>
      <c r="T350" s="9"/>
      <c r="U350" s="9" t="s">
        <v>1372</v>
      </c>
    </row>
    <row r="351" spans="9:21">
      <c r="I351" s="9" t="s">
        <v>1373</v>
      </c>
      <c r="J351" s="9" t="s">
        <v>1373</v>
      </c>
      <c r="K351" s="9">
        <v>983</v>
      </c>
      <c r="L351" s="9"/>
      <c r="M351" s="9"/>
      <c r="N351" s="9" t="s">
        <v>410</v>
      </c>
      <c r="O351" s="9" t="s">
        <v>1113</v>
      </c>
      <c r="P351" s="9" t="s">
        <v>859</v>
      </c>
      <c r="Q351" s="9"/>
      <c r="R351" s="9"/>
      <c r="S351" s="9" t="b">
        <v>0</v>
      </c>
      <c r="T351" s="9"/>
      <c r="U351" s="9" t="s">
        <v>1246</v>
      </c>
    </row>
    <row r="352" spans="9:21">
      <c r="I352" s="9" t="s">
        <v>1374</v>
      </c>
      <c r="J352" s="9" t="s">
        <v>1374</v>
      </c>
      <c r="K352" s="9">
        <v>984</v>
      </c>
      <c r="L352" s="9"/>
      <c r="M352" s="9"/>
      <c r="N352" s="9" t="s">
        <v>410</v>
      </c>
      <c r="O352" s="9" t="s">
        <v>724</v>
      </c>
      <c r="P352" s="9" t="s">
        <v>845</v>
      </c>
      <c r="Q352" s="9"/>
      <c r="R352" s="9"/>
      <c r="S352" s="9" t="b">
        <v>0</v>
      </c>
      <c r="T352" s="9"/>
      <c r="U352" s="9" t="s">
        <v>979</v>
      </c>
    </row>
    <row r="353" spans="9:21">
      <c r="I353" s="9" t="s">
        <v>1375</v>
      </c>
      <c r="J353" s="9" t="s">
        <v>1375</v>
      </c>
      <c r="K353" s="9">
        <v>985</v>
      </c>
      <c r="L353" s="9"/>
      <c r="M353" s="9"/>
      <c r="N353" s="9" t="s">
        <v>410</v>
      </c>
      <c r="O353" s="9" t="s">
        <v>1113</v>
      </c>
      <c r="P353" s="9" t="s">
        <v>711</v>
      </c>
      <c r="Q353" s="9"/>
      <c r="R353" s="9"/>
      <c r="S353" s="9" t="b">
        <v>0</v>
      </c>
      <c r="T353" s="9"/>
      <c r="U353" s="9" t="s">
        <v>1376</v>
      </c>
    </row>
    <row r="354" spans="9:21">
      <c r="I354" s="9" t="s">
        <v>1377</v>
      </c>
      <c r="J354" s="9" t="s">
        <v>1377</v>
      </c>
      <c r="K354" s="9">
        <v>986</v>
      </c>
      <c r="L354" s="9"/>
      <c r="M354" s="9"/>
      <c r="N354" s="9" t="s">
        <v>410</v>
      </c>
      <c r="O354" s="9" t="s">
        <v>1113</v>
      </c>
      <c r="P354" s="9" t="s">
        <v>859</v>
      </c>
      <c r="Q354" s="9"/>
      <c r="R354" s="9"/>
      <c r="S354" s="9" t="b">
        <v>0</v>
      </c>
      <c r="T354" s="9"/>
      <c r="U354" s="9" t="s">
        <v>742</v>
      </c>
    </row>
    <row r="355" spans="9:21">
      <c r="I355" s="9" t="s">
        <v>1378</v>
      </c>
      <c r="J355" s="9" t="s">
        <v>1378</v>
      </c>
      <c r="K355" s="9">
        <v>987</v>
      </c>
      <c r="L355" s="9"/>
      <c r="M355" s="9"/>
      <c r="N355" s="9" t="s">
        <v>410</v>
      </c>
      <c r="O355" s="9" t="s">
        <v>724</v>
      </c>
      <c r="P355" s="9" t="s">
        <v>859</v>
      </c>
      <c r="Q355" s="9"/>
      <c r="R355" s="9"/>
      <c r="S355" s="9" t="b">
        <v>0</v>
      </c>
      <c r="T355" s="9"/>
      <c r="U355" s="9" t="s">
        <v>1379</v>
      </c>
    </row>
    <row r="356" spans="9:21">
      <c r="I356" s="9" t="s">
        <v>1380</v>
      </c>
      <c r="J356" s="9" t="s">
        <v>1380</v>
      </c>
      <c r="K356" s="9">
        <v>988</v>
      </c>
      <c r="L356" s="9"/>
      <c r="M356" s="9"/>
      <c r="N356" s="9" t="s">
        <v>410</v>
      </c>
      <c r="O356" s="9" t="s">
        <v>724</v>
      </c>
      <c r="P356" s="9" t="s">
        <v>859</v>
      </c>
      <c r="Q356" s="9"/>
      <c r="R356" s="9"/>
      <c r="S356" s="9" t="b">
        <v>0</v>
      </c>
      <c r="T356" s="9"/>
      <c r="U356" s="9" t="s">
        <v>1381</v>
      </c>
    </row>
    <row r="357" spans="9:21">
      <c r="I357" s="9" t="s">
        <v>1382</v>
      </c>
      <c r="J357" s="9" t="s">
        <v>1382</v>
      </c>
      <c r="K357" s="9">
        <v>989</v>
      </c>
      <c r="L357" s="9"/>
      <c r="M357" s="9"/>
      <c r="N357" s="9" t="s">
        <v>410</v>
      </c>
      <c r="O357" s="9" t="s">
        <v>1113</v>
      </c>
      <c r="P357" s="9" t="s">
        <v>1315</v>
      </c>
      <c r="Q357" s="9"/>
      <c r="R357" s="9"/>
      <c r="S357" s="9" t="b">
        <v>0</v>
      </c>
      <c r="T357" s="9"/>
      <c r="U357" s="9" t="s">
        <v>1383</v>
      </c>
    </row>
    <row r="358" spans="9:21">
      <c r="I358" s="9" t="s">
        <v>1384</v>
      </c>
      <c r="J358" s="9" t="s">
        <v>1384</v>
      </c>
      <c r="K358" s="9">
        <v>990</v>
      </c>
      <c r="L358" s="9"/>
      <c r="M358" s="9"/>
      <c r="N358" s="9" t="s">
        <v>410</v>
      </c>
      <c r="O358" s="9" t="s">
        <v>720</v>
      </c>
      <c r="P358" s="9" t="s">
        <v>693</v>
      </c>
      <c r="Q358" s="9"/>
      <c r="R358" s="9"/>
      <c r="S358" s="9" t="b">
        <v>0</v>
      </c>
      <c r="T358" s="9"/>
      <c r="U358" s="9" t="s">
        <v>1385</v>
      </c>
    </row>
    <row r="359" spans="9:21">
      <c r="I359" s="9" t="s">
        <v>1386</v>
      </c>
      <c r="J359" s="9" t="s">
        <v>1386</v>
      </c>
      <c r="K359" s="9">
        <v>991</v>
      </c>
      <c r="L359" s="9"/>
      <c r="M359" s="9"/>
      <c r="N359" s="9" t="s">
        <v>410</v>
      </c>
      <c r="O359" s="9" t="s">
        <v>720</v>
      </c>
      <c r="P359" s="9" t="s">
        <v>693</v>
      </c>
      <c r="Q359" s="9"/>
      <c r="R359" s="9"/>
      <c r="S359" s="9" t="b">
        <v>0</v>
      </c>
      <c r="T359" s="9"/>
      <c r="U359" s="9" t="s">
        <v>1387</v>
      </c>
    </row>
    <row r="360" spans="9:21">
      <c r="I360" s="9" t="s">
        <v>1388</v>
      </c>
      <c r="J360" s="9" t="s">
        <v>1388</v>
      </c>
      <c r="K360" s="9">
        <v>992</v>
      </c>
      <c r="L360" s="9"/>
      <c r="M360" s="9"/>
      <c r="N360" s="9" t="s">
        <v>410</v>
      </c>
      <c r="O360" s="9" t="s">
        <v>720</v>
      </c>
      <c r="P360" s="9" t="s">
        <v>693</v>
      </c>
      <c r="Q360" s="9"/>
      <c r="R360" s="9"/>
      <c r="S360" s="9" t="b">
        <v>0</v>
      </c>
      <c r="T360" s="9"/>
      <c r="U360" s="9" t="s">
        <v>1389</v>
      </c>
    </row>
    <row r="361" spans="9:21">
      <c r="I361" s="9" t="s">
        <v>1390</v>
      </c>
      <c r="J361" s="9" t="s">
        <v>1390</v>
      </c>
      <c r="K361" s="9">
        <v>993</v>
      </c>
      <c r="L361" s="9"/>
      <c r="M361" s="9"/>
      <c r="N361" s="9" t="s">
        <v>410</v>
      </c>
      <c r="O361" s="9" t="s">
        <v>1113</v>
      </c>
      <c r="P361" s="9" t="s">
        <v>690</v>
      </c>
      <c r="Q361" s="9"/>
      <c r="R361" s="9"/>
      <c r="S361" s="9" t="b">
        <v>0</v>
      </c>
      <c r="T361" s="9"/>
      <c r="U361" s="9" t="s">
        <v>1372</v>
      </c>
    </row>
    <row r="362" spans="9:21">
      <c r="I362" s="9" t="s">
        <v>1391</v>
      </c>
      <c r="J362" s="9" t="s">
        <v>1391</v>
      </c>
      <c r="K362" s="9">
        <v>994</v>
      </c>
      <c r="L362" s="9"/>
      <c r="M362" s="9"/>
      <c r="N362" s="9" t="s">
        <v>410</v>
      </c>
      <c r="O362" s="9" t="s">
        <v>1113</v>
      </c>
      <c r="P362" s="9" t="s">
        <v>859</v>
      </c>
      <c r="Q362" s="9"/>
      <c r="R362" s="9"/>
      <c r="S362" s="9" t="b">
        <v>0</v>
      </c>
      <c r="T362" s="9"/>
      <c r="U362" s="9" t="s">
        <v>742</v>
      </c>
    </row>
    <row r="363" spans="9:21">
      <c r="I363" s="9" t="s">
        <v>1392</v>
      </c>
      <c r="J363" s="9" t="s">
        <v>1392</v>
      </c>
      <c r="K363" s="9">
        <v>995</v>
      </c>
      <c r="L363" s="9"/>
      <c r="M363" s="9"/>
      <c r="N363" s="9" t="s">
        <v>410</v>
      </c>
      <c r="O363" s="9" t="s">
        <v>1113</v>
      </c>
      <c r="P363" s="9" t="s">
        <v>711</v>
      </c>
      <c r="Q363" s="9"/>
      <c r="R363" s="9"/>
      <c r="S363" s="9" t="b">
        <v>0</v>
      </c>
      <c r="T363" s="9"/>
      <c r="U363" s="9" t="s">
        <v>1366</v>
      </c>
    </row>
    <row r="364" spans="9:21">
      <c r="I364" s="9" t="s">
        <v>1393</v>
      </c>
      <c r="J364" s="9" t="s">
        <v>1393</v>
      </c>
      <c r="K364" s="9">
        <v>996</v>
      </c>
      <c r="L364" s="9"/>
      <c r="M364" s="9"/>
      <c r="N364" s="9" t="s">
        <v>410</v>
      </c>
      <c r="O364" s="9" t="s">
        <v>720</v>
      </c>
      <c r="P364" s="9" t="s">
        <v>1371</v>
      </c>
      <c r="Q364" s="9"/>
      <c r="R364" s="9"/>
      <c r="S364" s="9" t="b">
        <v>0</v>
      </c>
      <c r="T364" s="9"/>
      <c r="U364" s="9" t="s">
        <v>742</v>
      </c>
    </row>
    <row r="365" spans="9:21">
      <c r="I365" s="9" t="s">
        <v>1394</v>
      </c>
      <c r="J365" s="9" t="s">
        <v>1394</v>
      </c>
      <c r="K365" s="9">
        <v>997</v>
      </c>
      <c r="L365" s="9"/>
      <c r="M365" s="9"/>
      <c r="N365" s="9" t="s">
        <v>410</v>
      </c>
      <c r="O365" s="9" t="s">
        <v>1113</v>
      </c>
      <c r="P365" s="9" t="s">
        <v>711</v>
      </c>
      <c r="Q365" s="9"/>
      <c r="R365" s="9"/>
      <c r="S365" s="9" t="b">
        <v>0</v>
      </c>
      <c r="T365" s="9"/>
      <c r="U365" s="9" t="s">
        <v>1395</v>
      </c>
    </row>
    <row r="366" spans="9:21">
      <c r="I366" s="9" t="s">
        <v>1396</v>
      </c>
      <c r="J366" s="9" t="s">
        <v>1396</v>
      </c>
      <c r="K366" s="9">
        <v>999</v>
      </c>
      <c r="L366" s="9"/>
      <c r="M366" s="9"/>
      <c r="N366" s="9" t="s">
        <v>410</v>
      </c>
      <c r="O366" s="9" t="s">
        <v>724</v>
      </c>
      <c r="P366" s="9" t="s">
        <v>1029</v>
      </c>
      <c r="Q366" s="9"/>
      <c r="R366" s="9"/>
      <c r="S366" s="9" t="b">
        <v>0</v>
      </c>
      <c r="T366" s="9"/>
      <c r="U366" s="9" t="s">
        <v>1379</v>
      </c>
    </row>
    <row r="367" spans="9:21">
      <c r="I367" s="9" t="s">
        <v>1397</v>
      </c>
      <c r="J367" s="9" t="s">
        <v>1397</v>
      </c>
      <c r="K367" s="9">
        <v>1000</v>
      </c>
      <c r="L367" s="9"/>
      <c r="M367" s="9"/>
      <c r="N367" s="9" t="s">
        <v>410</v>
      </c>
      <c r="O367" s="9" t="s">
        <v>749</v>
      </c>
      <c r="P367" s="9" t="s">
        <v>845</v>
      </c>
      <c r="Q367" s="9"/>
      <c r="R367" s="9"/>
      <c r="S367" s="9" t="b">
        <v>0</v>
      </c>
      <c r="T367" s="9"/>
      <c r="U367" s="9" t="s">
        <v>1286</v>
      </c>
    </row>
    <row r="368" spans="9:21">
      <c r="I368" s="9" t="s">
        <v>1398</v>
      </c>
      <c r="J368" s="9" t="s">
        <v>1398</v>
      </c>
      <c r="K368" s="9">
        <v>1001</v>
      </c>
      <c r="L368" s="9"/>
      <c r="M368" s="9"/>
      <c r="N368" s="9" t="s">
        <v>410</v>
      </c>
      <c r="O368" s="9" t="s">
        <v>724</v>
      </c>
      <c r="P368" s="9" t="s">
        <v>1029</v>
      </c>
      <c r="Q368" s="9"/>
      <c r="R368" s="9"/>
      <c r="S368" s="9" t="b">
        <v>0</v>
      </c>
      <c r="T368" s="9"/>
      <c r="U368" s="9" t="s">
        <v>712</v>
      </c>
    </row>
    <row r="369" spans="9:21">
      <c r="I369" s="9" t="s">
        <v>1399</v>
      </c>
      <c r="J369" s="9" t="s">
        <v>1399</v>
      </c>
      <c r="K369" s="9">
        <v>1002</v>
      </c>
      <c r="L369" s="9"/>
      <c r="M369" s="9"/>
      <c r="N369" s="9" t="s">
        <v>410</v>
      </c>
      <c r="O369" s="9" t="s">
        <v>720</v>
      </c>
      <c r="P369" s="9" t="s">
        <v>898</v>
      </c>
      <c r="Q369" s="9"/>
      <c r="R369" s="9"/>
      <c r="S369" s="9" t="b">
        <v>0</v>
      </c>
      <c r="T369" s="9"/>
      <c r="U369" s="9" t="s">
        <v>1248</v>
      </c>
    </row>
    <row r="370" spans="9:21">
      <c r="I370" s="9" t="s">
        <v>1400</v>
      </c>
      <c r="J370" s="9" t="s">
        <v>1400</v>
      </c>
      <c r="K370" s="9">
        <v>1003</v>
      </c>
      <c r="L370" s="9"/>
      <c r="M370" s="9"/>
      <c r="N370" s="9" t="s">
        <v>410</v>
      </c>
      <c r="O370" s="9" t="s">
        <v>745</v>
      </c>
      <c r="P370" s="9" t="s">
        <v>711</v>
      </c>
      <c r="Q370" s="9"/>
      <c r="R370" s="9"/>
      <c r="S370" s="9" t="b">
        <v>0</v>
      </c>
      <c r="T370" s="9"/>
      <c r="U370" s="9" t="s">
        <v>1344</v>
      </c>
    </row>
    <row r="371" spans="9:21">
      <c r="I371" s="9" t="s">
        <v>1401</v>
      </c>
      <c r="J371" s="9" t="s">
        <v>1401</v>
      </c>
      <c r="K371" s="9">
        <v>1004</v>
      </c>
      <c r="L371" s="9"/>
      <c r="M371" s="9"/>
      <c r="N371" s="9" t="s">
        <v>410</v>
      </c>
      <c r="O371" s="9" t="s">
        <v>720</v>
      </c>
      <c r="P371" s="9" t="s">
        <v>693</v>
      </c>
      <c r="Q371" s="9"/>
      <c r="R371" s="9"/>
      <c r="S371" s="9" t="b">
        <v>0</v>
      </c>
      <c r="T371" s="9"/>
      <c r="U371" s="9" t="s">
        <v>1385</v>
      </c>
    </row>
    <row r="372" spans="9:21">
      <c r="I372" s="9" t="s">
        <v>1402</v>
      </c>
      <c r="J372" s="9" t="s">
        <v>1402</v>
      </c>
      <c r="K372" s="9">
        <v>1005</v>
      </c>
      <c r="L372" s="9"/>
      <c r="M372" s="9"/>
      <c r="N372" s="9" t="s">
        <v>410</v>
      </c>
      <c r="O372" s="9" t="s">
        <v>720</v>
      </c>
      <c r="P372" s="9" t="s">
        <v>693</v>
      </c>
      <c r="Q372" s="9"/>
      <c r="R372" s="9"/>
      <c r="S372" s="9" t="b">
        <v>0</v>
      </c>
      <c r="T372" s="9"/>
      <c r="U372" s="9" t="s">
        <v>1387</v>
      </c>
    </row>
    <row r="373" spans="9:21">
      <c r="I373" s="9" t="s">
        <v>1403</v>
      </c>
      <c r="J373" s="9" t="s">
        <v>1403</v>
      </c>
      <c r="K373" s="9">
        <v>1006</v>
      </c>
      <c r="L373" s="9"/>
      <c r="M373" s="9"/>
      <c r="N373" s="9" t="s">
        <v>410</v>
      </c>
      <c r="O373" s="9" t="s">
        <v>720</v>
      </c>
      <c r="P373" s="9" t="s">
        <v>693</v>
      </c>
      <c r="Q373" s="9"/>
      <c r="R373" s="9"/>
      <c r="S373" s="9" t="b">
        <v>0</v>
      </c>
      <c r="T373" s="9"/>
      <c r="U373" s="9" t="s">
        <v>1389</v>
      </c>
    </row>
    <row r="374" spans="9:21">
      <c r="I374" s="9" t="s">
        <v>1404</v>
      </c>
      <c r="J374" s="9" t="s">
        <v>1404</v>
      </c>
      <c r="K374" s="9">
        <v>1007</v>
      </c>
      <c r="L374" s="9"/>
      <c r="M374" s="9"/>
      <c r="N374" s="9" t="s">
        <v>410</v>
      </c>
      <c r="O374" s="9" t="s">
        <v>759</v>
      </c>
      <c r="P374" s="9" t="s">
        <v>760</v>
      </c>
      <c r="Q374" s="9"/>
      <c r="R374" s="9"/>
      <c r="S374" s="9" t="b">
        <v>0</v>
      </c>
      <c r="T374" s="9"/>
      <c r="U374" s="9" t="s">
        <v>1339</v>
      </c>
    </row>
    <row r="375" spans="9:21">
      <c r="I375" s="9" t="s">
        <v>1405</v>
      </c>
      <c r="J375" s="9" t="s">
        <v>1405</v>
      </c>
      <c r="K375" s="9">
        <v>1008</v>
      </c>
      <c r="L375" s="9"/>
      <c r="M375" s="9"/>
      <c r="N375" s="9" t="s">
        <v>410</v>
      </c>
      <c r="O375" s="9" t="s">
        <v>1113</v>
      </c>
      <c r="P375" s="9" t="s">
        <v>859</v>
      </c>
      <c r="Q375" s="9"/>
      <c r="R375" s="9"/>
      <c r="S375" s="9" t="b">
        <v>0</v>
      </c>
      <c r="T375" s="9"/>
      <c r="U375" s="9" t="s">
        <v>1246</v>
      </c>
    </row>
    <row r="376" spans="9:21">
      <c r="I376" s="9" t="s">
        <v>1406</v>
      </c>
      <c r="J376" s="9" t="s">
        <v>1406</v>
      </c>
      <c r="K376" s="9">
        <v>1009</v>
      </c>
      <c r="L376" s="9"/>
      <c r="M376" s="9"/>
      <c r="N376" s="9" t="s">
        <v>410</v>
      </c>
      <c r="O376" s="9" t="s">
        <v>1113</v>
      </c>
      <c r="P376" s="9" t="s">
        <v>1371</v>
      </c>
      <c r="Q376" s="9"/>
      <c r="R376" s="9"/>
      <c r="S376" s="9" t="b">
        <v>0</v>
      </c>
      <c r="T376" s="9"/>
      <c r="U376" s="9" t="s">
        <v>1407</v>
      </c>
    </row>
    <row r="377" spans="9:21">
      <c r="I377" s="9" t="s">
        <v>1408</v>
      </c>
      <c r="J377" s="9" t="s">
        <v>1408</v>
      </c>
      <c r="K377" s="9">
        <v>1010</v>
      </c>
      <c r="L377" s="9"/>
      <c r="M377" s="9"/>
      <c r="N377" s="9" t="s">
        <v>410</v>
      </c>
      <c r="O377" s="9" t="s">
        <v>724</v>
      </c>
      <c r="P377" s="9" t="s">
        <v>711</v>
      </c>
      <c r="Q377" s="9"/>
      <c r="R377" s="9"/>
      <c r="S377" s="9" t="b">
        <v>0</v>
      </c>
      <c r="T377" s="9"/>
      <c r="U377" s="9" t="s">
        <v>979</v>
      </c>
    </row>
    <row r="378" spans="9:21">
      <c r="I378" s="9" t="s">
        <v>1409</v>
      </c>
      <c r="J378" s="9" t="s">
        <v>1409</v>
      </c>
      <c r="K378" s="9">
        <v>1012</v>
      </c>
      <c r="L378" s="9"/>
      <c r="M378" s="9"/>
      <c r="N378" s="9" t="s">
        <v>410</v>
      </c>
      <c r="O378" s="9" t="s">
        <v>749</v>
      </c>
      <c r="P378" s="9" t="s">
        <v>898</v>
      </c>
      <c r="Q378" s="9"/>
      <c r="R378" s="9"/>
      <c r="S378" s="9" t="b">
        <v>0</v>
      </c>
      <c r="T378" s="9"/>
      <c r="U378" s="9" t="s">
        <v>1410</v>
      </c>
    </row>
    <row r="379" spans="9:21">
      <c r="I379" s="9" t="s">
        <v>1411</v>
      </c>
      <c r="J379" s="9" t="s">
        <v>1411</v>
      </c>
      <c r="K379" s="9">
        <v>1015</v>
      </c>
      <c r="L379" s="9"/>
      <c r="M379" s="9"/>
      <c r="N379" s="9" t="s">
        <v>410</v>
      </c>
      <c r="O379" s="9" t="s">
        <v>724</v>
      </c>
      <c r="P379" s="9" t="s">
        <v>859</v>
      </c>
      <c r="Q379" s="9"/>
      <c r="R379" s="9"/>
      <c r="S379" s="9" t="b">
        <v>0</v>
      </c>
      <c r="T379" s="9"/>
      <c r="U379" s="9" t="s">
        <v>817</v>
      </c>
    </row>
    <row r="380" spans="9:21">
      <c r="I380" s="9" t="s">
        <v>1412</v>
      </c>
      <c r="J380" s="9" t="s">
        <v>1412</v>
      </c>
      <c r="K380" s="9">
        <v>1016</v>
      </c>
      <c r="L380" s="9"/>
      <c r="M380" s="9"/>
      <c r="N380" s="9" t="s">
        <v>410</v>
      </c>
      <c r="O380" s="9" t="s">
        <v>724</v>
      </c>
      <c r="P380" s="9" t="s">
        <v>859</v>
      </c>
      <c r="Q380" s="9"/>
      <c r="R380" s="9"/>
      <c r="S380" s="9" t="b">
        <v>0</v>
      </c>
      <c r="T380" s="9"/>
      <c r="U380" s="9" t="s">
        <v>712</v>
      </c>
    </row>
    <row r="381" spans="9:21">
      <c r="I381" s="9" t="s">
        <v>1413</v>
      </c>
      <c r="J381" s="9" t="s">
        <v>1413</v>
      </c>
      <c r="K381" s="9">
        <v>1017</v>
      </c>
      <c r="L381" s="9"/>
      <c r="M381" s="9"/>
      <c r="N381" s="9" t="s">
        <v>410</v>
      </c>
      <c r="O381" s="9" t="s">
        <v>720</v>
      </c>
      <c r="P381" s="9" t="s">
        <v>760</v>
      </c>
      <c r="Q381" s="9"/>
      <c r="R381" s="9"/>
      <c r="S381" s="9" t="b">
        <v>0</v>
      </c>
      <c r="T381" s="9"/>
      <c r="U381" s="9" t="s">
        <v>1414</v>
      </c>
    </row>
    <row r="382" spans="9:21">
      <c r="I382" s="9" t="s">
        <v>1415</v>
      </c>
      <c r="J382" s="9" t="s">
        <v>1415</v>
      </c>
      <c r="K382" s="9">
        <v>1018</v>
      </c>
      <c r="L382" s="9"/>
      <c r="M382" s="9"/>
      <c r="N382" s="9" t="s">
        <v>410</v>
      </c>
      <c r="O382" s="9" t="s">
        <v>689</v>
      </c>
      <c r="P382" s="9" t="s">
        <v>848</v>
      </c>
      <c r="Q382" s="9"/>
      <c r="R382" s="9"/>
      <c r="S382" s="9" t="b">
        <v>0</v>
      </c>
      <c r="T382" s="9"/>
      <c r="U382" s="9"/>
    </row>
    <row r="383" spans="9:21">
      <c r="I383" s="9" t="s">
        <v>1416</v>
      </c>
      <c r="J383" s="9" t="s">
        <v>1416</v>
      </c>
      <c r="K383" s="9">
        <v>1020</v>
      </c>
      <c r="L383" s="9"/>
      <c r="M383" s="9"/>
      <c r="N383" s="9" t="s">
        <v>410</v>
      </c>
      <c r="O383" s="9" t="s">
        <v>689</v>
      </c>
      <c r="P383" s="9" t="s">
        <v>711</v>
      </c>
      <c r="Q383" s="9"/>
      <c r="R383" s="9"/>
      <c r="S383" s="9" t="b">
        <v>0</v>
      </c>
      <c r="T383" s="9"/>
      <c r="U383" s="9" t="s">
        <v>1417</v>
      </c>
    </row>
    <row r="384" spans="9:21">
      <c r="I384" s="9" t="s">
        <v>1418</v>
      </c>
      <c r="J384" s="9" t="s">
        <v>1418</v>
      </c>
      <c r="K384" s="9">
        <v>1021</v>
      </c>
      <c r="L384" s="9"/>
      <c r="M384" s="9"/>
      <c r="N384" s="9" t="s">
        <v>410</v>
      </c>
      <c r="O384" s="9" t="s">
        <v>689</v>
      </c>
      <c r="P384" s="9" t="s">
        <v>848</v>
      </c>
      <c r="Q384" s="9"/>
      <c r="R384" s="9"/>
      <c r="S384" s="9" t="b">
        <v>0</v>
      </c>
      <c r="T384" s="9"/>
      <c r="U384" s="9"/>
    </row>
    <row r="385" spans="9:21">
      <c r="I385" s="9" t="s">
        <v>1419</v>
      </c>
      <c r="J385" s="9" t="s">
        <v>1419</v>
      </c>
      <c r="K385" s="9">
        <v>1022</v>
      </c>
      <c r="L385" s="9"/>
      <c r="M385" s="9"/>
      <c r="N385" s="9" t="s">
        <v>410</v>
      </c>
      <c r="O385" s="9" t="s">
        <v>749</v>
      </c>
      <c r="P385" s="9" t="s">
        <v>1420</v>
      </c>
      <c r="Q385" s="9"/>
      <c r="R385" s="9"/>
      <c r="S385" s="9" t="b">
        <v>0</v>
      </c>
      <c r="T385" s="9"/>
      <c r="U385" s="9"/>
    </row>
    <row r="386" spans="9:21">
      <c r="I386" s="9" t="s">
        <v>1421</v>
      </c>
      <c r="J386" s="9" t="s">
        <v>1421</v>
      </c>
      <c r="K386" s="9">
        <v>1023</v>
      </c>
      <c r="L386" s="9"/>
      <c r="M386" s="9"/>
      <c r="N386" s="9" t="s">
        <v>410</v>
      </c>
      <c r="O386" s="9" t="s">
        <v>689</v>
      </c>
      <c r="P386" s="9" t="s">
        <v>1029</v>
      </c>
      <c r="Q386" s="9"/>
      <c r="R386" s="9"/>
      <c r="S386" s="9" t="b">
        <v>0</v>
      </c>
      <c r="T386" s="9"/>
      <c r="U386" s="9"/>
    </row>
    <row r="387" spans="9:21">
      <c r="I387" s="9" t="s">
        <v>1422</v>
      </c>
      <c r="J387" s="9" t="s">
        <v>1422</v>
      </c>
      <c r="K387" s="9">
        <v>1024</v>
      </c>
      <c r="L387" s="9"/>
      <c r="M387" s="9"/>
      <c r="N387" s="9" t="s">
        <v>400</v>
      </c>
      <c r="O387" s="9" t="s">
        <v>749</v>
      </c>
      <c r="P387" s="9" t="s">
        <v>816</v>
      </c>
      <c r="Q387" s="9"/>
      <c r="R387" s="9"/>
      <c r="S387" s="9" t="b">
        <v>0</v>
      </c>
      <c r="T387" s="9"/>
      <c r="U387" s="9" t="s">
        <v>1423</v>
      </c>
    </row>
    <row r="388" spans="9:21">
      <c r="I388" s="9" t="s">
        <v>1424</v>
      </c>
      <c r="J388" s="9" t="s">
        <v>1424</v>
      </c>
      <c r="K388" s="9">
        <v>1025</v>
      </c>
      <c r="L388" s="9"/>
      <c r="M388" s="9"/>
      <c r="N388" s="9" t="s">
        <v>410</v>
      </c>
      <c r="O388" s="9" t="s">
        <v>689</v>
      </c>
      <c r="P388" s="9" t="s">
        <v>848</v>
      </c>
      <c r="Q388" s="9"/>
      <c r="R388" s="9"/>
      <c r="S388" s="9" t="b">
        <v>0</v>
      </c>
      <c r="T388" s="9"/>
      <c r="U388" s="9"/>
    </row>
    <row r="389" spans="9:21">
      <c r="I389" s="9" t="s">
        <v>1425</v>
      </c>
      <c r="J389" s="9" t="s">
        <v>1425</v>
      </c>
      <c r="K389" s="9">
        <v>1026</v>
      </c>
      <c r="L389" s="9"/>
      <c r="M389" s="9"/>
      <c r="N389" s="9" t="s">
        <v>410</v>
      </c>
      <c r="O389" s="9" t="s">
        <v>689</v>
      </c>
      <c r="P389" s="9" t="s">
        <v>690</v>
      </c>
      <c r="Q389" s="9"/>
      <c r="R389" s="9"/>
      <c r="S389" s="9" t="b">
        <v>0</v>
      </c>
      <c r="T389" s="9"/>
      <c r="U389" s="9"/>
    </row>
    <row r="390" spans="9:21">
      <c r="I390" s="9" t="s">
        <v>1426</v>
      </c>
      <c r="J390" s="9" t="s">
        <v>1426</v>
      </c>
      <c r="K390" s="9">
        <v>1027</v>
      </c>
      <c r="L390" s="9"/>
      <c r="M390" s="9"/>
      <c r="N390" s="9" t="s">
        <v>410</v>
      </c>
      <c r="O390" s="9" t="s">
        <v>768</v>
      </c>
      <c r="P390" s="9" t="s">
        <v>859</v>
      </c>
      <c r="Q390" s="9"/>
      <c r="R390" s="9"/>
      <c r="S390" s="9" t="b">
        <v>0</v>
      </c>
      <c r="T390" s="9"/>
      <c r="U390" s="9"/>
    </row>
    <row r="391" spans="9:21">
      <c r="I391" s="9" t="s">
        <v>1427</v>
      </c>
      <c r="J391" s="9" t="s">
        <v>1427</v>
      </c>
      <c r="K391" s="9">
        <v>1028</v>
      </c>
      <c r="L391" s="9"/>
      <c r="M391" s="9"/>
      <c r="N391" s="9" t="s">
        <v>410</v>
      </c>
      <c r="O391" s="9" t="s">
        <v>724</v>
      </c>
      <c r="P391" s="9" t="s">
        <v>1428</v>
      </c>
      <c r="Q391" s="9"/>
      <c r="R391" s="9"/>
      <c r="S391" s="9" t="b">
        <v>0</v>
      </c>
      <c r="T391" s="9"/>
      <c r="U391" s="9" t="s">
        <v>1030</v>
      </c>
    </row>
    <row r="392" spans="9:21">
      <c r="I392" s="9" t="s">
        <v>1429</v>
      </c>
      <c r="J392" s="9" t="s">
        <v>1429</v>
      </c>
      <c r="K392" s="9">
        <v>1029</v>
      </c>
      <c r="L392" s="9"/>
      <c r="M392" s="9"/>
      <c r="N392" s="9" t="s">
        <v>410</v>
      </c>
      <c r="O392" s="9" t="s">
        <v>724</v>
      </c>
      <c r="P392" s="9" t="s">
        <v>1029</v>
      </c>
      <c r="Q392" s="9"/>
      <c r="R392" s="9"/>
      <c r="S392" s="9" t="b">
        <v>0</v>
      </c>
      <c r="T392" s="9"/>
      <c r="U392" s="9" t="s">
        <v>1430</v>
      </c>
    </row>
    <row r="393" spans="9:21">
      <c r="I393" s="9" t="s">
        <v>1431</v>
      </c>
      <c r="J393" s="9" t="s">
        <v>1431</v>
      </c>
      <c r="K393" s="9">
        <v>1030</v>
      </c>
      <c r="L393" s="9"/>
      <c r="M393" s="9"/>
      <c r="N393" s="9" t="s">
        <v>626</v>
      </c>
      <c r="O393" s="9" t="s">
        <v>720</v>
      </c>
      <c r="P393" s="9" t="s">
        <v>1432</v>
      </c>
      <c r="Q393" s="9"/>
      <c r="R393" s="9"/>
      <c r="S393" s="9" t="b">
        <v>0</v>
      </c>
      <c r="T393" s="9"/>
      <c r="U393" s="9" t="s">
        <v>1433</v>
      </c>
    </row>
    <row r="394" spans="9:21">
      <c r="I394" s="9" t="s">
        <v>1434</v>
      </c>
      <c r="J394" s="9" t="s">
        <v>1434</v>
      </c>
      <c r="K394" s="9">
        <v>1031</v>
      </c>
      <c r="L394" s="9"/>
      <c r="M394" s="9"/>
      <c r="N394" s="9" t="s">
        <v>410</v>
      </c>
      <c r="O394" s="9" t="s">
        <v>778</v>
      </c>
      <c r="P394" s="9" t="s">
        <v>1435</v>
      </c>
      <c r="Q394" s="9"/>
      <c r="R394" s="9"/>
      <c r="S394" s="9" t="b">
        <v>0</v>
      </c>
      <c r="T394" s="9"/>
      <c r="U394" s="9"/>
    </row>
    <row r="395" spans="9:21">
      <c r="I395" s="9" t="s">
        <v>1436</v>
      </c>
      <c r="J395" s="9" t="s">
        <v>1436</v>
      </c>
      <c r="K395" s="9">
        <v>1032</v>
      </c>
      <c r="L395" s="9"/>
      <c r="M395" s="9"/>
      <c r="N395" s="9" t="s">
        <v>410</v>
      </c>
      <c r="O395" s="9" t="s">
        <v>724</v>
      </c>
      <c r="P395" s="9" t="s">
        <v>1437</v>
      </c>
      <c r="Q395" s="9"/>
      <c r="R395" s="9"/>
      <c r="S395" s="9" t="b">
        <v>0</v>
      </c>
      <c r="T395" s="9"/>
      <c r="U395" s="9"/>
    </row>
    <row r="396" spans="9:21">
      <c r="I396" s="9" t="s">
        <v>1438</v>
      </c>
      <c r="J396" s="9" t="s">
        <v>1438</v>
      </c>
      <c r="K396" s="9">
        <v>1033</v>
      </c>
      <c r="L396" s="9"/>
      <c r="M396" s="9"/>
      <c r="N396" s="9" t="s">
        <v>626</v>
      </c>
      <c r="O396" s="9" t="s">
        <v>720</v>
      </c>
      <c r="P396" s="9" t="s">
        <v>1439</v>
      </c>
      <c r="Q396" s="9"/>
      <c r="R396" s="9"/>
      <c r="S396" s="9" t="b">
        <v>0</v>
      </c>
      <c r="T396" s="9"/>
      <c r="U396" s="9" t="s">
        <v>1440</v>
      </c>
    </row>
    <row r="397" spans="9:21">
      <c r="I397" s="9" t="s">
        <v>1441</v>
      </c>
      <c r="J397" s="9" t="s">
        <v>1441</v>
      </c>
      <c r="K397" s="9">
        <v>1034</v>
      </c>
      <c r="L397" s="9"/>
      <c r="M397" s="9"/>
      <c r="N397" s="9" t="s">
        <v>626</v>
      </c>
      <c r="O397" s="9" t="s">
        <v>720</v>
      </c>
      <c r="P397" s="9" t="s">
        <v>1442</v>
      </c>
      <c r="Q397" s="9"/>
      <c r="R397" s="9"/>
      <c r="S397" s="9" t="b">
        <v>0</v>
      </c>
      <c r="T397" s="9"/>
      <c r="U397" s="9" t="s">
        <v>1443</v>
      </c>
    </row>
    <row r="398" spans="9:21">
      <c r="I398" s="9" t="s">
        <v>1444</v>
      </c>
      <c r="J398" s="9" t="s">
        <v>1444</v>
      </c>
      <c r="K398" s="9">
        <v>1035</v>
      </c>
      <c r="L398" s="9"/>
      <c r="M398" s="9"/>
      <c r="N398" s="9" t="s">
        <v>626</v>
      </c>
      <c r="O398" s="9" t="s">
        <v>720</v>
      </c>
      <c r="P398" s="9" t="s">
        <v>1445</v>
      </c>
      <c r="Q398" s="9"/>
      <c r="R398" s="9"/>
      <c r="S398" s="9" t="b">
        <v>0</v>
      </c>
      <c r="T398" s="9"/>
      <c r="U398" s="9" t="s">
        <v>1446</v>
      </c>
    </row>
    <row r="399" spans="9:21">
      <c r="I399" s="9" t="s">
        <v>1447</v>
      </c>
      <c r="J399" s="9" t="s">
        <v>1447</v>
      </c>
      <c r="K399" s="9">
        <v>1036</v>
      </c>
      <c r="L399" s="9"/>
      <c r="M399" s="9"/>
      <c r="N399" s="9" t="s">
        <v>626</v>
      </c>
      <c r="O399" s="9" t="s">
        <v>720</v>
      </c>
      <c r="P399" s="9" t="s">
        <v>1448</v>
      </c>
      <c r="Q399" s="9"/>
      <c r="R399" s="9"/>
      <c r="S399" s="9" t="b">
        <v>0</v>
      </c>
      <c r="T399" s="9"/>
      <c r="U399" s="9" t="s">
        <v>1449</v>
      </c>
    </row>
    <row r="400" spans="9:21">
      <c r="I400" s="9" t="s">
        <v>1450</v>
      </c>
      <c r="J400" s="9" t="s">
        <v>1450</v>
      </c>
      <c r="K400" s="9">
        <v>1037</v>
      </c>
      <c r="L400" s="9"/>
      <c r="M400" s="9"/>
      <c r="N400" s="9" t="s">
        <v>410</v>
      </c>
      <c r="O400" s="9" t="s">
        <v>749</v>
      </c>
      <c r="P400" s="9" t="s">
        <v>752</v>
      </c>
      <c r="Q400" s="9"/>
      <c r="R400" s="9"/>
      <c r="S400" s="9" t="b">
        <v>0</v>
      </c>
      <c r="T400" s="9"/>
      <c r="U400" s="9" t="s">
        <v>1286</v>
      </c>
    </row>
    <row r="401" spans="9:21">
      <c r="I401" s="9" t="s">
        <v>1451</v>
      </c>
      <c r="J401" s="9" t="s">
        <v>1451</v>
      </c>
      <c r="K401" s="9">
        <v>1038</v>
      </c>
      <c r="L401" s="9"/>
      <c r="M401" s="9"/>
      <c r="N401" s="9" t="s">
        <v>410</v>
      </c>
      <c r="O401" s="9" t="s">
        <v>749</v>
      </c>
      <c r="P401" s="9" t="s">
        <v>752</v>
      </c>
      <c r="Q401" s="9"/>
      <c r="R401" s="9"/>
      <c r="S401" s="9" t="b">
        <v>0</v>
      </c>
      <c r="T401" s="9"/>
      <c r="U401" s="9" t="s">
        <v>787</v>
      </c>
    </row>
    <row r="402" spans="9:21">
      <c r="I402" s="9" t="s">
        <v>1452</v>
      </c>
      <c r="J402" s="9" t="s">
        <v>1452</v>
      </c>
      <c r="K402" s="9">
        <v>1039</v>
      </c>
      <c r="L402" s="9"/>
      <c r="M402" s="9"/>
      <c r="N402" s="9" t="s">
        <v>410</v>
      </c>
      <c r="O402" s="9" t="s">
        <v>720</v>
      </c>
      <c r="P402" s="9" t="s">
        <v>949</v>
      </c>
      <c r="Q402" s="9"/>
      <c r="R402" s="9"/>
      <c r="S402" s="9" t="b">
        <v>0</v>
      </c>
      <c r="T402" s="9"/>
      <c r="U402" s="9" t="s">
        <v>839</v>
      </c>
    </row>
    <row r="403" spans="9:21">
      <c r="I403" s="9" t="s">
        <v>1453</v>
      </c>
      <c r="J403" s="9" t="s">
        <v>1453</v>
      </c>
      <c r="K403" s="9">
        <v>1040</v>
      </c>
      <c r="L403" s="9"/>
      <c r="M403" s="9"/>
      <c r="N403" s="9" t="s">
        <v>410</v>
      </c>
      <c r="O403" s="9" t="s">
        <v>749</v>
      </c>
      <c r="P403" s="9" t="s">
        <v>752</v>
      </c>
      <c r="Q403" s="9"/>
      <c r="R403" s="9"/>
      <c r="S403" s="9" t="b">
        <v>0</v>
      </c>
      <c r="T403" s="9"/>
      <c r="U403" s="9" t="s">
        <v>1012</v>
      </c>
    </row>
    <row r="404" spans="9:21">
      <c r="I404" s="9" t="s">
        <v>1454</v>
      </c>
      <c r="J404" s="9" t="s">
        <v>1454</v>
      </c>
      <c r="K404" s="9">
        <v>1041</v>
      </c>
      <c r="L404" s="9"/>
      <c r="M404" s="9"/>
      <c r="N404" s="9" t="s">
        <v>410</v>
      </c>
      <c r="O404" s="9" t="s">
        <v>724</v>
      </c>
      <c r="P404" s="9" t="s">
        <v>1455</v>
      </c>
      <c r="Q404" s="9"/>
      <c r="R404" s="9"/>
      <c r="S404" s="9" t="b">
        <v>0</v>
      </c>
      <c r="T404" s="9"/>
      <c r="U404" s="9" t="s">
        <v>1063</v>
      </c>
    </row>
    <row r="405" spans="9:21">
      <c r="I405" s="9" t="s">
        <v>1456</v>
      </c>
      <c r="J405" s="9" t="s">
        <v>1456</v>
      </c>
      <c r="K405" s="9">
        <v>1042</v>
      </c>
      <c r="L405" s="9"/>
      <c r="M405" s="9"/>
      <c r="N405" s="9" t="s">
        <v>410</v>
      </c>
      <c r="O405" s="9" t="s">
        <v>724</v>
      </c>
      <c r="P405" s="9" t="s">
        <v>1457</v>
      </c>
      <c r="Q405" s="9"/>
      <c r="R405" s="9"/>
      <c r="S405" s="9" t="b">
        <v>0</v>
      </c>
      <c r="T405" s="9"/>
      <c r="U405" s="9" t="s">
        <v>1063</v>
      </c>
    </row>
    <row r="406" spans="9:21">
      <c r="I406" s="9" t="s">
        <v>1458</v>
      </c>
      <c r="J406" s="9" t="s">
        <v>1458</v>
      </c>
      <c r="K406" s="9">
        <v>1043</v>
      </c>
      <c r="L406" s="9"/>
      <c r="M406" s="9"/>
      <c r="N406" s="9" t="s">
        <v>410</v>
      </c>
      <c r="O406" s="9" t="s">
        <v>689</v>
      </c>
      <c r="P406" s="9" t="s">
        <v>1459</v>
      </c>
      <c r="Q406" s="9"/>
      <c r="R406" s="9"/>
      <c r="S406" s="9" t="b">
        <v>0</v>
      </c>
      <c r="T406" s="9"/>
      <c r="U406" s="9" t="s">
        <v>799</v>
      </c>
    </row>
    <row r="407" spans="9:21">
      <c r="I407" s="9" t="s">
        <v>1460</v>
      </c>
      <c r="J407" s="9" t="s">
        <v>1460</v>
      </c>
      <c r="K407" s="9">
        <v>1044</v>
      </c>
      <c r="L407" s="9"/>
      <c r="M407" s="9"/>
      <c r="N407" s="9" t="s">
        <v>410</v>
      </c>
      <c r="O407" s="9" t="s">
        <v>724</v>
      </c>
      <c r="P407" s="9" t="s">
        <v>1461</v>
      </c>
      <c r="Q407" s="9"/>
      <c r="R407" s="9"/>
      <c r="S407" s="9" t="b">
        <v>0</v>
      </c>
      <c r="T407" s="9"/>
      <c r="U407" s="9"/>
    </row>
    <row r="408" spans="9:21">
      <c r="I408" s="9" t="s">
        <v>1462</v>
      </c>
      <c r="J408" s="9" t="s">
        <v>1462</v>
      </c>
      <c r="K408" s="9">
        <v>1045</v>
      </c>
      <c r="L408" s="9"/>
      <c r="M408" s="9"/>
      <c r="N408" s="9" t="s">
        <v>626</v>
      </c>
      <c r="O408" s="9" t="s">
        <v>720</v>
      </c>
      <c r="P408" s="9" t="s">
        <v>1463</v>
      </c>
      <c r="Q408" s="9"/>
      <c r="R408" s="9"/>
      <c r="S408" s="9" t="b">
        <v>0</v>
      </c>
      <c r="T408" s="9"/>
      <c r="U408" s="9" t="s">
        <v>1464</v>
      </c>
    </row>
    <row r="409" spans="9:21">
      <c r="I409" s="9" t="s">
        <v>1465</v>
      </c>
      <c r="J409" s="9" t="s">
        <v>1465</v>
      </c>
      <c r="K409" s="9">
        <v>1046</v>
      </c>
      <c r="L409" s="9"/>
      <c r="M409" s="9"/>
      <c r="N409" s="9" t="s">
        <v>626</v>
      </c>
      <c r="O409" s="9" t="s">
        <v>720</v>
      </c>
      <c r="P409" s="9" t="s">
        <v>1463</v>
      </c>
      <c r="Q409" s="9"/>
      <c r="R409" s="9"/>
      <c r="S409" s="9" t="b">
        <v>0</v>
      </c>
      <c r="T409" s="9"/>
      <c r="U409" s="9" t="s">
        <v>1466</v>
      </c>
    </row>
    <row r="410" spans="9:21">
      <c r="I410" s="9" t="s">
        <v>1467</v>
      </c>
      <c r="J410" s="9" t="s">
        <v>1467</v>
      </c>
      <c r="K410" s="9">
        <v>1047</v>
      </c>
      <c r="L410" s="9"/>
      <c r="M410" s="9"/>
      <c r="N410" s="9" t="s">
        <v>400</v>
      </c>
      <c r="O410" s="9" t="s">
        <v>749</v>
      </c>
      <c r="P410" s="9" t="s">
        <v>1468</v>
      </c>
      <c r="Q410" s="9"/>
      <c r="R410" s="9"/>
      <c r="S410" s="9" t="b">
        <v>0</v>
      </c>
      <c r="T410" s="9"/>
      <c r="U410" s="9" t="s">
        <v>1469</v>
      </c>
    </row>
    <row r="411" spans="9:21">
      <c r="I411" s="9" t="s">
        <v>1470</v>
      </c>
      <c r="J411" s="9" t="s">
        <v>1470</v>
      </c>
      <c r="K411" s="9">
        <v>1048</v>
      </c>
      <c r="L411" s="9"/>
      <c r="M411" s="9"/>
      <c r="N411" s="9" t="s">
        <v>400</v>
      </c>
      <c r="O411" s="9" t="s">
        <v>749</v>
      </c>
      <c r="P411" s="9" t="s">
        <v>986</v>
      </c>
      <c r="Q411" s="9"/>
      <c r="R411" s="9"/>
      <c r="S411" s="9" t="b">
        <v>0</v>
      </c>
      <c r="T411" s="9"/>
      <c r="U411" s="9" t="s">
        <v>1471</v>
      </c>
    </row>
    <row r="412" spans="9:21">
      <c r="I412" s="9" t="s">
        <v>1472</v>
      </c>
      <c r="J412" s="9" t="s">
        <v>1472</v>
      </c>
      <c r="K412" s="9">
        <v>1049</v>
      </c>
      <c r="L412" s="9"/>
      <c r="M412" s="9"/>
      <c r="N412" s="9" t="s">
        <v>410</v>
      </c>
      <c r="O412" s="9" t="s">
        <v>689</v>
      </c>
      <c r="P412" s="9" t="s">
        <v>1473</v>
      </c>
      <c r="Q412" s="9"/>
      <c r="R412" s="9"/>
      <c r="S412" s="9" t="b">
        <v>0</v>
      </c>
      <c r="T412" s="9"/>
      <c r="U412" s="9"/>
    </row>
    <row r="413" spans="9:21">
      <c r="I413" s="9" t="s">
        <v>1474</v>
      </c>
      <c r="J413" s="9" t="s">
        <v>1474</v>
      </c>
      <c r="K413" s="9">
        <v>1050</v>
      </c>
      <c r="L413" s="9"/>
      <c r="M413" s="9"/>
      <c r="N413" s="9" t="s">
        <v>410</v>
      </c>
      <c r="O413" s="9" t="s">
        <v>689</v>
      </c>
      <c r="P413" s="9" t="s">
        <v>1475</v>
      </c>
      <c r="Q413" s="9"/>
      <c r="R413" s="9"/>
      <c r="S413" s="9" t="b">
        <v>0</v>
      </c>
      <c r="T413" s="9"/>
      <c r="U413" s="9"/>
    </row>
    <row r="414" spans="9:21">
      <c r="I414" s="9" t="s">
        <v>1476</v>
      </c>
      <c r="J414" s="9" t="s">
        <v>1476</v>
      </c>
      <c r="K414" s="9">
        <v>1051</v>
      </c>
      <c r="L414" s="9"/>
      <c r="M414" s="9"/>
      <c r="N414" s="9" t="s">
        <v>410</v>
      </c>
      <c r="O414" s="9" t="s">
        <v>689</v>
      </c>
      <c r="P414" s="9" t="s">
        <v>1477</v>
      </c>
      <c r="Q414" s="9"/>
      <c r="R414" s="9"/>
      <c r="S414" s="9" t="b">
        <v>0</v>
      </c>
      <c r="T414" s="9"/>
      <c r="U414" s="9"/>
    </row>
    <row r="415" spans="9:21">
      <c r="I415" s="9" t="s">
        <v>1478</v>
      </c>
      <c r="J415" s="9" t="s">
        <v>1478</v>
      </c>
      <c r="K415" s="9">
        <v>1052</v>
      </c>
      <c r="L415" s="9"/>
      <c r="M415" s="9"/>
      <c r="N415" s="9" t="s">
        <v>410</v>
      </c>
      <c r="O415" s="9" t="s">
        <v>724</v>
      </c>
      <c r="P415" s="9" t="s">
        <v>1479</v>
      </c>
      <c r="Q415" s="9"/>
      <c r="R415" s="9"/>
      <c r="S415" s="9" t="b">
        <v>0</v>
      </c>
      <c r="T415" s="9"/>
      <c r="U415" s="9"/>
    </row>
    <row r="416" spans="9:21">
      <c r="I416" s="9" t="s">
        <v>1480</v>
      </c>
      <c r="J416" s="9" t="s">
        <v>1480</v>
      </c>
      <c r="K416" s="9">
        <v>1053</v>
      </c>
      <c r="L416" s="9"/>
      <c r="M416" s="9"/>
      <c r="N416" s="9" t="s">
        <v>400</v>
      </c>
      <c r="O416" s="9" t="s">
        <v>724</v>
      </c>
      <c r="P416" s="9" t="s">
        <v>1481</v>
      </c>
      <c r="Q416" s="9"/>
      <c r="R416" s="9"/>
      <c r="S416" s="9" t="b">
        <v>0</v>
      </c>
      <c r="T416" s="9"/>
      <c r="U416" s="9" t="s">
        <v>1482</v>
      </c>
    </row>
    <row r="417" spans="9:21">
      <c r="I417" s="9" t="s">
        <v>1483</v>
      </c>
      <c r="J417" s="9" t="s">
        <v>1483</v>
      </c>
      <c r="K417" s="9">
        <v>1054</v>
      </c>
      <c r="L417" s="9"/>
      <c r="M417" s="9"/>
      <c r="N417" s="9" t="s">
        <v>410</v>
      </c>
      <c r="O417" s="9" t="s">
        <v>689</v>
      </c>
      <c r="P417" s="9" t="s">
        <v>1484</v>
      </c>
      <c r="Q417" s="9"/>
      <c r="R417" s="9"/>
      <c r="S417" s="9" t="b">
        <v>0</v>
      </c>
      <c r="T417" s="9"/>
      <c r="U417" s="9"/>
    </row>
    <row r="418" spans="9:21">
      <c r="I418" s="9" t="s">
        <v>1485</v>
      </c>
      <c r="J418" s="9" t="s">
        <v>1485</v>
      </c>
      <c r="K418" s="9">
        <v>1055</v>
      </c>
      <c r="L418" s="9"/>
      <c r="M418" s="9"/>
      <c r="N418" s="9" t="s">
        <v>626</v>
      </c>
      <c r="O418" s="9" t="s">
        <v>720</v>
      </c>
      <c r="P418" s="9" t="s">
        <v>1016</v>
      </c>
      <c r="Q418" s="9"/>
      <c r="R418" s="9"/>
      <c r="S418" s="9" t="b">
        <v>0</v>
      </c>
      <c r="T418" s="9"/>
      <c r="U418" s="9" t="s">
        <v>1486</v>
      </c>
    </row>
    <row r="419" spans="9:21">
      <c r="I419" s="9" t="s">
        <v>1487</v>
      </c>
      <c r="J419" s="9" t="s">
        <v>1487</v>
      </c>
      <c r="K419" s="9">
        <v>1056</v>
      </c>
      <c r="L419" s="9"/>
      <c r="M419" s="9"/>
      <c r="N419" s="9" t="s">
        <v>410</v>
      </c>
      <c r="O419" s="9" t="s">
        <v>689</v>
      </c>
      <c r="P419" s="9" t="s">
        <v>1104</v>
      </c>
      <c r="Q419" s="9"/>
      <c r="R419" s="9"/>
      <c r="S419" s="9" t="b">
        <v>0</v>
      </c>
      <c r="T419" s="9"/>
      <c r="U419" s="9"/>
    </row>
    <row r="420" spans="9:21">
      <c r="I420" s="9" t="s">
        <v>1488</v>
      </c>
      <c r="J420" s="9" t="s">
        <v>1488</v>
      </c>
      <c r="K420" s="9">
        <v>1057</v>
      </c>
      <c r="L420" s="9"/>
      <c r="M420" s="9"/>
      <c r="N420" s="9" t="s">
        <v>410</v>
      </c>
      <c r="O420" s="9" t="s">
        <v>720</v>
      </c>
      <c r="P420" s="9" t="s">
        <v>1219</v>
      </c>
      <c r="Q420" s="9"/>
      <c r="R420" s="9"/>
      <c r="S420" s="9" t="b">
        <v>0</v>
      </c>
      <c r="T420" s="9"/>
      <c r="U420" s="9"/>
    </row>
    <row r="421" spans="9:21">
      <c r="I421" s="9" t="s">
        <v>1489</v>
      </c>
      <c r="J421" s="9" t="s">
        <v>1489</v>
      </c>
      <c r="K421" s="9">
        <v>1058</v>
      </c>
      <c r="L421" s="9"/>
      <c r="M421" s="9"/>
      <c r="N421" s="9" t="s">
        <v>410</v>
      </c>
      <c r="O421" s="9" t="s">
        <v>689</v>
      </c>
      <c r="P421" s="9" t="s">
        <v>1475</v>
      </c>
      <c r="Q421" s="9"/>
      <c r="R421" s="9"/>
      <c r="S421" s="9" t="b">
        <v>0</v>
      </c>
      <c r="T421" s="9"/>
      <c r="U421" s="9"/>
    </row>
    <row r="422" spans="9:21">
      <c r="I422" s="9" t="s">
        <v>1490</v>
      </c>
      <c r="J422" s="9" t="s">
        <v>1490</v>
      </c>
      <c r="K422" s="9">
        <v>1059</v>
      </c>
      <c r="L422" s="9"/>
      <c r="M422" s="9"/>
      <c r="N422" s="9" t="s">
        <v>626</v>
      </c>
      <c r="O422" s="9" t="s">
        <v>720</v>
      </c>
      <c r="P422" s="9" t="s">
        <v>1491</v>
      </c>
      <c r="Q422" s="9"/>
      <c r="R422" s="9"/>
      <c r="S422" s="9" t="b">
        <v>0</v>
      </c>
      <c r="T422" s="9"/>
      <c r="U422" s="9" t="s">
        <v>1492</v>
      </c>
    </row>
    <row r="423" spans="9:21">
      <c r="I423" s="9" t="s">
        <v>1493</v>
      </c>
      <c r="J423" s="9" t="s">
        <v>1493</v>
      </c>
      <c r="K423" s="9">
        <v>1060</v>
      </c>
      <c r="L423" s="9"/>
      <c r="M423" s="9"/>
      <c r="N423" s="9" t="s">
        <v>626</v>
      </c>
      <c r="O423" s="9" t="s">
        <v>720</v>
      </c>
      <c r="P423" s="9" t="s">
        <v>1491</v>
      </c>
      <c r="Q423" s="9"/>
      <c r="R423" s="9"/>
      <c r="S423" s="9" t="b">
        <v>0</v>
      </c>
      <c r="T423" s="9"/>
      <c r="U423" s="9" t="s">
        <v>1492</v>
      </c>
    </row>
    <row r="424" spans="9:21">
      <c r="I424" s="9" t="s">
        <v>1494</v>
      </c>
      <c r="J424" s="9" t="s">
        <v>1494</v>
      </c>
      <c r="K424" s="9">
        <v>1061</v>
      </c>
      <c r="L424" s="9"/>
      <c r="M424" s="9"/>
      <c r="N424" s="9" t="s">
        <v>400</v>
      </c>
      <c r="O424" s="9" t="s">
        <v>724</v>
      </c>
      <c r="P424" s="9" t="s">
        <v>1495</v>
      </c>
      <c r="Q424" s="9"/>
      <c r="R424" s="9"/>
      <c r="S424" s="9" t="b">
        <v>0</v>
      </c>
      <c r="T424" s="9"/>
      <c r="U424" s="9" t="s">
        <v>873</v>
      </c>
    </row>
    <row r="425" spans="9:21">
      <c r="I425" s="9" t="s">
        <v>1496</v>
      </c>
      <c r="J425" s="9" t="s">
        <v>1496</v>
      </c>
      <c r="K425" s="9">
        <v>1062</v>
      </c>
      <c r="L425" s="9"/>
      <c r="M425" s="9"/>
      <c r="N425" s="9" t="s">
        <v>410</v>
      </c>
      <c r="O425" s="9" t="s">
        <v>689</v>
      </c>
      <c r="P425" s="9" t="s">
        <v>1497</v>
      </c>
      <c r="Q425" s="9"/>
      <c r="R425" s="9"/>
      <c r="S425" s="9" t="b">
        <v>0</v>
      </c>
      <c r="T425" s="9"/>
      <c r="U425" s="9"/>
    </row>
    <row r="426" spans="9:21">
      <c r="I426" s="9" t="s">
        <v>1498</v>
      </c>
      <c r="J426" s="9" t="s">
        <v>1498</v>
      </c>
      <c r="K426" s="9">
        <v>1063</v>
      </c>
      <c r="L426" s="9"/>
      <c r="M426" s="9"/>
      <c r="N426" s="9" t="s">
        <v>400</v>
      </c>
      <c r="O426" s="9" t="s">
        <v>720</v>
      </c>
      <c r="P426" s="9" t="s">
        <v>1475</v>
      </c>
      <c r="Q426" s="9"/>
      <c r="R426" s="9"/>
      <c r="S426" s="9" t="b">
        <v>0</v>
      </c>
      <c r="T426" s="9"/>
      <c r="U426" s="9" t="s">
        <v>1499</v>
      </c>
    </row>
    <row r="427" spans="9:21">
      <c r="I427" s="9" t="s">
        <v>1500</v>
      </c>
      <c r="J427" s="9" t="s">
        <v>1500</v>
      </c>
      <c r="K427" s="9">
        <v>1064</v>
      </c>
      <c r="L427" s="9"/>
      <c r="M427" s="9"/>
      <c r="N427" s="9" t="s">
        <v>626</v>
      </c>
      <c r="O427" s="9" t="s">
        <v>720</v>
      </c>
      <c r="P427" s="9" t="s">
        <v>1491</v>
      </c>
      <c r="Q427" s="9"/>
      <c r="R427" s="9"/>
      <c r="S427" s="9" t="b">
        <v>0</v>
      </c>
      <c r="T427" s="9"/>
      <c r="U427" s="9" t="s">
        <v>1492</v>
      </c>
    </row>
    <row r="428" spans="9:21">
      <c r="I428" s="9" t="s">
        <v>1501</v>
      </c>
      <c r="J428" s="9" t="s">
        <v>1501</v>
      </c>
      <c r="K428" s="9">
        <v>1065</v>
      </c>
      <c r="L428" s="9"/>
      <c r="M428" s="9"/>
      <c r="N428" s="9" t="s">
        <v>626</v>
      </c>
      <c r="O428" s="9" t="s">
        <v>720</v>
      </c>
      <c r="P428" s="9" t="s">
        <v>1502</v>
      </c>
      <c r="Q428" s="9"/>
      <c r="R428" s="9"/>
      <c r="S428" s="9" t="b">
        <v>0</v>
      </c>
      <c r="T428" s="9"/>
      <c r="U428" s="9" t="s">
        <v>1503</v>
      </c>
    </row>
    <row r="429" spans="9:21">
      <c r="I429" s="9" t="s">
        <v>1504</v>
      </c>
      <c r="J429" s="9" t="s">
        <v>1504</v>
      </c>
      <c r="K429" s="9">
        <v>1066</v>
      </c>
      <c r="L429" s="9"/>
      <c r="M429" s="9"/>
      <c r="N429" s="9" t="s">
        <v>410</v>
      </c>
      <c r="O429" s="9" t="s">
        <v>724</v>
      </c>
      <c r="P429" s="9" t="s">
        <v>1505</v>
      </c>
      <c r="Q429" s="9"/>
      <c r="R429" s="9"/>
      <c r="S429" s="9" t="b">
        <v>0</v>
      </c>
      <c r="T429" s="9"/>
      <c r="U429" s="9"/>
    </row>
    <row r="430" spans="9:21">
      <c r="I430" s="9" t="s">
        <v>1506</v>
      </c>
      <c r="J430" s="9" t="s">
        <v>1506</v>
      </c>
      <c r="K430" s="9">
        <v>1067</v>
      </c>
      <c r="L430" s="9"/>
      <c r="M430" s="9"/>
      <c r="N430" s="9" t="s">
        <v>410</v>
      </c>
      <c r="O430" s="9" t="s">
        <v>724</v>
      </c>
      <c r="P430" s="9" t="s">
        <v>1154</v>
      </c>
      <c r="Q430" s="9"/>
      <c r="R430" s="9"/>
      <c r="S430" s="9" t="b">
        <v>0</v>
      </c>
      <c r="T430" s="9"/>
      <c r="U430" s="9" t="s">
        <v>979</v>
      </c>
    </row>
    <row r="431" spans="9:21">
      <c r="I431" s="9" t="s">
        <v>1507</v>
      </c>
      <c r="J431" s="9" t="s">
        <v>1507</v>
      </c>
      <c r="K431" s="9">
        <v>1068</v>
      </c>
      <c r="L431" s="9"/>
      <c r="M431" s="9"/>
      <c r="N431" s="9" t="s">
        <v>400</v>
      </c>
      <c r="O431" s="9" t="s">
        <v>749</v>
      </c>
      <c r="P431" s="9" t="s">
        <v>859</v>
      </c>
      <c r="Q431" s="9"/>
      <c r="R431" s="9"/>
      <c r="S431" s="9" t="b">
        <v>0</v>
      </c>
      <c r="T431" s="9"/>
      <c r="U431" s="9" t="s">
        <v>1508</v>
      </c>
    </row>
    <row r="432" spans="9:21">
      <c r="I432" s="9" t="s">
        <v>1509</v>
      </c>
      <c r="J432" s="9" t="s">
        <v>1509</v>
      </c>
      <c r="K432" s="9">
        <v>1069</v>
      </c>
      <c r="L432" s="9"/>
      <c r="M432" s="9"/>
      <c r="N432" s="9" t="s">
        <v>400</v>
      </c>
      <c r="O432" s="9" t="s">
        <v>749</v>
      </c>
      <c r="P432" s="9" t="s">
        <v>859</v>
      </c>
      <c r="Q432" s="9"/>
      <c r="R432" s="9"/>
      <c r="S432" s="9" t="b">
        <v>0</v>
      </c>
      <c r="T432" s="9"/>
      <c r="U432" s="9" t="s">
        <v>1510</v>
      </c>
    </row>
    <row r="433" spans="9:21">
      <c r="I433" s="9" t="s">
        <v>1511</v>
      </c>
      <c r="J433" s="9" t="s">
        <v>1511</v>
      </c>
      <c r="K433" s="9">
        <v>1070</v>
      </c>
      <c r="L433" s="9"/>
      <c r="M433" s="9"/>
      <c r="N433" s="9" t="s">
        <v>400</v>
      </c>
      <c r="O433" s="9" t="s">
        <v>749</v>
      </c>
      <c r="P433" s="9" t="s">
        <v>859</v>
      </c>
      <c r="Q433" s="9"/>
      <c r="R433" s="9"/>
      <c r="S433" s="9" t="b">
        <v>0</v>
      </c>
      <c r="T433" s="9"/>
      <c r="U433" s="9" t="s">
        <v>1512</v>
      </c>
    </row>
    <row r="434" spans="9:21">
      <c r="I434" s="9" t="s">
        <v>1513</v>
      </c>
      <c r="J434" s="9" t="s">
        <v>1513</v>
      </c>
      <c r="K434" s="9">
        <v>1071</v>
      </c>
      <c r="L434" s="9"/>
      <c r="M434" s="9"/>
      <c r="N434" s="9" t="s">
        <v>400</v>
      </c>
      <c r="O434" s="9" t="s">
        <v>749</v>
      </c>
      <c r="P434" s="9" t="s">
        <v>859</v>
      </c>
      <c r="Q434" s="9"/>
      <c r="R434" s="9"/>
      <c r="S434" s="9" t="b">
        <v>0</v>
      </c>
      <c r="T434" s="9"/>
      <c r="U434" s="9" t="s">
        <v>1514</v>
      </c>
    </row>
    <row r="435" spans="9:21">
      <c r="I435" s="9" t="s">
        <v>1515</v>
      </c>
      <c r="J435" s="9" t="s">
        <v>1515</v>
      </c>
      <c r="K435" s="9">
        <v>1072</v>
      </c>
      <c r="L435" s="9"/>
      <c r="M435" s="9"/>
      <c r="N435" s="9" t="s">
        <v>400</v>
      </c>
      <c r="O435" s="9" t="s">
        <v>720</v>
      </c>
      <c r="P435" s="9" t="s">
        <v>760</v>
      </c>
      <c r="Q435" s="9"/>
      <c r="R435" s="9"/>
      <c r="S435" s="9" t="b">
        <v>0</v>
      </c>
      <c r="T435" s="9"/>
      <c r="U435" s="9" t="s">
        <v>1516</v>
      </c>
    </row>
    <row r="436" spans="9:21">
      <c r="I436" s="9" t="s">
        <v>1517</v>
      </c>
      <c r="J436" s="9" t="s">
        <v>1517</v>
      </c>
      <c r="K436" s="9">
        <v>1073</v>
      </c>
      <c r="L436" s="9"/>
      <c r="M436" s="9"/>
      <c r="N436" s="9" t="s">
        <v>400</v>
      </c>
      <c r="O436" s="9" t="s">
        <v>720</v>
      </c>
      <c r="P436" s="9" t="s">
        <v>760</v>
      </c>
      <c r="Q436" s="9"/>
      <c r="R436" s="9"/>
      <c r="S436" s="9" t="b">
        <v>0</v>
      </c>
      <c r="T436" s="9"/>
      <c r="U436" s="9" t="s">
        <v>1518</v>
      </c>
    </row>
    <row r="437" spans="9:21">
      <c r="I437" s="9" t="s">
        <v>1519</v>
      </c>
      <c r="J437" s="9" t="s">
        <v>1519</v>
      </c>
      <c r="K437" s="9">
        <v>1074</v>
      </c>
      <c r="L437" s="9"/>
      <c r="M437" s="9"/>
      <c r="N437" s="9" t="s">
        <v>400</v>
      </c>
      <c r="O437" s="9" t="s">
        <v>749</v>
      </c>
      <c r="P437" s="9" t="s">
        <v>859</v>
      </c>
      <c r="Q437" s="9"/>
      <c r="R437" s="9"/>
      <c r="S437" s="9" t="b">
        <v>0</v>
      </c>
      <c r="T437" s="9"/>
      <c r="U437" s="9" t="s">
        <v>1520</v>
      </c>
    </row>
    <row r="438" spans="9:21">
      <c r="I438" s="9" t="s">
        <v>1521</v>
      </c>
      <c r="J438" s="9" t="s">
        <v>1521</v>
      </c>
      <c r="K438" s="9">
        <v>1075</v>
      </c>
      <c r="L438" s="9"/>
      <c r="M438" s="9"/>
      <c r="N438" s="9" t="s">
        <v>410</v>
      </c>
      <c r="O438" s="9" t="s">
        <v>720</v>
      </c>
      <c r="P438" s="9" t="s">
        <v>1522</v>
      </c>
      <c r="Q438" s="9"/>
      <c r="R438" s="9"/>
      <c r="S438" s="9" t="b">
        <v>0</v>
      </c>
      <c r="T438" s="9"/>
      <c r="U438" s="9" t="s">
        <v>1523</v>
      </c>
    </row>
    <row r="439" spans="9:21">
      <c r="I439" s="9" t="s">
        <v>1524</v>
      </c>
      <c r="J439" s="9" t="s">
        <v>1524</v>
      </c>
      <c r="K439" s="9">
        <v>1076</v>
      </c>
      <c r="L439" s="9"/>
      <c r="M439" s="9"/>
      <c r="N439" s="9" t="s">
        <v>410</v>
      </c>
      <c r="O439" s="9" t="s">
        <v>689</v>
      </c>
      <c r="P439" s="9" t="s">
        <v>1525</v>
      </c>
      <c r="Q439" s="9"/>
      <c r="R439" s="9"/>
      <c r="S439" s="9" t="b">
        <v>0</v>
      </c>
      <c r="T439" s="9"/>
      <c r="U439" s="9"/>
    </row>
    <row r="440" spans="9:21">
      <c r="I440" s="9" t="s">
        <v>1526</v>
      </c>
      <c r="J440" s="9" t="s">
        <v>1526</v>
      </c>
      <c r="K440" s="9">
        <v>1077</v>
      </c>
      <c r="L440" s="9"/>
      <c r="M440" s="9"/>
      <c r="N440" s="9" t="s">
        <v>400</v>
      </c>
      <c r="O440" s="9" t="s">
        <v>720</v>
      </c>
      <c r="P440" s="9" t="s">
        <v>1527</v>
      </c>
      <c r="Q440" s="9"/>
      <c r="R440" s="9"/>
      <c r="S440" s="9" t="b">
        <v>0</v>
      </c>
      <c r="T440" s="9"/>
      <c r="U440" s="9" t="s">
        <v>1528</v>
      </c>
    </row>
    <row r="441" spans="9:21">
      <c r="I441" s="9" t="s">
        <v>1529</v>
      </c>
      <c r="J441" s="9" t="s">
        <v>1529</v>
      </c>
      <c r="K441" s="9">
        <v>1078</v>
      </c>
      <c r="L441" s="9"/>
      <c r="M441" s="9"/>
      <c r="N441" s="9" t="s">
        <v>400</v>
      </c>
      <c r="O441" s="9" t="s">
        <v>720</v>
      </c>
      <c r="P441" s="9" t="s">
        <v>1527</v>
      </c>
      <c r="Q441" s="9"/>
      <c r="R441" s="9"/>
      <c r="S441" s="9" t="b">
        <v>0</v>
      </c>
      <c r="T441" s="9"/>
      <c r="U441" s="9" t="s">
        <v>1528</v>
      </c>
    </row>
    <row r="442" spans="9:21">
      <c r="I442" s="9" t="s">
        <v>1530</v>
      </c>
      <c r="J442" s="9" t="s">
        <v>1530</v>
      </c>
      <c r="K442" s="9">
        <v>1079</v>
      </c>
      <c r="L442" s="9"/>
      <c r="M442" s="9"/>
      <c r="N442" s="9" t="s">
        <v>410</v>
      </c>
      <c r="O442" s="9" t="s">
        <v>720</v>
      </c>
      <c r="P442" s="9" t="s">
        <v>1531</v>
      </c>
      <c r="Q442" s="9"/>
      <c r="R442" s="9"/>
      <c r="S442" s="9" t="b">
        <v>0</v>
      </c>
      <c r="T442" s="9"/>
      <c r="U442" s="9"/>
    </row>
    <row r="443" spans="9:21">
      <c r="I443" s="9" t="s">
        <v>1532</v>
      </c>
      <c r="J443" s="9" t="s">
        <v>1532</v>
      </c>
      <c r="K443" s="9">
        <v>1080</v>
      </c>
      <c r="L443" s="9"/>
      <c r="M443" s="9"/>
      <c r="N443" s="9" t="s">
        <v>400</v>
      </c>
      <c r="O443" s="9" t="s">
        <v>720</v>
      </c>
      <c r="P443" s="9" t="s">
        <v>1533</v>
      </c>
      <c r="Q443" s="9"/>
      <c r="R443" s="9"/>
      <c r="S443" s="9" t="b">
        <v>0</v>
      </c>
      <c r="T443" s="9"/>
      <c r="U443" s="9" t="s">
        <v>1006</v>
      </c>
    </row>
    <row r="444" spans="9:21">
      <c r="I444" s="9" t="s">
        <v>1534</v>
      </c>
      <c r="J444" s="9" t="s">
        <v>1534</v>
      </c>
      <c r="K444" s="9">
        <v>1081</v>
      </c>
      <c r="L444" s="9"/>
      <c r="M444" s="9"/>
      <c r="N444" s="9" t="s">
        <v>410</v>
      </c>
      <c r="O444" s="9" t="s">
        <v>689</v>
      </c>
      <c r="P444" s="9" t="s">
        <v>1535</v>
      </c>
      <c r="Q444" s="9"/>
      <c r="R444" s="9"/>
      <c r="S444" s="9" t="b">
        <v>0</v>
      </c>
      <c r="T444" s="9"/>
      <c r="U444" s="9"/>
    </row>
    <row r="445" spans="9:21">
      <c r="I445" s="9" t="s">
        <v>1536</v>
      </c>
      <c r="J445" s="9" t="s">
        <v>1536</v>
      </c>
      <c r="K445" s="9">
        <v>1082</v>
      </c>
      <c r="L445" s="9"/>
      <c r="M445" s="9"/>
      <c r="N445" s="9" t="s">
        <v>410</v>
      </c>
      <c r="O445" s="9" t="s">
        <v>689</v>
      </c>
      <c r="P445" s="9" t="s">
        <v>1535</v>
      </c>
      <c r="Q445" s="9"/>
      <c r="R445" s="9"/>
      <c r="S445" s="9" t="b">
        <v>0</v>
      </c>
      <c r="T445" s="9"/>
      <c r="U445" s="9"/>
    </row>
    <row r="446" spans="9:21">
      <c r="I446" s="9" t="s">
        <v>1537</v>
      </c>
      <c r="J446" s="9" t="s">
        <v>1537</v>
      </c>
      <c r="K446" s="9">
        <v>1083</v>
      </c>
      <c r="L446" s="9"/>
      <c r="M446" s="9"/>
      <c r="N446" s="9" t="s">
        <v>410</v>
      </c>
      <c r="O446" s="9" t="s">
        <v>689</v>
      </c>
      <c r="P446" s="9" t="s">
        <v>1535</v>
      </c>
      <c r="Q446" s="9"/>
      <c r="R446" s="9"/>
      <c r="S446" s="9" t="b">
        <v>0</v>
      </c>
      <c r="T446" s="9"/>
      <c r="U446" s="9"/>
    </row>
    <row r="447" spans="9:21">
      <c r="I447" s="9" t="s">
        <v>1538</v>
      </c>
      <c r="J447" s="9" t="s">
        <v>1538</v>
      </c>
      <c r="K447" s="9">
        <v>1084</v>
      </c>
      <c r="L447" s="9"/>
      <c r="M447" s="9"/>
      <c r="N447" s="9" t="s">
        <v>410</v>
      </c>
      <c r="O447" s="9" t="s">
        <v>689</v>
      </c>
      <c r="P447" s="9" t="s">
        <v>1535</v>
      </c>
      <c r="Q447" s="9"/>
      <c r="R447" s="9"/>
      <c r="S447" s="9" t="b">
        <v>0</v>
      </c>
      <c r="T447" s="9"/>
      <c r="U447" s="9"/>
    </row>
    <row r="448" spans="9:21">
      <c r="I448" s="9" t="s">
        <v>1539</v>
      </c>
      <c r="J448" s="9" t="s">
        <v>1539</v>
      </c>
      <c r="K448" s="9">
        <v>1085</v>
      </c>
      <c r="L448" s="9"/>
      <c r="M448" s="9"/>
      <c r="N448" s="9" t="s">
        <v>400</v>
      </c>
      <c r="O448" s="9" t="s">
        <v>1075</v>
      </c>
      <c r="P448" s="9" t="s">
        <v>1540</v>
      </c>
      <c r="Q448" s="9"/>
      <c r="R448" s="9"/>
      <c r="S448" s="9" t="b">
        <v>0</v>
      </c>
      <c r="T448" s="9"/>
      <c r="U448" s="9"/>
    </row>
    <row r="449" spans="9:21">
      <c r="I449" s="9" t="s">
        <v>1541</v>
      </c>
      <c r="J449" s="9" t="s">
        <v>1541</v>
      </c>
      <c r="K449" s="9">
        <v>1086</v>
      </c>
      <c r="L449" s="9"/>
      <c r="M449" s="9"/>
      <c r="N449" s="9" t="s">
        <v>400</v>
      </c>
      <c r="O449" s="9" t="s">
        <v>689</v>
      </c>
      <c r="P449" s="9" t="s">
        <v>1540</v>
      </c>
      <c r="Q449" s="9"/>
      <c r="R449" s="9"/>
      <c r="S449" s="9" t="b">
        <v>0</v>
      </c>
      <c r="T449" s="9"/>
      <c r="U449" s="9"/>
    </row>
    <row r="450" spans="9:21">
      <c r="I450" s="9" t="s">
        <v>1542</v>
      </c>
      <c r="J450" s="9" t="s">
        <v>1542</v>
      </c>
      <c r="K450" s="9">
        <v>1087</v>
      </c>
      <c r="L450" s="9"/>
      <c r="M450" s="9"/>
      <c r="N450" s="9" t="s">
        <v>410</v>
      </c>
      <c r="O450" s="9" t="s">
        <v>724</v>
      </c>
      <c r="P450" s="9" t="s">
        <v>1543</v>
      </c>
      <c r="Q450" s="9"/>
      <c r="R450" s="9"/>
      <c r="S450" s="9" t="b">
        <v>0</v>
      </c>
      <c r="T450" s="9"/>
      <c r="U450" s="9"/>
    </row>
    <row r="451" spans="9:21">
      <c r="I451" s="9" t="s">
        <v>1544</v>
      </c>
      <c r="J451" s="9" t="s">
        <v>1544</v>
      </c>
      <c r="K451" s="9">
        <v>1088</v>
      </c>
      <c r="L451" s="9"/>
      <c r="M451" s="9"/>
      <c r="N451" s="9" t="s">
        <v>400</v>
      </c>
      <c r="O451" s="9" t="s">
        <v>724</v>
      </c>
      <c r="P451" s="9" t="s">
        <v>1543</v>
      </c>
      <c r="Q451" s="9"/>
      <c r="R451" s="9"/>
      <c r="S451" s="9" t="b">
        <v>0</v>
      </c>
      <c r="T451" s="9"/>
      <c r="U451" s="9"/>
    </row>
    <row r="452" spans="9:21">
      <c r="I452" s="9" t="s">
        <v>1545</v>
      </c>
      <c r="J452" s="9" t="s">
        <v>1545</v>
      </c>
      <c r="K452" s="9">
        <v>1089</v>
      </c>
      <c r="L452" s="9"/>
      <c r="M452" s="9"/>
      <c r="N452" s="9" t="s">
        <v>410</v>
      </c>
      <c r="O452" s="9" t="s">
        <v>724</v>
      </c>
      <c r="P452" s="9" t="s">
        <v>773</v>
      </c>
      <c r="Q452" s="9"/>
      <c r="R452" s="9"/>
      <c r="S452" s="9" t="b">
        <v>0</v>
      </c>
      <c r="T452" s="9"/>
      <c r="U452" s="9"/>
    </row>
    <row r="453" spans="9:21">
      <c r="I453" s="9" t="s">
        <v>1546</v>
      </c>
      <c r="J453" s="9" t="s">
        <v>1546</v>
      </c>
      <c r="K453" s="9">
        <v>1090</v>
      </c>
      <c r="L453" s="9"/>
      <c r="M453" s="9"/>
      <c r="N453" s="9" t="s">
        <v>400</v>
      </c>
      <c r="O453" s="9" t="s">
        <v>749</v>
      </c>
      <c r="P453" s="9" t="s">
        <v>1547</v>
      </c>
      <c r="Q453" s="9"/>
      <c r="R453" s="9"/>
      <c r="S453" s="9" t="b">
        <v>0</v>
      </c>
      <c r="T453" s="9"/>
      <c r="U453" s="9" t="s">
        <v>1423</v>
      </c>
    </row>
    <row r="454" spans="9:21">
      <c r="I454" s="9" t="s">
        <v>1548</v>
      </c>
      <c r="J454" s="9" t="s">
        <v>1548</v>
      </c>
      <c r="K454" s="9">
        <v>1091</v>
      </c>
      <c r="L454" s="9"/>
      <c r="M454" s="9"/>
      <c r="N454" s="9" t="s">
        <v>410</v>
      </c>
      <c r="O454" s="9" t="s">
        <v>724</v>
      </c>
      <c r="P454" s="9" t="s">
        <v>1549</v>
      </c>
      <c r="Q454" s="9"/>
      <c r="R454" s="9"/>
      <c r="S454" s="9" t="b">
        <v>0</v>
      </c>
      <c r="T454" s="9"/>
      <c r="U454" s="9"/>
    </row>
    <row r="455" spans="9:21">
      <c r="I455" s="9" t="s">
        <v>1550</v>
      </c>
      <c r="J455" s="9" t="s">
        <v>1550</v>
      </c>
      <c r="K455" s="9">
        <v>1125</v>
      </c>
      <c r="L455" s="9"/>
      <c r="M455" s="9"/>
      <c r="N455" s="9" t="s">
        <v>410</v>
      </c>
      <c r="O455" s="9" t="s">
        <v>720</v>
      </c>
      <c r="P455" s="9" t="s">
        <v>1551</v>
      </c>
      <c r="Q455" s="9"/>
      <c r="R455" s="9"/>
      <c r="S455" s="9" t="b">
        <v>0</v>
      </c>
      <c r="T455" s="9"/>
      <c r="U455" s="9"/>
    </row>
    <row r="456" spans="9:21">
      <c r="I456" s="9" t="s">
        <v>1552</v>
      </c>
      <c r="J456" s="9" t="s">
        <v>1550</v>
      </c>
      <c r="K456" s="9">
        <v>1125</v>
      </c>
      <c r="L456" s="9"/>
      <c r="M456" s="9"/>
      <c r="N456" s="9" t="s">
        <v>410</v>
      </c>
      <c r="O456" s="9" t="s">
        <v>720</v>
      </c>
      <c r="P456" s="9" t="s">
        <v>757</v>
      </c>
      <c r="Q456" s="9"/>
      <c r="R456" s="9"/>
      <c r="S456" s="9" t="b">
        <v>0</v>
      </c>
      <c r="T456" s="9"/>
      <c r="U456" s="9"/>
    </row>
    <row r="457" spans="9:21">
      <c r="I457" s="9" t="s">
        <v>248</v>
      </c>
      <c r="J457" s="9" t="s">
        <v>248</v>
      </c>
      <c r="K457" s="9">
        <v>1126</v>
      </c>
      <c r="L457" s="9"/>
      <c r="M457" s="9"/>
      <c r="N457" s="9" t="s">
        <v>410</v>
      </c>
      <c r="O457" s="9" t="s">
        <v>1234</v>
      </c>
      <c r="P457" s="9" t="s">
        <v>1235</v>
      </c>
      <c r="Q457" s="9"/>
      <c r="R457" s="9"/>
      <c r="S457" s="9" t="b">
        <v>0</v>
      </c>
      <c r="T457" s="9"/>
      <c r="U457" s="9" t="s">
        <v>248</v>
      </c>
    </row>
    <row r="458" spans="9:21">
      <c r="I458" s="9"/>
      <c r="J458" s="9" t="s">
        <v>1553</v>
      </c>
      <c r="K458" s="9">
        <v>756</v>
      </c>
      <c r="L458" s="9"/>
      <c r="M458" s="9"/>
      <c r="N458" s="9"/>
      <c r="O458" s="9"/>
      <c r="P458" s="9"/>
      <c r="Q458" s="9"/>
      <c r="R458" s="9"/>
      <c r="S458" s="9"/>
      <c r="T458" s="9"/>
      <c r="U458" s="9"/>
    </row>
    <row r="459" spans="9:21">
      <c r="I459" s="9"/>
      <c r="J459" s="9" t="s">
        <v>1554</v>
      </c>
      <c r="K459" s="9">
        <v>908</v>
      </c>
      <c r="L459" s="9"/>
      <c r="M459" s="9"/>
      <c r="N459" s="9"/>
      <c r="O459" s="9"/>
      <c r="P459" s="9"/>
      <c r="Q459" s="9"/>
      <c r="R459" s="9"/>
      <c r="S459" s="9"/>
      <c r="T459" s="9"/>
      <c r="U459" s="9"/>
    </row>
    <row r="460" spans="9:21">
      <c r="I460" s="9"/>
      <c r="J460" s="9" t="s">
        <v>1555</v>
      </c>
      <c r="K460" s="9">
        <v>1011</v>
      </c>
      <c r="L460" s="9"/>
      <c r="M460" s="9"/>
      <c r="N460" s="9"/>
      <c r="O460" s="9"/>
      <c r="P460" s="9"/>
      <c r="Q460" s="9"/>
      <c r="R460" s="9"/>
      <c r="S460" s="9"/>
      <c r="T460" s="9"/>
      <c r="U460" s="9"/>
    </row>
    <row r="461" spans="9:21">
      <c r="I461" s="9"/>
      <c r="J461" s="9" t="s">
        <v>1556</v>
      </c>
      <c r="K461" s="9">
        <v>816</v>
      </c>
      <c r="L461" s="9"/>
      <c r="M461" s="9"/>
      <c r="N461" s="9"/>
      <c r="O461" s="9"/>
      <c r="P461" s="9"/>
      <c r="Q461" s="9"/>
      <c r="R461" s="9"/>
      <c r="S461" s="9"/>
      <c r="T461" s="9"/>
      <c r="U461" s="9"/>
    </row>
    <row r="462" spans="9:21">
      <c r="I462" s="9"/>
      <c r="J462" s="9" t="s">
        <v>1557</v>
      </c>
      <c r="K462" s="9">
        <v>773</v>
      </c>
      <c r="L462" s="9"/>
      <c r="M462" s="9"/>
      <c r="N462" s="9"/>
      <c r="O462" s="9"/>
      <c r="P462" s="9"/>
      <c r="Q462" s="9"/>
      <c r="R462" s="9"/>
      <c r="S462" s="9"/>
      <c r="T462" s="9"/>
      <c r="U462" s="9"/>
    </row>
    <row r="463" spans="9:21">
      <c r="I463" s="9"/>
      <c r="J463" s="9" t="s">
        <v>1558</v>
      </c>
      <c r="K463" s="9">
        <v>805</v>
      </c>
      <c r="L463" s="9"/>
      <c r="M463" s="9"/>
      <c r="N463" s="9"/>
      <c r="O463" s="9"/>
      <c r="P463" s="9"/>
      <c r="Q463" s="9"/>
      <c r="R463" s="9"/>
      <c r="S463" s="9"/>
      <c r="T463" s="9"/>
      <c r="U463" s="9"/>
    </row>
    <row r="464" spans="9:21">
      <c r="I464" s="9"/>
      <c r="J464" s="9" t="s">
        <v>1559</v>
      </c>
      <c r="K464" s="9">
        <v>1014</v>
      </c>
      <c r="L464" s="9"/>
      <c r="M464" s="9"/>
      <c r="N464" s="9"/>
      <c r="O464" s="9"/>
      <c r="P464" s="9"/>
      <c r="Q464" s="9"/>
      <c r="R464" s="9"/>
      <c r="S464" s="9"/>
      <c r="T464" s="9"/>
      <c r="U464" s="9"/>
    </row>
    <row r="465" spans="9:21">
      <c r="I465" s="9"/>
      <c r="J465" s="9" t="s">
        <v>1560</v>
      </c>
      <c r="K465" s="9">
        <v>959</v>
      </c>
      <c r="L465" s="9"/>
      <c r="M465" s="9"/>
      <c r="N465" s="9"/>
      <c r="O465" s="9"/>
      <c r="P465" s="9"/>
      <c r="Q465" s="9"/>
      <c r="R465" s="9"/>
      <c r="S465" s="9"/>
      <c r="T465" s="9"/>
      <c r="U465" s="9"/>
    </row>
    <row r="466" spans="9:21">
      <c r="I466" s="9"/>
      <c r="J466" s="9" t="s">
        <v>1561</v>
      </c>
      <c r="K466" s="9">
        <v>26</v>
      </c>
      <c r="L466" s="9"/>
      <c r="M466" s="9"/>
      <c r="N466" s="9"/>
      <c r="O466" s="9"/>
      <c r="P466" s="9"/>
      <c r="Q466" s="9"/>
      <c r="R466" s="9"/>
      <c r="S466" s="9"/>
      <c r="T466" s="9"/>
      <c r="U466" s="9"/>
    </row>
    <row r="467" spans="9:21">
      <c r="I467" s="9"/>
      <c r="J467" s="9" t="s">
        <v>1562</v>
      </c>
      <c r="K467" s="9">
        <v>770</v>
      </c>
      <c r="L467" s="9"/>
      <c r="M467" s="9"/>
      <c r="N467" s="9"/>
      <c r="O467" s="9"/>
      <c r="P467" s="9"/>
      <c r="Q467" s="9"/>
      <c r="R467" s="9"/>
      <c r="S467" s="9"/>
      <c r="T467" s="9"/>
      <c r="U467" s="9"/>
    </row>
    <row r="468" spans="9:21">
      <c r="I468" s="9"/>
      <c r="J468" s="9" t="s">
        <v>1563</v>
      </c>
      <c r="K468" s="9">
        <v>839</v>
      </c>
      <c r="L468" s="9"/>
      <c r="M468" s="9"/>
      <c r="N468" s="9"/>
      <c r="O468" s="9"/>
      <c r="P468" s="9"/>
      <c r="Q468" s="9"/>
      <c r="R468" s="9"/>
      <c r="S468" s="9"/>
      <c r="T468" s="9"/>
      <c r="U468" s="9"/>
    </row>
    <row r="469" spans="9:21">
      <c r="I469" s="9"/>
      <c r="J469" s="9" t="s">
        <v>1564</v>
      </c>
      <c r="K469" s="9">
        <v>808</v>
      </c>
      <c r="L469" s="9"/>
      <c r="M469" s="9"/>
      <c r="N469" s="9"/>
      <c r="O469" s="9"/>
      <c r="P469" s="9"/>
      <c r="Q469" s="9"/>
      <c r="R469" s="9"/>
      <c r="S469" s="9"/>
      <c r="T469" s="9"/>
      <c r="U469" s="9"/>
    </row>
    <row r="470" spans="9:21">
      <c r="I470" s="9"/>
      <c r="J470" s="9" t="s">
        <v>1565</v>
      </c>
      <c r="K470" s="9">
        <v>831</v>
      </c>
      <c r="L470" s="9"/>
      <c r="M470" s="9"/>
      <c r="N470" s="9"/>
      <c r="O470" s="9"/>
      <c r="P470" s="9"/>
      <c r="Q470" s="9"/>
      <c r="R470" s="9"/>
      <c r="S470" s="9"/>
      <c r="T470" s="9"/>
      <c r="U470" s="9"/>
    </row>
    <row r="471" spans="9:21">
      <c r="I471" s="9"/>
      <c r="J471" s="9" t="s">
        <v>1566</v>
      </c>
      <c r="K471" s="9">
        <v>860</v>
      </c>
      <c r="L471" s="9"/>
      <c r="M471" s="9"/>
      <c r="N471" s="9"/>
      <c r="O471" s="9"/>
      <c r="P471" s="9"/>
      <c r="Q471" s="9"/>
      <c r="R471" s="9"/>
      <c r="S471" s="9"/>
      <c r="T471" s="9"/>
      <c r="U471" s="9"/>
    </row>
    <row r="472" spans="9:21">
      <c r="I472" s="9"/>
      <c r="J472" s="9" t="s">
        <v>1567</v>
      </c>
      <c r="K472" s="9">
        <v>960</v>
      </c>
      <c r="L472" s="9"/>
      <c r="M472" s="9"/>
      <c r="N472" s="9"/>
      <c r="O472" s="9"/>
      <c r="P472" s="9"/>
      <c r="Q472" s="9"/>
      <c r="R472" s="9"/>
      <c r="S472" s="9"/>
      <c r="T472" s="9"/>
      <c r="U472" s="9"/>
    </row>
    <row r="473" spans="9:21">
      <c r="I473" s="9"/>
      <c r="J473" s="9" t="s">
        <v>1568</v>
      </c>
      <c r="K473" s="9">
        <v>891</v>
      </c>
      <c r="L473" s="9"/>
      <c r="M473" s="9"/>
      <c r="N473" s="9"/>
      <c r="O473" s="9"/>
      <c r="P473" s="9"/>
      <c r="Q473" s="9"/>
      <c r="R473" s="9"/>
      <c r="S473" s="9"/>
      <c r="T473" s="9"/>
      <c r="U473" s="9"/>
    </row>
    <row r="474" spans="9:21">
      <c r="I474" s="9"/>
      <c r="J474" s="9" t="s">
        <v>1569</v>
      </c>
      <c r="K474" s="9">
        <v>1</v>
      </c>
      <c r="L474" s="9"/>
      <c r="M474" s="9"/>
      <c r="N474" s="9"/>
      <c r="O474" s="9"/>
      <c r="P474" s="9"/>
      <c r="Q474" s="9"/>
      <c r="R474" s="9"/>
      <c r="S474" s="9"/>
      <c r="T474" s="9"/>
      <c r="U474" s="9"/>
    </row>
    <row r="475" spans="9:21">
      <c r="I475" s="9"/>
      <c r="J475" s="9" t="s">
        <v>1570</v>
      </c>
      <c r="K475" s="9">
        <v>24</v>
      </c>
      <c r="L475" s="9"/>
      <c r="M475" s="9"/>
      <c r="N475" s="9"/>
      <c r="O475" s="9"/>
      <c r="P475" s="9"/>
      <c r="Q475" s="9"/>
      <c r="R475" s="9"/>
      <c r="S475" s="9"/>
      <c r="T475" s="9"/>
      <c r="U475" s="9"/>
    </row>
    <row r="476" spans="9:21">
      <c r="I476" s="9"/>
      <c r="J476" s="9" t="s">
        <v>1571</v>
      </c>
      <c r="K476" s="9">
        <v>903</v>
      </c>
      <c r="L476" s="9"/>
      <c r="M476" s="9"/>
      <c r="N476" s="9"/>
      <c r="O476" s="9"/>
      <c r="P476" s="9"/>
      <c r="Q476" s="9"/>
      <c r="R476" s="9"/>
      <c r="S476" s="9"/>
      <c r="T476" s="9"/>
      <c r="U476" s="9"/>
    </row>
    <row r="477" spans="9:21">
      <c r="I477" s="9"/>
      <c r="J477" s="9" t="s">
        <v>1572</v>
      </c>
      <c r="K477" s="9">
        <v>18</v>
      </c>
      <c r="L477" s="9"/>
      <c r="M477" s="9"/>
      <c r="N477" s="9"/>
      <c r="O477" s="9"/>
      <c r="P477" s="9"/>
      <c r="Q477" s="9"/>
      <c r="R477" s="9"/>
      <c r="S477" s="9"/>
      <c r="T477" s="9"/>
      <c r="U477" s="9"/>
    </row>
    <row r="478" spans="9:21">
      <c r="I478" s="9"/>
      <c r="J478" s="9" t="s">
        <v>1573</v>
      </c>
      <c r="K478" s="9">
        <v>30</v>
      </c>
      <c r="L478" s="9"/>
      <c r="M478" s="9"/>
      <c r="N478" s="9"/>
      <c r="O478" s="9"/>
      <c r="P478" s="9"/>
      <c r="Q478" s="9"/>
      <c r="R478" s="9"/>
      <c r="S478" s="9"/>
      <c r="T478" s="9"/>
      <c r="U478" s="9"/>
    </row>
    <row r="479" spans="9:21">
      <c r="I479" s="9"/>
      <c r="J479" s="9" t="s">
        <v>1574</v>
      </c>
      <c r="K479" s="9">
        <v>863</v>
      </c>
      <c r="L479" s="9"/>
      <c r="M479" s="9"/>
      <c r="N479" s="9"/>
      <c r="O479" s="9"/>
      <c r="P479" s="9"/>
      <c r="Q479" s="9"/>
      <c r="R479" s="9"/>
      <c r="S479" s="9"/>
      <c r="T479" s="9"/>
      <c r="U479" s="9"/>
    </row>
    <row r="480" spans="9:21">
      <c r="I480" s="9"/>
      <c r="J480" s="9" t="s">
        <v>1575</v>
      </c>
      <c r="K480" s="9">
        <v>957</v>
      </c>
      <c r="L480" s="9"/>
      <c r="M480" s="9"/>
      <c r="N480" s="9"/>
      <c r="O480" s="9"/>
      <c r="P480" s="9"/>
      <c r="Q480" s="9"/>
      <c r="R480" s="9"/>
      <c r="S480" s="9"/>
      <c r="T480" s="9"/>
      <c r="U480" s="9"/>
    </row>
    <row r="481" spans="9:21">
      <c r="I481" s="9"/>
      <c r="J481" s="9" t="s">
        <v>1576</v>
      </c>
      <c r="K481" s="9">
        <v>665</v>
      </c>
      <c r="L481" s="9"/>
      <c r="M481" s="9"/>
      <c r="N481" s="9"/>
      <c r="O481" s="9"/>
      <c r="P481" s="9"/>
      <c r="Q481" s="9"/>
      <c r="R481" s="9"/>
      <c r="S481" s="9"/>
      <c r="T481" s="9"/>
      <c r="U481" s="9"/>
    </row>
    <row r="482" spans="9:21">
      <c r="I482" s="9"/>
      <c r="J482" s="9" t="s">
        <v>1577</v>
      </c>
      <c r="K482" s="9">
        <v>817</v>
      </c>
      <c r="L482" s="9"/>
      <c r="M482" s="9"/>
      <c r="N482" s="9"/>
      <c r="O482" s="9"/>
      <c r="P482" s="9"/>
      <c r="Q482" s="9"/>
      <c r="R482" s="9"/>
      <c r="S482" s="9"/>
      <c r="T482" s="9"/>
      <c r="U482" s="9"/>
    </row>
    <row r="483" spans="9:21">
      <c r="I483" s="9"/>
      <c r="J483" s="9" t="s">
        <v>1578</v>
      </c>
      <c r="K483" s="9">
        <v>794</v>
      </c>
      <c r="L483" s="9"/>
      <c r="M483" s="9"/>
      <c r="N483" s="9"/>
      <c r="O483" s="9"/>
      <c r="P483" s="9"/>
      <c r="Q483" s="9"/>
      <c r="R483" s="9"/>
      <c r="S483" s="9"/>
      <c r="T483" s="9"/>
      <c r="U483" s="9"/>
    </row>
    <row r="484" spans="9:21">
      <c r="I484" s="9"/>
      <c r="J484" s="9" t="s">
        <v>1579</v>
      </c>
      <c r="K484" s="9">
        <v>774</v>
      </c>
      <c r="L484" s="9"/>
      <c r="M484" s="9"/>
      <c r="N484" s="9"/>
      <c r="O484" s="9"/>
      <c r="P484" s="9"/>
      <c r="Q484" s="9"/>
      <c r="R484" s="9"/>
      <c r="S484" s="9"/>
      <c r="T484" s="9"/>
      <c r="U484" s="9"/>
    </row>
    <row r="485" spans="9:21">
      <c r="I485" s="9"/>
      <c r="J485" s="9" t="s">
        <v>1580</v>
      </c>
      <c r="K485" s="9">
        <v>800</v>
      </c>
      <c r="L485" s="9"/>
      <c r="M485" s="9"/>
      <c r="N485" s="9"/>
      <c r="O485" s="9"/>
      <c r="P485" s="9"/>
      <c r="Q485" s="9"/>
      <c r="R485" s="9"/>
      <c r="S485" s="9"/>
      <c r="T485" s="9"/>
      <c r="U485" s="9"/>
    </row>
    <row r="486" spans="9:21">
      <c r="I486" s="9"/>
      <c r="J486" s="9" t="s">
        <v>1581</v>
      </c>
      <c r="K486" s="9">
        <v>806</v>
      </c>
      <c r="L486" s="9"/>
      <c r="M486" s="9"/>
      <c r="N486" s="9"/>
      <c r="O486" s="9"/>
      <c r="P486" s="9"/>
      <c r="Q486" s="9"/>
      <c r="R486" s="9"/>
      <c r="S486" s="9"/>
      <c r="T486" s="9"/>
      <c r="U486" s="9"/>
    </row>
    <row r="487" spans="9:21">
      <c r="I487" s="9"/>
      <c r="J487" s="9" t="s">
        <v>1582</v>
      </c>
      <c r="K487" s="9">
        <v>998</v>
      </c>
      <c r="L487" s="9"/>
      <c r="M487" s="9"/>
      <c r="N487" s="9"/>
      <c r="O487" s="9"/>
      <c r="P487" s="9"/>
      <c r="Q487" s="9"/>
      <c r="R487" s="9"/>
      <c r="S487" s="9"/>
      <c r="T487" s="9"/>
      <c r="U487" s="9"/>
    </row>
    <row r="488" spans="9:21">
      <c r="I488" s="9"/>
      <c r="J488" s="9" t="s">
        <v>1583</v>
      </c>
      <c r="K488" s="9">
        <v>906</v>
      </c>
      <c r="L488" s="9"/>
      <c r="M488" s="9"/>
      <c r="N488" s="9"/>
      <c r="O488" s="9"/>
      <c r="P488" s="9"/>
      <c r="Q488" s="9"/>
      <c r="R488" s="9"/>
      <c r="S488" s="9"/>
      <c r="T488" s="9"/>
      <c r="U488" s="9"/>
    </row>
    <row r="489" spans="9:21">
      <c r="I489" s="9"/>
      <c r="J489" s="9" t="s">
        <v>1584</v>
      </c>
      <c r="K489" s="9">
        <v>19</v>
      </c>
      <c r="L489" s="9"/>
      <c r="M489" s="9"/>
      <c r="N489" s="9"/>
      <c r="O489" s="9"/>
      <c r="P489" s="9"/>
      <c r="Q489" s="9"/>
      <c r="R489" s="9"/>
      <c r="S489" s="9"/>
      <c r="T489" s="9"/>
      <c r="U489" s="9"/>
    </row>
    <row r="490" spans="9:21">
      <c r="I490" s="9"/>
      <c r="J490" s="9" t="s">
        <v>1585</v>
      </c>
      <c r="K490" s="9">
        <v>889</v>
      </c>
      <c r="L490" s="9"/>
      <c r="M490" s="9"/>
      <c r="N490" s="9"/>
      <c r="O490" s="9"/>
      <c r="P490" s="9"/>
      <c r="Q490" s="9"/>
      <c r="R490" s="9"/>
      <c r="S490" s="9"/>
      <c r="T490" s="9"/>
      <c r="U490" s="9"/>
    </row>
    <row r="491" spans="9:21">
      <c r="I491" s="9"/>
      <c r="J491" s="9" t="s">
        <v>1586</v>
      </c>
      <c r="K491" s="9">
        <v>769</v>
      </c>
      <c r="L491" s="9"/>
      <c r="M491" s="9"/>
      <c r="N491" s="9"/>
      <c r="O491" s="9"/>
      <c r="P491" s="9"/>
      <c r="Q491" s="9"/>
      <c r="R491" s="9"/>
      <c r="S491" s="9"/>
      <c r="T491" s="9"/>
      <c r="U491" s="9"/>
    </row>
    <row r="492" spans="9:21">
      <c r="I492" s="9"/>
      <c r="J492" s="9" t="s">
        <v>1587</v>
      </c>
      <c r="K492" s="9">
        <v>13</v>
      </c>
      <c r="L492" s="9"/>
      <c r="M492" s="9"/>
      <c r="N492" s="9"/>
      <c r="O492" s="9"/>
      <c r="P492" s="9"/>
      <c r="Q492" s="9"/>
      <c r="R492" s="9"/>
      <c r="S492" s="9"/>
      <c r="T492" s="9"/>
      <c r="U492" s="9"/>
    </row>
    <row r="493" spans="9:21">
      <c r="I493" s="9"/>
      <c r="J493" s="9" t="s">
        <v>1588</v>
      </c>
      <c r="K493" s="9">
        <v>775</v>
      </c>
      <c r="L493" s="9"/>
      <c r="M493" s="9"/>
      <c r="N493" s="9"/>
      <c r="O493" s="9"/>
      <c r="P493" s="9"/>
      <c r="Q493" s="9"/>
      <c r="R493" s="9"/>
      <c r="S493" s="9"/>
      <c r="T493" s="9"/>
      <c r="U493" s="9"/>
    </row>
    <row r="494" spans="9:21">
      <c r="I494" s="9"/>
      <c r="J494" s="9" t="s">
        <v>1589</v>
      </c>
      <c r="K494" s="9">
        <v>832</v>
      </c>
      <c r="L494" s="9"/>
      <c r="M494" s="9"/>
      <c r="N494" s="9"/>
      <c r="O494" s="9"/>
      <c r="P494" s="9"/>
      <c r="Q494" s="9"/>
      <c r="R494" s="9"/>
      <c r="S494" s="9"/>
      <c r="T494" s="9"/>
      <c r="U494" s="9"/>
    </row>
    <row r="495" spans="9:21">
      <c r="I495" s="9"/>
      <c r="J495" s="9" t="s">
        <v>1590</v>
      </c>
      <c r="K495" s="9">
        <v>803</v>
      </c>
      <c r="L495" s="9"/>
      <c r="M495" s="9"/>
      <c r="N495" s="9"/>
      <c r="O495" s="9"/>
      <c r="P495" s="9"/>
      <c r="Q495" s="9"/>
      <c r="R495" s="9"/>
      <c r="S495" s="9"/>
      <c r="T495" s="9"/>
      <c r="U495" s="9"/>
    </row>
    <row r="496" spans="9:21">
      <c r="I496" s="9"/>
      <c r="J496" s="9" t="s">
        <v>1591</v>
      </c>
      <c r="K496" s="9">
        <v>809</v>
      </c>
      <c r="L496" s="9"/>
      <c r="M496" s="9"/>
      <c r="N496" s="9"/>
      <c r="O496" s="9"/>
      <c r="P496" s="9"/>
      <c r="Q496" s="9"/>
      <c r="R496" s="9"/>
      <c r="S496" s="9"/>
      <c r="T496" s="9"/>
      <c r="U496" s="9"/>
    </row>
    <row r="497" spans="9:21">
      <c r="I497" s="9"/>
      <c r="J497" s="9" t="s">
        <v>1592</v>
      </c>
      <c r="K497" s="9">
        <v>815</v>
      </c>
      <c r="L497" s="9"/>
      <c r="M497" s="9"/>
      <c r="N497" s="9"/>
      <c r="O497" s="9"/>
      <c r="P497" s="9"/>
      <c r="Q497" s="9"/>
      <c r="R497" s="9"/>
      <c r="S497" s="9"/>
      <c r="T497" s="9"/>
      <c r="U497" s="9"/>
    </row>
    <row r="498" spans="9:21">
      <c r="I498" s="9"/>
      <c r="J498" s="9" t="s">
        <v>1593</v>
      </c>
      <c r="K498" s="9">
        <v>909</v>
      </c>
      <c r="L498" s="9"/>
      <c r="M498" s="9"/>
      <c r="N498" s="9"/>
      <c r="O498" s="9"/>
      <c r="P498" s="9"/>
      <c r="Q498" s="9"/>
      <c r="R498" s="9"/>
      <c r="S498" s="9"/>
      <c r="T498" s="9"/>
      <c r="U498" s="9"/>
    </row>
    <row r="499" spans="9:21">
      <c r="I499" s="9"/>
      <c r="J499" s="9" t="s">
        <v>1594</v>
      </c>
      <c r="K499" s="9">
        <v>786</v>
      </c>
      <c r="L499" s="9"/>
      <c r="M499" s="9"/>
      <c r="N499" s="9"/>
      <c r="O499" s="9"/>
      <c r="P499" s="9"/>
      <c r="Q499" s="9"/>
      <c r="R499" s="9"/>
      <c r="S499" s="9"/>
      <c r="T499" s="9"/>
      <c r="U499" s="9"/>
    </row>
    <row r="500" spans="9:21">
      <c r="I500" s="9"/>
      <c r="J500" s="9" t="s">
        <v>1595</v>
      </c>
      <c r="K500" s="9">
        <v>804</v>
      </c>
      <c r="L500" s="9"/>
      <c r="M500" s="9"/>
      <c r="N500" s="9"/>
      <c r="O500" s="9"/>
      <c r="P500" s="9"/>
      <c r="Q500" s="9"/>
      <c r="R500" s="9"/>
      <c r="S500" s="9"/>
      <c r="T500" s="9"/>
      <c r="U500" s="9"/>
    </row>
    <row r="501" spans="9:21">
      <c r="I501" s="9"/>
      <c r="J501" s="9" t="s">
        <v>1596</v>
      </c>
      <c r="K501" s="9">
        <v>827</v>
      </c>
      <c r="L501" s="9"/>
      <c r="M501" s="9"/>
      <c r="N501" s="9"/>
      <c r="O501" s="9"/>
      <c r="P501" s="9"/>
      <c r="Q501" s="9"/>
      <c r="R501" s="9"/>
      <c r="S501" s="9"/>
      <c r="T501" s="9"/>
      <c r="U501" s="9"/>
    </row>
    <row r="502" spans="9:21">
      <c r="I502" s="9"/>
      <c r="J502" s="9" t="s">
        <v>1597</v>
      </c>
      <c r="K502" s="9">
        <v>1019</v>
      </c>
      <c r="L502" s="9"/>
      <c r="M502" s="9"/>
      <c r="N502" s="9"/>
      <c r="O502" s="9"/>
      <c r="P502" s="9"/>
      <c r="Q502" s="9"/>
      <c r="R502" s="9"/>
      <c r="S502" s="9"/>
      <c r="T502" s="9"/>
      <c r="U502" s="9"/>
    </row>
    <row r="503" spans="9:21">
      <c r="I503" s="9"/>
      <c r="J503" s="9" t="s">
        <v>1598</v>
      </c>
      <c r="K503" s="9">
        <v>1013</v>
      </c>
      <c r="L503" s="9"/>
      <c r="M503" s="9"/>
      <c r="N503" s="9"/>
      <c r="O503" s="9"/>
      <c r="P503" s="9"/>
      <c r="Q503" s="9"/>
      <c r="R503" s="9"/>
      <c r="S503" s="9"/>
      <c r="T503" s="9"/>
      <c r="U503" s="9"/>
    </row>
    <row r="504" spans="9:21">
      <c r="I504" s="9"/>
      <c r="J504" s="9" t="s">
        <v>1599</v>
      </c>
      <c r="K504" s="9">
        <v>31</v>
      </c>
      <c r="L504" s="9"/>
      <c r="M504" s="9"/>
      <c r="N504" s="9"/>
      <c r="O504" s="9"/>
      <c r="P504" s="9"/>
      <c r="Q504" s="9"/>
      <c r="R504" s="9"/>
      <c r="S504" s="9"/>
      <c r="T504" s="9"/>
      <c r="U504" s="9"/>
    </row>
    <row r="505" spans="9:21">
      <c r="I505" s="9"/>
      <c r="J505" s="9" t="s">
        <v>1600</v>
      </c>
      <c r="K505" s="9">
        <v>818</v>
      </c>
      <c r="L505" s="9"/>
      <c r="M505" s="9"/>
      <c r="N505" s="9"/>
      <c r="O505" s="9"/>
      <c r="P505" s="9"/>
      <c r="Q505" s="9"/>
      <c r="R505" s="9"/>
      <c r="S505" s="9"/>
      <c r="T505" s="9"/>
      <c r="U505" s="9"/>
    </row>
    <row r="506" spans="9:21">
      <c r="I506" s="9"/>
      <c r="J506" s="9" t="s">
        <v>1601</v>
      </c>
      <c r="K506" s="9">
        <v>881</v>
      </c>
      <c r="L506" s="9"/>
      <c r="M506" s="9"/>
      <c r="N506" s="9"/>
      <c r="O506" s="9"/>
      <c r="P506" s="9"/>
      <c r="Q506" s="9"/>
      <c r="R506" s="9"/>
      <c r="S506" s="9"/>
      <c r="T506" s="9"/>
      <c r="U506" s="9"/>
    </row>
    <row r="507" spans="9:21">
      <c r="I507" s="9"/>
      <c r="J507" s="9" t="s">
        <v>1602</v>
      </c>
      <c r="K507" s="9">
        <v>936</v>
      </c>
      <c r="L507" s="9"/>
      <c r="M507" s="9"/>
      <c r="N507" s="9"/>
      <c r="O507" s="9"/>
      <c r="P507" s="9"/>
      <c r="Q507" s="9"/>
      <c r="R507" s="9"/>
      <c r="S507" s="9"/>
      <c r="T507" s="9"/>
      <c r="U507" s="9"/>
    </row>
    <row r="508" spans="9:21">
      <c r="I508" s="9"/>
      <c r="J508" s="9" t="s">
        <v>1603</v>
      </c>
      <c r="K508" s="9">
        <v>807</v>
      </c>
      <c r="L508" s="9"/>
      <c r="M508" s="9"/>
      <c r="N508" s="9"/>
      <c r="O508" s="9"/>
      <c r="P508" s="9"/>
      <c r="Q508" s="9"/>
      <c r="R508" s="9"/>
      <c r="S508" s="9"/>
      <c r="T508" s="9"/>
      <c r="U508" s="9"/>
    </row>
    <row r="509" spans="9:21">
      <c r="I509" s="9"/>
      <c r="J509" s="9" t="s">
        <v>1604</v>
      </c>
      <c r="K509" s="9">
        <v>907</v>
      </c>
      <c r="L509" s="9"/>
      <c r="M509" s="9"/>
      <c r="N509" s="9"/>
      <c r="O509" s="9"/>
      <c r="P509" s="9"/>
      <c r="Q509" s="9"/>
      <c r="R509" s="9"/>
      <c r="S509" s="9"/>
      <c r="T509" s="9"/>
      <c r="U509" s="9"/>
    </row>
    <row r="510" spans="9:21">
      <c r="I510" s="9"/>
      <c r="J510" s="9" t="s">
        <v>1605</v>
      </c>
      <c r="K510" s="9">
        <v>755</v>
      </c>
      <c r="L510" s="9"/>
      <c r="M510" s="9"/>
      <c r="N510" s="9"/>
      <c r="O510" s="9"/>
      <c r="P510" s="9"/>
      <c r="Q510" s="9"/>
      <c r="R510" s="9"/>
      <c r="S510" s="9"/>
      <c r="T510" s="9"/>
      <c r="U510" s="9"/>
    </row>
    <row r="511" spans="9:21">
      <c r="I511" s="9"/>
      <c r="J511" s="9" t="s">
        <v>1606</v>
      </c>
      <c r="K511" s="9">
        <v>861</v>
      </c>
      <c r="L511" s="9"/>
      <c r="M511" s="9"/>
      <c r="N511" s="9"/>
      <c r="O511" s="9"/>
      <c r="P511" s="9"/>
      <c r="Q511" s="9"/>
      <c r="R511" s="9"/>
      <c r="S511" s="9"/>
      <c r="T511" s="9"/>
      <c r="U511" s="9"/>
    </row>
    <row r="512" spans="9:21">
      <c r="I512" s="9"/>
      <c r="J512" s="9" t="s">
        <v>1607</v>
      </c>
      <c r="K512" s="9">
        <v>798</v>
      </c>
      <c r="L512" s="9"/>
      <c r="M512" s="9"/>
      <c r="N512" s="9"/>
      <c r="O512" s="9"/>
      <c r="P512" s="9"/>
      <c r="Q512" s="9"/>
      <c r="R512" s="9"/>
      <c r="S512" s="9"/>
      <c r="T512" s="9"/>
      <c r="U512" s="9"/>
    </row>
    <row r="513" spans="9:21">
      <c r="I513" s="9"/>
      <c r="J513" s="9" t="s">
        <v>1608</v>
      </c>
      <c r="K513" s="9">
        <v>14</v>
      </c>
      <c r="L513" s="9"/>
      <c r="M513" s="9"/>
      <c r="N513" s="9"/>
      <c r="O513" s="9"/>
      <c r="P513" s="9"/>
      <c r="Q513" s="9"/>
      <c r="R513" s="9"/>
      <c r="S513" s="9"/>
      <c r="T513" s="9"/>
      <c r="U513" s="9"/>
    </row>
  </sheetData>
  <mergeCells count="6">
    <mergeCell ref="AP3:AR3"/>
    <mergeCell ref="B3:C3"/>
    <mergeCell ref="E3:G3"/>
    <mergeCell ref="I3:N3"/>
    <mergeCell ref="X3:AC3"/>
    <mergeCell ref="AE3:AN3"/>
  </mergeCells>
  <pageMargins left="0.7" right="0.7" top="0.75" bottom="0.75" header="0.3" footer="0.3"/>
  <pageSetup paperSize="9"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anceSummary">
    <tabColor theme="6" tint="0.39997558519241921"/>
  </sheetPr>
  <dimension ref="B1:O138"/>
  <sheetViews>
    <sheetView showGridLines="0" zoomScale="70" zoomScaleNormal="70" workbookViewId="0"/>
  </sheetViews>
  <sheetFormatPr defaultRowHeight="15"/>
  <cols>
    <col min="1" max="1" width="3.42578125" customWidth="1"/>
    <col min="2" max="2" width="12.85546875" style="45" customWidth="1"/>
    <col min="3" max="3" width="11.5703125" bestFit="1" customWidth="1"/>
    <col min="4" max="4" width="12.85546875" customWidth="1"/>
    <col min="5" max="5" width="14" customWidth="1"/>
    <col min="6" max="6" width="13" customWidth="1"/>
    <col min="7" max="7" width="8.5703125" customWidth="1"/>
    <col min="8" max="8" width="61.5703125" customWidth="1"/>
    <col min="9" max="9" width="3" customWidth="1"/>
    <col min="10" max="10" width="29.28515625" customWidth="1"/>
    <col min="11" max="11" width="18.140625" customWidth="1"/>
    <col min="12" max="12" width="14.140625" style="45" customWidth="1"/>
    <col min="13" max="13" width="13.85546875" customWidth="1"/>
    <col min="14" max="14" width="15.7109375" bestFit="1" customWidth="1"/>
    <col min="15" max="15" width="2.85546875" customWidth="1"/>
    <col min="16" max="16" width="3.42578125" customWidth="1"/>
  </cols>
  <sheetData>
    <row r="1" spans="2:15" ht="8.25" customHeight="1"/>
    <row r="2" spans="2:15" ht="15" customHeight="1"/>
    <row r="3" spans="2:15" ht="15" customHeight="1"/>
    <row r="4" spans="2:15" ht="15" customHeight="1" thickBot="1"/>
    <row r="5" spans="2:15" ht="21" customHeight="1" thickBot="1">
      <c r="B5" s="163" t="s">
        <v>164</v>
      </c>
      <c r="C5" s="164"/>
      <c r="D5" s="164"/>
      <c r="E5" s="164"/>
      <c r="F5" s="164"/>
      <c r="G5" s="164"/>
      <c r="H5" s="165"/>
      <c r="I5" s="46"/>
      <c r="J5" s="105">
        <v>42886</v>
      </c>
      <c r="K5" s="166" t="s">
        <v>251</v>
      </c>
      <c r="L5" s="167"/>
      <c r="M5" s="168" t="s">
        <v>165</v>
      </c>
      <c r="N5" s="169"/>
      <c r="O5" s="47"/>
    </row>
    <row r="6" spans="2:15" ht="12.75" customHeight="1" thickBot="1">
      <c r="G6" s="46"/>
      <c r="H6" s="46"/>
      <c r="I6" s="46"/>
      <c r="J6" s="46"/>
      <c r="K6" s="46"/>
      <c r="L6" s="46"/>
      <c r="M6" s="46"/>
      <c r="N6" s="46"/>
      <c r="O6" s="48"/>
    </row>
    <row r="7" spans="2:15" ht="18.75" customHeight="1" thickBot="1">
      <c r="B7" s="170" t="s">
        <v>166</v>
      </c>
      <c r="C7" s="171"/>
      <c r="D7" s="171"/>
      <c r="E7" s="171"/>
      <c r="F7" s="171"/>
      <c r="G7" s="171"/>
      <c r="H7" s="172"/>
      <c r="I7" s="49"/>
      <c r="J7" s="50" t="s">
        <v>167</v>
      </c>
      <c r="K7" s="173" t="s">
        <v>63</v>
      </c>
      <c r="L7" s="174"/>
      <c r="M7" s="174"/>
      <c r="N7" s="175"/>
      <c r="O7" s="48"/>
    </row>
    <row r="8" spans="2:15" ht="33.75" customHeight="1" thickBot="1">
      <c r="G8" s="45"/>
      <c r="J8" s="51" t="s">
        <v>168</v>
      </c>
      <c r="K8" s="159" t="str">
        <f>IF(VLOOKUP($K$7,trk.vFundCodeMap[],12,FALSE)="","",VLOOKUP($K$7,trk.vFundCodeMap[],12,FALSE))</f>
        <v/>
      </c>
      <c r="L8" s="160"/>
      <c r="M8" s="160"/>
      <c r="N8" s="161"/>
      <c r="O8" s="52"/>
    </row>
    <row r="9" spans="2:15" ht="33.75" customHeight="1" thickBot="1">
      <c r="G9" s="45"/>
      <c r="J9" s="53" t="s">
        <v>169</v>
      </c>
      <c r="K9" s="159" t="str">
        <f>VLOOKUP($K$7,trk.vFundCodeMap[],13,FALSE)</f>
        <v>1253</v>
      </c>
      <c r="L9" s="160"/>
      <c r="M9" s="160"/>
      <c r="N9" s="161"/>
      <c r="O9" s="52"/>
    </row>
    <row r="10" spans="2:15" ht="15.75" thickBot="1">
      <c r="G10" s="45"/>
      <c r="J10" s="53" t="s">
        <v>170</v>
      </c>
      <c r="K10" s="159" t="str">
        <f>VLOOKUP($K$7,trk.vFundCodeMap[],6,FALSE)</f>
        <v>GBP</v>
      </c>
      <c r="L10" s="160"/>
      <c r="M10" s="160"/>
      <c r="N10" s="161"/>
      <c r="O10" s="54"/>
    </row>
    <row r="11" spans="2:15">
      <c r="G11" s="45"/>
      <c r="J11" s="53" t="s">
        <v>171</v>
      </c>
      <c r="K11" s="176">
        <f>DATEVALUE(VLOOKUP($K$7,trk.vFundCodeMap[],8,FALSE))</f>
        <v>40939</v>
      </c>
      <c r="L11" s="177"/>
      <c r="M11" s="177"/>
      <c r="N11" s="178"/>
      <c r="O11" s="55"/>
    </row>
    <row r="12" spans="2:15">
      <c r="G12" s="45"/>
      <c r="J12" s="56"/>
      <c r="K12" s="57"/>
      <c r="L12" s="57"/>
      <c r="M12" s="57"/>
      <c r="N12" s="57"/>
      <c r="O12" s="54"/>
    </row>
    <row r="13" spans="2:15" ht="18.75">
      <c r="G13" s="45"/>
      <c r="J13" s="162" t="s">
        <v>172</v>
      </c>
      <c r="K13" s="162"/>
      <c r="L13" s="162"/>
      <c r="M13" s="162"/>
      <c r="N13" s="162"/>
      <c r="O13" s="48"/>
    </row>
    <row r="14" spans="2:15">
      <c r="G14" s="45"/>
      <c r="J14" s="58" t="s">
        <v>173</v>
      </c>
      <c r="K14" s="59" t="s">
        <v>174</v>
      </c>
      <c r="L14" s="59" t="s">
        <v>175</v>
      </c>
      <c r="M14" s="59" t="s">
        <v>176</v>
      </c>
      <c r="N14" s="59" t="s">
        <v>177</v>
      </c>
      <c r="O14" s="48"/>
    </row>
    <row r="15" spans="2:15">
      <c r="G15" s="45"/>
      <c r="J15" s="60" t="s">
        <v>159</v>
      </c>
      <c r="K15" s="61">
        <f>IF(ISNA(CoverpageTables!AB3),"",CoverpageTables!AB3)</f>
        <v>-83.092340998102102</v>
      </c>
      <c r="L15" s="61" t="str">
        <f>IF(ISNA(CoverpageTables!AC3),"",CoverpageTables!AC3)</f>
        <v/>
      </c>
      <c r="M15" s="61" t="str">
        <f>IF(OR(NOT(ISNUMBER($K15)),NOT(ISNUMBER($L15))),"",$K15-$L15)</f>
        <v/>
      </c>
      <c r="N15" s="61" t="str">
        <f>IF(OR(NOT(ISNUMBER($K15)),NOT(ISNUMBER($L15))),"",(((($K15/100)+1)/(($L15/100)+1))-1)*100)</f>
        <v/>
      </c>
    </row>
    <row r="16" spans="2:15">
      <c r="G16" s="45"/>
      <c r="J16" s="60" t="s">
        <v>160</v>
      </c>
      <c r="K16" s="61">
        <f>IF(ISNA(CoverpageTables!AB4),"",CoverpageTables!AB4)</f>
        <v>-83.04330350864943</v>
      </c>
      <c r="L16" s="61" t="str">
        <f>IF(ISNA(CoverpageTables!AC4),"",CoverpageTables!AC4)</f>
        <v/>
      </c>
      <c r="M16" s="61" t="str">
        <f t="shared" ref="M16:M24" si="0">IF(OR(NOT(ISNUMBER($K16)),NOT(ISNUMBER($L16))),"",$K16-$L16)</f>
        <v/>
      </c>
      <c r="N16" s="61" t="str">
        <f t="shared" ref="N16:N24" si="1">IF(OR(NOT(ISNUMBER($K16)),NOT(ISNUMBER($L16))),"",(((($K16/100)+1)/(($L16/100)+1))-1)*100)</f>
        <v/>
      </c>
    </row>
    <row r="17" spans="2:14">
      <c r="G17" s="45"/>
      <c r="J17" s="60" t="s">
        <v>162</v>
      </c>
      <c r="K17" s="61">
        <f>IF(ISNA(CoverpageTables!AB5),"",CoverpageTables!AB5)</f>
        <v>99.999725610515625</v>
      </c>
      <c r="L17" s="61" t="str">
        <f>IF(ISNA(CoverpageTables!AC6),"",CoverpageTables!AC6)</f>
        <v/>
      </c>
      <c r="M17" s="61" t="str">
        <f t="shared" si="0"/>
        <v/>
      </c>
      <c r="N17" s="61" t="str">
        <f t="shared" si="1"/>
        <v/>
      </c>
    </row>
    <row r="18" spans="2:14">
      <c r="G18" s="45"/>
      <c r="J18" s="60" t="s">
        <v>178</v>
      </c>
      <c r="K18" s="61" t="str">
        <f>IF(ISNA(CoverpageTables!AB6),"",CoverpageTables!AB6)</f>
        <v/>
      </c>
      <c r="L18" s="61" t="str">
        <f>IF(ISNA(CoverpageTables!AC7),"",CoverpageTables!AC7)</f>
        <v/>
      </c>
      <c r="M18" s="61" t="str">
        <f t="shared" si="0"/>
        <v/>
      </c>
      <c r="N18" s="61" t="str">
        <f t="shared" si="1"/>
        <v/>
      </c>
    </row>
    <row r="19" spans="2:14">
      <c r="G19" s="45"/>
      <c r="J19" s="60" t="s">
        <v>179</v>
      </c>
      <c r="K19" s="61" t="str">
        <f>IF(ISNA(CoverpageTables!AB7),"",CoverpageTables!AB7)</f>
        <v/>
      </c>
      <c r="L19" s="61" t="str">
        <f>IF(ISNA(CoverpageTables!AC10),"",CoverpageTables!AC10)</f>
        <v/>
      </c>
      <c r="M19" s="61" t="str">
        <f t="shared" si="0"/>
        <v/>
      </c>
      <c r="N19" s="61" t="str">
        <f t="shared" si="1"/>
        <v/>
      </c>
    </row>
    <row r="20" spans="2:14">
      <c r="G20" s="45"/>
      <c r="J20" s="60" t="s">
        <v>180</v>
      </c>
      <c r="K20" s="61" t="str">
        <f>IF(ISNA(CoverpageTables!AB8),"",CoverpageTables!AB8)</f>
        <v/>
      </c>
      <c r="L20" s="61" t="str">
        <f>IF(ISNA(CoverpageTables!AC11),"",CoverpageTables!AC11)</f>
        <v/>
      </c>
      <c r="M20" s="61" t="str">
        <f t="shared" si="0"/>
        <v/>
      </c>
      <c r="N20" s="61" t="str">
        <f t="shared" si="1"/>
        <v/>
      </c>
    </row>
    <row r="21" spans="2:14">
      <c r="G21" s="45"/>
      <c r="J21" s="60" t="s">
        <v>181</v>
      </c>
      <c r="K21" s="61" t="str">
        <f>IF(ISNA(CoverpageTables!AB9),"",CoverpageTables!AB9)</f>
        <v/>
      </c>
      <c r="L21" s="61" t="str">
        <f>IF(ISNA(CoverpageTables!AC14),"",CoverpageTables!AC14)</f>
        <v/>
      </c>
      <c r="M21" s="61" t="str">
        <f t="shared" si="0"/>
        <v/>
      </c>
      <c r="N21" s="61" t="str">
        <f t="shared" si="1"/>
        <v/>
      </c>
    </row>
    <row r="22" spans="2:14">
      <c r="G22" s="45"/>
      <c r="J22" s="60" t="s">
        <v>182</v>
      </c>
      <c r="K22" s="61" t="str">
        <f>IF(ISNA(CoverpageTables!AB10),"",CoverpageTables!AB10)</f>
        <v/>
      </c>
      <c r="L22" s="61" t="str">
        <f>IF(ISNA(CoverpageTables!AC15),"",CoverpageTables!AC15)</f>
        <v/>
      </c>
      <c r="M22" s="61" t="str">
        <f t="shared" si="0"/>
        <v/>
      </c>
      <c r="N22" s="61" t="str">
        <f t="shared" si="1"/>
        <v/>
      </c>
    </row>
    <row r="23" spans="2:14">
      <c r="G23" s="45"/>
      <c r="J23" s="60" t="s">
        <v>163</v>
      </c>
      <c r="K23" s="61" t="str">
        <f>IF(ISNA(CoverpageTables!AB11),"",CoverpageTables!AB11)</f>
        <v/>
      </c>
      <c r="L23" s="61" t="str">
        <f>IF(ISNA(CoverpageTables!AC16),"",CoverpageTables!AC16)</f>
        <v/>
      </c>
      <c r="M23" s="61" t="str">
        <f t="shared" si="0"/>
        <v/>
      </c>
      <c r="N23" s="61" t="str">
        <f t="shared" si="1"/>
        <v/>
      </c>
    </row>
    <row r="24" spans="2:14">
      <c r="G24" s="45"/>
      <c r="J24" s="60" t="s">
        <v>183</v>
      </c>
      <c r="K24" s="61" t="str">
        <f>IF(ISNA(CoverpageTables!AB12),"",CoverpageTables!AB12)</f>
        <v/>
      </c>
      <c r="L24" s="61" t="str">
        <f>IF(ISNA(CoverpageTables!AC17),"",CoverpageTables!AC17)</f>
        <v/>
      </c>
      <c r="M24" s="61" t="str">
        <f t="shared" si="0"/>
        <v/>
      </c>
      <c r="N24" s="61" t="str">
        <f t="shared" si="1"/>
        <v/>
      </c>
    </row>
    <row r="25" spans="2:14">
      <c r="G25" s="45"/>
      <c r="I25" s="49"/>
      <c r="J25" s="62"/>
      <c r="K25" s="63"/>
      <c r="L25" s="63"/>
      <c r="M25" s="63"/>
      <c r="N25" s="63"/>
    </row>
    <row r="26" spans="2:14" ht="18.75">
      <c r="J26" s="162" t="s">
        <v>184</v>
      </c>
      <c r="K26" s="162"/>
      <c r="L26" s="162"/>
      <c r="M26" s="162"/>
      <c r="N26" s="162"/>
    </row>
    <row r="27" spans="2:14">
      <c r="B27"/>
      <c r="J27" s="58" t="s">
        <v>173</v>
      </c>
      <c r="K27" s="59" t="s">
        <v>174</v>
      </c>
      <c r="L27" s="59" t="s">
        <v>175</v>
      </c>
      <c r="M27" s="59" t="s">
        <v>176</v>
      </c>
      <c r="N27" s="59" t="s">
        <v>177</v>
      </c>
    </row>
    <row r="28" spans="2:14" ht="18.75">
      <c r="B28" s="162" t="s">
        <v>185</v>
      </c>
      <c r="C28" s="162"/>
      <c r="D28" s="162"/>
      <c r="E28" s="162"/>
      <c r="F28" s="162"/>
      <c r="G28" s="162"/>
      <c r="H28" s="162"/>
      <c r="J28" s="53" t="s">
        <v>186</v>
      </c>
      <c r="K28" s="61">
        <f>IF(ISNA(CoverpageTables!AB19),"",CoverpageTables!AB19)</f>
        <v>-82.349209015954983</v>
      </c>
      <c r="L28" s="61" t="str">
        <f>IF(ISNA(CoverpageTables!AC19),"",CoverpageTables!AC19)</f>
        <v/>
      </c>
      <c r="M28" s="61" t="s">
        <v>234</v>
      </c>
      <c r="N28" s="61" t="s">
        <v>234</v>
      </c>
    </row>
    <row r="29" spans="2:14">
      <c r="B29" s="64" t="s">
        <v>187</v>
      </c>
      <c r="C29" s="65" t="s">
        <v>174</v>
      </c>
      <c r="D29" s="65" t="s">
        <v>175</v>
      </c>
      <c r="E29" s="65" t="s">
        <v>176</v>
      </c>
      <c r="F29" s="59" t="s">
        <v>177</v>
      </c>
      <c r="G29" s="65" t="s">
        <v>44</v>
      </c>
      <c r="H29" s="65" t="s">
        <v>188</v>
      </c>
      <c r="J29" s="66" t="s">
        <v>189</v>
      </c>
      <c r="K29" s="61" t="str">
        <f>IF(ISNA(CoverpageTables!AB20),"",CoverpageTables!AB20)</f>
        <v/>
      </c>
      <c r="L29" s="61" t="str">
        <f>IF(ISNA(CoverpageTables!AC20),"",CoverpageTables!AC20)</f>
        <v/>
      </c>
      <c r="M29" s="61" t="s">
        <v>234</v>
      </c>
      <c r="N29" s="61" t="s">
        <v>234</v>
      </c>
    </row>
    <row r="30" spans="2:14">
      <c r="B30" s="67">
        <v>42521</v>
      </c>
      <c r="C30" s="61">
        <v>1.0841984858</v>
      </c>
      <c r="D30" s="61"/>
      <c r="E30" s="61" t="str">
        <f>IF(OR(NOT(ISNUMBER($C30)),NOT(ISNUMBER($D30))),"",$C30-$D30)</f>
        <v/>
      </c>
      <c r="F30" s="61" t="str">
        <f>IF(OR(NOT(ISNUMBER($C30)),NOT(ISNUMBER($D30))),"",(((($C30/100)+1)/(($D30/100)+1))-1)*100)</f>
        <v/>
      </c>
      <c r="G30" s="61" t="s">
        <v>158</v>
      </c>
      <c r="H30" s="68" t="s">
        <v>234</v>
      </c>
      <c r="J30" s="66" t="s">
        <v>190</v>
      </c>
      <c r="K30" s="61" t="str">
        <f>IF(ISNA(CoverpageTables!AB21),"",CoverpageTables!AB21)</f>
        <v/>
      </c>
      <c r="L30" s="61" t="str">
        <f>IF(ISNA(CoverpageTables!AC21),"",CoverpageTables!AC21)</f>
        <v/>
      </c>
      <c r="M30" s="61" t="s">
        <v>234</v>
      </c>
      <c r="N30" s="61" t="s">
        <v>234</v>
      </c>
    </row>
    <row r="31" spans="2:14">
      <c r="B31" s="67">
        <v>42551</v>
      </c>
      <c r="C31" s="61">
        <v>2.9147057102999998</v>
      </c>
      <c r="D31" s="61"/>
      <c r="E31" s="61" t="str">
        <f t="shared" ref="E31:E41" si="2">IF(OR(NOT(ISNUMBER($C31)),NOT(ISNUMBER($D31))),"",$C31-$D31)</f>
        <v/>
      </c>
      <c r="F31" s="61" t="str">
        <f t="shared" ref="F31:F41" si="3">IF(OR(NOT(ISNUMBER($C31)),NOT(ISNUMBER($D31))),"",(((($C31/100)+1)/(($D31/100)+1))-1)*100)</f>
        <v/>
      </c>
      <c r="G31" s="61" t="s">
        <v>158</v>
      </c>
      <c r="H31" s="68" t="s">
        <v>234</v>
      </c>
      <c r="J31" s="66" t="s">
        <v>191</v>
      </c>
      <c r="K31" s="61" t="str">
        <f>IF(ISNA(CoverpageTables!AB22),"",CoverpageTables!AB22)</f>
        <v/>
      </c>
      <c r="L31" s="61" t="str">
        <f>IF(ISNA(CoverpageTables!AC22),"",CoverpageTables!AC22)</f>
        <v/>
      </c>
      <c r="M31" s="61" t="s">
        <v>234</v>
      </c>
      <c r="N31" s="61" t="s">
        <v>234</v>
      </c>
    </row>
    <row r="32" spans="2:14">
      <c r="B32" s="67">
        <v>42582</v>
      </c>
      <c r="C32" s="61">
        <v>2.1804275612000001</v>
      </c>
      <c r="D32" s="61"/>
      <c r="E32" s="61" t="str">
        <f t="shared" si="2"/>
        <v/>
      </c>
      <c r="F32" s="61" t="str">
        <f t="shared" si="3"/>
        <v/>
      </c>
      <c r="G32" s="61" t="s">
        <v>158</v>
      </c>
      <c r="H32" s="68" t="s">
        <v>234</v>
      </c>
      <c r="J32" s="62"/>
      <c r="K32" s="63"/>
      <c r="L32" s="63"/>
      <c r="M32" s="63"/>
      <c r="N32" s="63"/>
    </row>
    <row r="33" spans="2:14" ht="18.75">
      <c r="B33" s="67">
        <v>42613</v>
      </c>
      <c r="C33" s="61">
        <v>0.77311382719999999</v>
      </c>
      <c r="D33" s="61"/>
      <c r="E33" s="61" t="str">
        <f t="shared" si="2"/>
        <v/>
      </c>
      <c r="F33" s="61" t="str">
        <f t="shared" si="3"/>
        <v/>
      </c>
      <c r="G33" s="61" t="s">
        <v>158</v>
      </c>
      <c r="H33" s="68" t="s">
        <v>234</v>
      </c>
      <c r="J33" s="181" t="s">
        <v>192</v>
      </c>
      <c r="K33" s="182"/>
      <c r="L33" s="182"/>
      <c r="M33" s="182"/>
      <c r="N33" s="183"/>
    </row>
    <row r="34" spans="2:14">
      <c r="B34" s="67">
        <v>42643</v>
      </c>
      <c r="C34" s="61">
        <v>-0.26207888629999998</v>
      </c>
      <c r="D34" s="61"/>
      <c r="E34" s="61" t="str">
        <f t="shared" si="2"/>
        <v/>
      </c>
      <c r="F34" s="61" t="str">
        <f t="shared" si="3"/>
        <v/>
      </c>
      <c r="G34" s="61" t="s">
        <v>158</v>
      </c>
      <c r="H34" s="68" t="s">
        <v>234</v>
      </c>
      <c r="J34" s="184" t="s">
        <v>173</v>
      </c>
      <c r="K34" s="185"/>
      <c r="L34" s="64" t="s">
        <v>193</v>
      </c>
      <c r="M34" s="64" t="s">
        <v>194</v>
      </c>
      <c r="N34" s="64" t="s">
        <v>163</v>
      </c>
    </row>
    <row r="35" spans="2:14">
      <c r="B35" s="67">
        <v>42674</v>
      </c>
      <c r="C35" s="61">
        <v>19.3084136292</v>
      </c>
      <c r="D35" s="61"/>
      <c r="E35" s="61" t="str">
        <f t="shared" si="2"/>
        <v/>
      </c>
      <c r="F35" s="61" t="str">
        <f t="shared" si="3"/>
        <v/>
      </c>
      <c r="G35" s="61" t="s">
        <v>158</v>
      </c>
      <c r="H35" s="68" t="s">
        <v>234</v>
      </c>
      <c r="J35" s="179" t="s">
        <v>195</v>
      </c>
      <c r="K35" s="180"/>
      <c r="L35" s="69"/>
      <c r="M35" s="69"/>
      <c r="N35" s="69"/>
    </row>
    <row r="36" spans="2:14">
      <c r="B36" s="67">
        <v>42704</v>
      </c>
      <c r="C36" s="61">
        <v>-9.2877619499999994E-2</v>
      </c>
      <c r="D36" s="61"/>
      <c r="E36" s="61" t="str">
        <f t="shared" si="2"/>
        <v/>
      </c>
      <c r="F36" s="61" t="str">
        <f t="shared" si="3"/>
        <v/>
      </c>
      <c r="G36" s="61" t="s">
        <v>158</v>
      </c>
      <c r="H36" s="68" t="s">
        <v>234</v>
      </c>
      <c r="J36" s="179" t="s">
        <v>196</v>
      </c>
      <c r="K36" s="180"/>
      <c r="L36" s="69"/>
      <c r="M36" s="69"/>
      <c r="N36" s="69"/>
    </row>
    <row r="37" spans="2:14">
      <c r="B37" s="67">
        <v>42735</v>
      </c>
      <c r="C37" s="61">
        <v>-1.0014259738</v>
      </c>
      <c r="D37" s="61"/>
      <c r="E37" s="61" t="str">
        <f t="shared" si="2"/>
        <v/>
      </c>
      <c r="F37" s="61" t="str">
        <f t="shared" si="3"/>
        <v/>
      </c>
      <c r="G37" s="61" t="s">
        <v>158</v>
      </c>
      <c r="H37" s="68" t="s">
        <v>234</v>
      </c>
      <c r="J37" s="179" t="s">
        <v>197</v>
      </c>
      <c r="K37" s="180"/>
      <c r="L37" s="69"/>
      <c r="M37" s="69"/>
      <c r="N37" s="69"/>
    </row>
    <row r="38" spans="2:14">
      <c r="B38" s="67">
        <v>42766</v>
      </c>
      <c r="C38" s="61">
        <v>1.7561093717</v>
      </c>
      <c r="D38" s="61"/>
      <c r="E38" s="61" t="str">
        <f t="shared" si="2"/>
        <v/>
      </c>
      <c r="F38" s="61" t="str">
        <f t="shared" si="3"/>
        <v/>
      </c>
      <c r="G38" s="61" t="s">
        <v>158</v>
      </c>
      <c r="H38" s="68" t="s">
        <v>234</v>
      </c>
      <c r="J38" s="179" t="s">
        <v>198</v>
      </c>
      <c r="K38" s="180"/>
      <c r="L38" s="69"/>
      <c r="M38" s="69"/>
      <c r="N38" s="69"/>
    </row>
    <row r="39" spans="2:14">
      <c r="B39" s="67">
        <v>42794</v>
      </c>
      <c r="C39" s="61">
        <v>-0.37919687819999998</v>
      </c>
      <c r="D39" s="61"/>
      <c r="E39" s="61" t="str">
        <f t="shared" si="2"/>
        <v/>
      </c>
      <c r="F39" s="61" t="str">
        <f t="shared" si="3"/>
        <v/>
      </c>
      <c r="G39" s="61" t="s">
        <v>158</v>
      </c>
      <c r="H39" s="68" t="s">
        <v>234</v>
      </c>
      <c r="J39" s="179" t="s">
        <v>199</v>
      </c>
      <c r="K39" s="180"/>
      <c r="L39" s="69"/>
      <c r="M39" s="69"/>
      <c r="N39" s="69"/>
    </row>
    <row r="40" spans="2:14">
      <c r="B40" s="67">
        <v>42825</v>
      </c>
      <c r="C40" s="61">
        <v>0.4075291633</v>
      </c>
      <c r="D40" s="61"/>
      <c r="E40" s="61" t="str">
        <f t="shared" si="2"/>
        <v/>
      </c>
      <c r="F40" s="61" t="str">
        <f t="shared" si="3"/>
        <v/>
      </c>
      <c r="G40" s="61" t="s">
        <v>158</v>
      </c>
      <c r="H40" s="68" t="s">
        <v>234</v>
      </c>
      <c r="J40" s="179" t="s">
        <v>200</v>
      </c>
      <c r="K40" s="180"/>
      <c r="L40" s="69"/>
      <c r="M40" s="69"/>
      <c r="N40" s="69"/>
    </row>
    <row r="41" spans="2:14">
      <c r="B41" s="67">
        <v>42855</v>
      </c>
      <c r="C41" s="61">
        <v>0.32337536290000002</v>
      </c>
      <c r="D41" s="61"/>
      <c r="E41" s="61" t="str">
        <f t="shared" si="2"/>
        <v/>
      </c>
      <c r="F41" s="61" t="str">
        <f t="shared" si="3"/>
        <v/>
      </c>
      <c r="G41" s="61" t="s">
        <v>158</v>
      </c>
      <c r="H41" s="68" t="s">
        <v>234</v>
      </c>
      <c r="J41" s="179" t="s">
        <v>201</v>
      </c>
      <c r="K41" s="180"/>
      <c r="L41" s="69"/>
      <c r="M41" s="69"/>
      <c r="N41" s="69"/>
    </row>
    <row r="42" spans="2:14">
      <c r="B42"/>
      <c r="I42" s="8"/>
      <c r="J42" s="70"/>
      <c r="K42" s="71"/>
      <c r="L42" s="71"/>
      <c r="M42" s="71"/>
      <c r="N42" s="8"/>
    </row>
    <row r="43" spans="2:14" ht="21.75" thickBot="1">
      <c r="B43" s="163" t="s">
        <v>202</v>
      </c>
      <c r="C43" s="164"/>
      <c r="D43" s="164"/>
      <c r="E43" s="164"/>
      <c r="F43" s="164"/>
      <c r="G43" s="164"/>
      <c r="H43" s="164"/>
      <c r="I43" s="164"/>
      <c r="J43" s="164"/>
      <c r="K43" s="164"/>
      <c r="L43" s="164"/>
      <c r="M43" s="164"/>
      <c r="N43" s="165"/>
    </row>
    <row r="44" spans="2:14">
      <c r="B44" s="159" t="str">
        <f>IF(ISNA(VLOOKUP($K$7,trk.tblReturnCoverPageComment[],1,FALSE)),"",VLOOKUP($K$7,trk.tblReturnCoverPageComment[],1,FALSE))</f>
        <v/>
      </c>
      <c r="C44" s="160"/>
      <c r="D44" s="160"/>
      <c r="E44" s="161"/>
      <c r="F44" s="73"/>
      <c r="G44" s="73"/>
      <c r="H44" s="73"/>
      <c r="I44" s="73"/>
      <c r="J44" s="73"/>
      <c r="K44" s="73"/>
      <c r="L44" s="73"/>
      <c r="M44" s="73"/>
      <c r="N44" s="74"/>
    </row>
    <row r="45" spans="2:14">
      <c r="B45" s="72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4"/>
    </row>
    <row r="46" spans="2:14">
      <c r="B46" s="72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4"/>
    </row>
    <row r="47" spans="2:14">
      <c r="B47" s="72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4"/>
    </row>
    <row r="48" spans="2:14">
      <c r="B48" s="75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4"/>
    </row>
    <row r="49" spans="2:14">
      <c r="B49" s="75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4"/>
    </row>
    <row r="50" spans="2:14">
      <c r="B50" s="76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8"/>
    </row>
    <row r="51" spans="2:14">
      <c r="B51" s="79"/>
      <c r="C51" s="80"/>
      <c r="D51" s="80"/>
      <c r="E51" s="80"/>
      <c r="F51" s="80"/>
      <c r="G51" s="71"/>
      <c r="H51" s="81"/>
      <c r="L51"/>
    </row>
    <row r="52" spans="2:14">
      <c r="B52" s="82"/>
      <c r="C52" s="79"/>
      <c r="D52" s="79"/>
      <c r="E52" s="79"/>
      <c r="F52" s="79"/>
      <c r="G52" s="71"/>
      <c r="H52" s="81"/>
    </row>
    <row r="53" spans="2:14">
      <c r="B53" s="82"/>
      <c r="C53" s="79"/>
      <c r="D53" s="79"/>
      <c r="E53" s="79"/>
      <c r="F53" s="79"/>
      <c r="G53" s="71"/>
      <c r="H53" s="81"/>
    </row>
    <row r="54" spans="2:14">
      <c r="B54" s="82"/>
      <c r="C54" s="79"/>
      <c r="D54" s="79"/>
      <c r="E54" s="79"/>
      <c r="F54" s="79"/>
      <c r="G54" s="71"/>
      <c r="H54" s="81"/>
    </row>
    <row r="55" spans="2:14">
      <c r="B55" s="82"/>
      <c r="C55" s="79"/>
      <c r="D55" s="79"/>
      <c r="E55" s="79"/>
      <c r="F55" s="79"/>
      <c r="G55" s="71"/>
      <c r="H55" s="81"/>
    </row>
    <row r="56" spans="2:14">
      <c r="B56" s="82"/>
      <c r="C56" s="79"/>
      <c r="D56" s="79"/>
      <c r="E56" s="79"/>
      <c r="F56" s="79"/>
      <c r="G56" s="71"/>
      <c r="H56" s="81"/>
    </row>
    <row r="57" spans="2:14">
      <c r="B57" s="82"/>
      <c r="C57" s="79"/>
      <c r="D57" s="79"/>
      <c r="E57" s="79"/>
      <c r="F57" s="79"/>
      <c r="G57" s="71"/>
      <c r="H57" s="81"/>
    </row>
    <row r="58" spans="2:14">
      <c r="B58" s="82"/>
      <c r="C58" s="79"/>
      <c r="D58" s="79"/>
      <c r="E58" s="79"/>
      <c r="F58" s="79"/>
      <c r="G58" s="71"/>
      <c r="H58" s="81"/>
    </row>
    <row r="59" spans="2:14">
      <c r="B59" s="82"/>
      <c r="C59" s="79"/>
      <c r="D59" s="79"/>
      <c r="E59" s="79"/>
      <c r="F59" s="79"/>
      <c r="G59" s="71"/>
      <c r="H59" s="81"/>
    </row>
    <row r="60" spans="2:14">
      <c r="B60" s="82"/>
      <c r="C60" s="79"/>
      <c r="D60" s="79"/>
      <c r="E60" s="79"/>
      <c r="F60" s="79"/>
      <c r="G60" s="71"/>
      <c r="H60" s="81"/>
    </row>
    <row r="61" spans="2:14">
      <c r="B61" s="82"/>
      <c r="C61" s="79"/>
      <c r="D61" s="79"/>
      <c r="E61" s="79"/>
      <c r="F61" s="79"/>
      <c r="G61" s="71"/>
      <c r="H61" s="81"/>
    </row>
    <row r="62" spans="2:14">
      <c r="B62" s="82"/>
      <c r="C62" s="79"/>
      <c r="D62" s="79"/>
      <c r="E62" s="79"/>
      <c r="F62" s="79"/>
      <c r="G62" s="71"/>
      <c r="H62" s="81"/>
    </row>
    <row r="63" spans="2:14" ht="2.25" customHeight="1">
      <c r="B63" s="82"/>
      <c r="C63" s="79"/>
      <c r="D63" s="79"/>
      <c r="E63" s="79"/>
      <c r="F63" s="79"/>
      <c r="G63" s="71"/>
      <c r="H63" s="81"/>
    </row>
    <row r="64" spans="2:14">
      <c r="B64" s="82"/>
      <c r="C64" s="79"/>
      <c r="D64" s="79"/>
      <c r="E64" s="79"/>
      <c r="F64" s="79"/>
      <c r="G64" s="71"/>
      <c r="H64" s="81"/>
    </row>
    <row r="65" spans="2:8">
      <c r="B65" s="82"/>
      <c r="C65" s="79"/>
      <c r="D65" s="79"/>
      <c r="E65" s="79"/>
      <c r="F65" s="79"/>
      <c r="G65" s="71"/>
      <c r="H65" s="81"/>
    </row>
    <row r="66" spans="2:8">
      <c r="B66" s="82"/>
      <c r="C66" s="79"/>
      <c r="D66" s="79"/>
      <c r="E66" s="79"/>
      <c r="F66" s="79"/>
      <c r="G66" s="71"/>
      <c r="H66" s="81"/>
    </row>
    <row r="67" spans="2:8">
      <c r="B67" s="82"/>
      <c r="C67" s="79"/>
      <c r="D67" s="79"/>
      <c r="E67" s="79"/>
      <c r="F67" s="79"/>
      <c r="G67" s="71"/>
      <c r="H67" s="81"/>
    </row>
    <row r="68" spans="2:8">
      <c r="B68" s="82"/>
      <c r="C68" s="79"/>
      <c r="D68" s="79"/>
      <c r="E68" s="79"/>
      <c r="F68" s="79"/>
      <c r="G68" s="71"/>
      <c r="H68" s="81"/>
    </row>
    <row r="69" spans="2:8">
      <c r="B69" s="82"/>
      <c r="C69" s="79"/>
      <c r="D69" s="79"/>
      <c r="E69" s="79"/>
      <c r="F69" s="79"/>
      <c r="G69" s="71"/>
      <c r="H69" s="81"/>
    </row>
    <row r="70" spans="2:8">
      <c r="B70" s="82"/>
      <c r="C70" s="79"/>
      <c r="D70" s="79"/>
      <c r="E70" s="79"/>
      <c r="F70" s="79"/>
      <c r="G70" s="71"/>
      <c r="H70" s="81"/>
    </row>
    <row r="71" spans="2:8">
      <c r="B71" s="82"/>
      <c r="C71" s="79"/>
      <c r="D71" s="79"/>
      <c r="E71" s="79"/>
      <c r="F71" s="79"/>
      <c r="G71" s="71"/>
      <c r="H71" s="81"/>
    </row>
    <row r="72" spans="2:8">
      <c r="B72" s="82"/>
      <c r="C72" s="79"/>
      <c r="D72" s="79"/>
      <c r="E72" s="79"/>
      <c r="F72" s="79"/>
      <c r="G72" s="71"/>
      <c r="H72" s="81"/>
    </row>
    <row r="73" spans="2:8">
      <c r="B73" s="82"/>
      <c r="C73" s="79"/>
      <c r="D73" s="79"/>
      <c r="E73" s="79"/>
      <c r="F73" s="79"/>
      <c r="G73" s="71"/>
      <c r="H73" s="81"/>
    </row>
    <row r="74" spans="2:8">
      <c r="B74" s="82"/>
      <c r="C74" s="79"/>
      <c r="D74" s="79"/>
      <c r="E74" s="79"/>
      <c r="F74" s="79"/>
      <c r="G74" s="71"/>
      <c r="H74" s="81"/>
    </row>
    <row r="75" spans="2:8">
      <c r="B75" s="82"/>
      <c r="C75" s="79"/>
      <c r="D75" s="79"/>
      <c r="E75" s="79"/>
      <c r="F75" s="79"/>
      <c r="G75" s="71"/>
      <c r="H75" s="81"/>
    </row>
    <row r="76" spans="2:8">
      <c r="B76" s="82"/>
      <c r="C76" s="79"/>
      <c r="D76" s="79"/>
      <c r="E76" s="79"/>
      <c r="F76" s="79"/>
      <c r="G76" s="71"/>
      <c r="H76" s="81"/>
    </row>
    <row r="77" spans="2:8">
      <c r="B77" s="82"/>
      <c r="C77" s="79"/>
      <c r="D77" s="79"/>
      <c r="E77" s="79"/>
      <c r="F77" s="79"/>
      <c r="G77" s="71"/>
      <c r="H77" s="81"/>
    </row>
    <row r="78" spans="2:8">
      <c r="B78" s="82"/>
      <c r="C78" s="79"/>
      <c r="D78" s="79"/>
      <c r="E78" s="79"/>
      <c r="F78" s="79"/>
      <c r="G78" s="71"/>
      <c r="H78" s="81"/>
    </row>
    <row r="79" spans="2:8">
      <c r="B79" s="82"/>
      <c r="C79" s="79"/>
      <c r="D79" s="79"/>
      <c r="E79" s="79"/>
      <c r="F79" s="79"/>
      <c r="G79" s="71"/>
      <c r="H79" s="81"/>
    </row>
    <row r="80" spans="2:8">
      <c r="B80" s="82"/>
      <c r="C80" s="79"/>
      <c r="D80" s="79"/>
      <c r="E80" s="79"/>
      <c r="F80" s="79"/>
      <c r="G80" s="71"/>
      <c r="H80" s="81"/>
    </row>
    <row r="81" spans="2:8">
      <c r="B81" s="83"/>
      <c r="C81" s="71"/>
      <c r="D81" s="71"/>
      <c r="E81" s="71"/>
      <c r="F81" s="71"/>
      <c r="G81" s="71"/>
      <c r="H81" s="81"/>
    </row>
    <row r="82" spans="2:8">
      <c r="B82" s="83"/>
      <c r="C82" s="71"/>
      <c r="D82" s="71"/>
      <c r="E82" s="71"/>
      <c r="F82" s="71"/>
      <c r="G82" s="71"/>
      <c r="H82" s="81"/>
    </row>
    <row r="83" spans="2:8">
      <c r="B83" s="83"/>
      <c r="C83" s="71"/>
      <c r="D83" s="71"/>
      <c r="E83" s="71"/>
      <c r="F83" s="71"/>
      <c r="G83" s="71"/>
      <c r="H83" s="81"/>
    </row>
    <row r="84" spans="2:8">
      <c r="B84" s="83"/>
      <c r="C84" s="71"/>
      <c r="D84" s="71"/>
      <c r="E84" s="71"/>
      <c r="F84" s="71"/>
      <c r="G84" s="71"/>
      <c r="H84" s="81"/>
    </row>
    <row r="85" spans="2:8">
      <c r="B85" s="83"/>
      <c r="C85" s="71"/>
      <c r="D85" s="71"/>
      <c r="E85" s="71"/>
      <c r="F85" s="71"/>
      <c r="G85" s="71"/>
      <c r="H85" s="81"/>
    </row>
    <row r="86" spans="2:8">
      <c r="B86" s="83"/>
      <c r="C86" s="71"/>
      <c r="D86" s="71"/>
      <c r="E86" s="71"/>
      <c r="F86" s="71"/>
      <c r="G86" s="71"/>
      <c r="H86" s="81"/>
    </row>
    <row r="87" spans="2:8">
      <c r="B87" s="83"/>
      <c r="C87" s="71"/>
      <c r="D87" s="71"/>
      <c r="E87" s="71"/>
      <c r="F87" s="71"/>
      <c r="G87" s="71"/>
      <c r="H87" s="81"/>
    </row>
    <row r="88" spans="2:8">
      <c r="B88" s="83"/>
      <c r="C88" s="71"/>
      <c r="D88" s="71"/>
      <c r="E88" s="71"/>
      <c r="F88" s="71"/>
      <c r="G88" s="71"/>
      <c r="H88" s="81"/>
    </row>
    <row r="89" spans="2:8">
      <c r="B89" s="83"/>
      <c r="C89" s="71"/>
      <c r="D89" s="71"/>
      <c r="E89" s="71"/>
      <c r="F89" s="71"/>
      <c r="G89" s="71"/>
      <c r="H89" s="81"/>
    </row>
    <row r="90" spans="2:8">
      <c r="B90" s="83"/>
      <c r="C90" s="71"/>
      <c r="D90" s="71"/>
      <c r="E90" s="71"/>
      <c r="F90" s="71"/>
      <c r="G90" s="71"/>
      <c r="H90" s="81"/>
    </row>
    <row r="91" spans="2:8">
      <c r="B91" s="83"/>
      <c r="C91" s="71"/>
      <c r="D91" s="71"/>
      <c r="E91" s="71"/>
      <c r="F91" s="71"/>
      <c r="G91" s="71"/>
      <c r="H91" s="81"/>
    </row>
    <row r="92" spans="2:8">
      <c r="B92" s="83"/>
      <c r="C92" s="71"/>
      <c r="D92" s="71"/>
      <c r="E92" s="71"/>
      <c r="F92" s="71"/>
      <c r="G92" s="71"/>
      <c r="H92" s="81"/>
    </row>
    <row r="93" spans="2:8">
      <c r="B93" s="83"/>
      <c r="C93" s="71"/>
      <c r="D93" s="71"/>
      <c r="E93" s="71"/>
      <c r="F93" s="71"/>
      <c r="G93" s="71"/>
      <c r="H93" s="81"/>
    </row>
    <row r="94" spans="2:8">
      <c r="B94" s="83"/>
      <c r="C94" s="71"/>
      <c r="D94" s="71"/>
      <c r="E94" s="71"/>
      <c r="F94" s="71"/>
      <c r="G94" s="71"/>
      <c r="H94" s="81"/>
    </row>
    <row r="95" spans="2:8">
      <c r="B95" s="83"/>
      <c r="C95" s="71"/>
      <c r="D95" s="71"/>
      <c r="E95" s="71"/>
      <c r="F95" s="71"/>
      <c r="G95" s="71"/>
      <c r="H95" s="81"/>
    </row>
    <row r="96" spans="2:8">
      <c r="B96" s="83"/>
      <c r="C96" s="71"/>
      <c r="D96" s="71"/>
      <c r="E96" s="71"/>
      <c r="F96" s="71"/>
      <c r="G96" s="71"/>
      <c r="H96" s="81"/>
    </row>
    <row r="97" spans="2:8">
      <c r="B97" s="83"/>
      <c r="C97" s="71"/>
      <c r="D97" s="71"/>
      <c r="E97" s="71"/>
      <c r="F97" s="71"/>
      <c r="G97" s="71"/>
      <c r="H97" s="81"/>
    </row>
    <row r="98" spans="2:8">
      <c r="B98" s="83"/>
      <c r="C98" s="71"/>
      <c r="D98" s="71"/>
      <c r="E98" s="71"/>
      <c r="F98" s="71"/>
      <c r="G98" s="71"/>
      <c r="H98" s="81"/>
    </row>
    <row r="99" spans="2:8">
      <c r="B99" s="83"/>
      <c r="C99" s="71"/>
      <c r="D99" s="71"/>
      <c r="E99" s="71"/>
      <c r="F99" s="71"/>
      <c r="G99" s="71"/>
      <c r="H99" s="81"/>
    </row>
    <row r="100" spans="2:8">
      <c r="B100" s="83"/>
      <c r="C100" s="71"/>
      <c r="D100" s="71"/>
      <c r="E100" s="71"/>
      <c r="F100" s="71"/>
      <c r="G100" s="71"/>
      <c r="H100" s="81"/>
    </row>
    <row r="101" spans="2:8">
      <c r="B101" s="83"/>
      <c r="C101" s="71"/>
      <c r="D101" s="71"/>
      <c r="E101" s="71"/>
      <c r="F101" s="71"/>
      <c r="G101" s="71"/>
      <c r="H101" s="81"/>
    </row>
    <row r="102" spans="2:8">
      <c r="B102" s="83"/>
      <c r="C102" s="71"/>
      <c r="D102" s="71"/>
      <c r="E102" s="71"/>
      <c r="F102" s="71"/>
      <c r="G102" s="71"/>
      <c r="H102" s="81"/>
    </row>
    <row r="103" spans="2:8">
      <c r="B103" s="83"/>
      <c r="C103" s="71"/>
      <c r="D103" s="71"/>
      <c r="E103" s="71"/>
      <c r="F103" s="71"/>
      <c r="G103" s="71"/>
      <c r="H103" s="81"/>
    </row>
    <row r="104" spans="2:8">
      <c r="B104" s="83"/>
      <c r="C104" s="71"/>
      <c r="D104" s="71"/>
      <c r="E104" s="71"/>
      <c r="F104" s="71"/>
      <c r="G104" s="71"/>
      <c r="H104" s="81"/>
    </row>
    <row r="105" spans="2:8">
      <c r="B105" s="83"/>
      <c r="C105" s="71"/>
      <c r="D105" s="71"/>
      <c r="E105" s="71"/>
      <c r="F105" s="71"/>
      <c r="G105" s="71"/>
      <c r="H105" s="81"/>
    </row>
    <row r="106" spans="2:8">
      <c r="B106" s="83"/>
      <c r="C106" s="71"/>
      <c r="D106" s="71"/>
      <c r="E106" s="71"/>
      <c r="F106" s="71"/>
      <c r="G106" s="71"/>
      <c r="H106" s="81"/>
    </row>
    <row r="107" spans="2:8">
      <c r="B107" s="83"/>
      <c r="C107" s="71"/>
      <c r="D107" s="71"/>
      <c r="E107" s="71"/>
      <c r="F107" s="71"/>
      <c r="G107" s="71"/>
      <c r="H107" s="81"/>
    </row>
    <row r="108" spans="2:8">
      <c r="B108" s="83"/>
      <c r="C108" s="71"/>
      <c r="D108" s="71"/>
      <c r="E108" s="71"/>
      <c r="F108" s="71"/>
      <c r="G108" s="71"/>
      <c r="H108" s="81"/>
    </row>
    <row r="109" spans="2:8">
      <c r="B109" s="83"/>
      <c r="C109" s="71"/>
      <c r="D109" s="71"/>
      <c r="E109" s="71"/>
      <c r="F109" s="71"/>
      <c r="G109" s="71"/>
      <c r="H109" s="81"/>
    </row>
    <row r="110" spans="2:8">
      <c r="B110" s="83"/>
      <c r="C110" s="71"/>
      <c r="D110" s="71"/>
      <c r="E110" s="71"/>
      <c r="F110" s="71"/>
      <c r="G110" s="71"/>
      <c r="H110" s="81"/>
    </row>
    <row r="111" spans="2:8">
      <c r="B111" s="83"/>
      <c r="C111" s="71"/>
      <c r="D111" s="71"/>
      <c r="E111" s="71"/>
      <c r="F111" s="71"/>
      <c r="G111" s="71"/>
      <c r="H111" s="81"/>
    </row>
    <row r="112" spans="2:8">
      <c r="B112" s="83"/>
      <c r="C112" s="71"/>
      <c r="D112" s="71"/>
      <c r="E112" s="71"/>
      <c r="F112" s="71"/>
      <c r="G112" s="71"/>
      <c r="H112" s="81"/>
    </row>
    <row r="113" spans="2:8">
      <c r="B113" s="83"/>
      <c r="C113" s="71"/>
      <c r="D113" s="71"/>
      <c r="E113" s="71"/>
      <c r="F113" s="71"/>
      <c r="G113" s="71"/>
      <c r="H113" s="81"/>
    </row>
    <row r="114" spans="2:8">
      <c r="B114" s="83"/>
      <c r="C114" s="71"/>
      <c r="D114" s="71"/>
      <c r="E114" s="71"/>
      <c r="F114" s="71"/>
      <c r="G114" s="71"/>
      <c r="H114" s="81"/>
    </row>
    <row r="115" spans="2:8">
      <c r="B115" s="83"/>
      <c r="C115" s="71"/>
      <c r="D115" s="71"/>
      <c r="E115" s="71"/>
      <c r="F115" s="71"/>
      <c r="G115" s="71"/>
      <c r="H115" s="81"/>
    </row>
    <row r="116" spans="2:8">
      <c r="B116" s="83"/>
      <c r="C116" s="71"/>
      <c r="D116" s="71"/>
      <c r="E116" s="71"/>
      <c r="F116" s="71"/>
      <c r="G116" s="71"/>
    </row>
    <row r="117" spans="2:8">
      <c r="B117" s="83"/>
      <c r="C117" s="71"/>
      <c r="D117" s="71"/>
      <c r="E117" s="71"/>
      <c r="F117" s="71"/>
      <c r="G117" s="71"/>
    </row>
    <row r="118" spans="2:8">
      <c r="B118" s="83"/>
      <c r="C118" s="71"/>
      <c r="D118" s="71"/>
      <c r="E118" s="71"/>
      <c r="F118" s="71"/>
      <c r="G118" s="71"/>
    </row>
    <row r="119" spans="2:8">
      <c r="B119" s="83"/>
      <c r="C119" s="71"/>
      <c r="D119" s="71"/>
      <c r="E119" s="71"/>
      <c r="F119" s="71"/>
      <c r="G119" s="71"/>
    </row>
    <row r="120" spans="2:8">
      <c r="B120" s="83"/>
      <c r="C120" s="71"/>
      <c r="D120" s="71"/>
      <c r="E120" s="71"/>
      <c r="F120" s="71"/>
      <c r="G120" s="71"/>
    </row>
    <row r="121" spans="2:8">
      <c r="B121" s="83"/>
      <c r="C121" s="71"/>
      <c r="D121" s="71"/>
      <c r="E121" s="71"/>
      <c r="F121" s="71"/>
      <c r="G121" s="71"/>
    </row>
    <row r="122" spans="2:8">
      <c r="B122" s="83"/>
      <c r="C122" s="71"/>
      <c r="D122" s="71"/>
      <c r="E122" s="71"/>
      <c r="F122" s="71"/>
      <c r="G122" s="71"/>
    </row>
    <row r="123" spans="2:8">
      <c r="B123" s="83"/>
      <c r="C123" s="71"/>
      <c r="D123" s="71"/>
      <c r="E123" s="71"/>
      <c r="F123" s="71"/>
      <c r="G123" s="71"/>
    </row>
    <row r="124" spans="2:8">
      <c r="B124" s="83"/>
      <c r="C124" s="71"/>
      <c r="D124" s="71"/>
      <c r="E124" s="71"/>
      <c r="F124" s="71"/>
      <c r="G124" s="71"/>
    </row>
    <row r="125" spans="2:8">
      <c r="B125" s="83"/>
      <c r="C125" s="71"/>
      <c r="D125" s="71"/>
      <c r="E125" s="71"/>
      <c r="F125" s="71"/>
      <c r="G125" s="71"/>
    </row>
    <row r="126" spans="2:8">
      <c r="B126" s="83"/>
      <c r="C126" s="71"/>
      <c r="D126" s="71"/>
      <c r="E126" s="71"/>
      <c r="F126" s="71"/>
      <c r="G126" s="71"/>
    </row>
    <row r="127" spans="2:8">
      <c r="B127" s="83"/>
      <c r="C127" s="71"/>
      <c r="D127" s="71"/>
      <c r="E127" s="71"/>
      <c r="F127" s="71"/>
      <c r="G127" s="71"/>
    </row>
    <row r="128" spans="2:8">
      <c r="B128" s="83"/>
      <c r="C128" s="71"/>
      <c r="D128" s="71"/>
      <c r="E128" s="71"/>
      <c r="F128" s="71"/>
      <c r="G128" s="71"/>
    </row>
    <row r="129" spans="2:7">
      <c r="B129" s="83"/>
      <c r="C129" s="71"/>
      <c r="D129" s="71"/>
      <c r="E129" s="71"/>
      <c r="F129" s="71"/>
      <c r="G129" s="71"/>
    </row>
    <row r="130" spans="2:7">
      <c r="B130" s="83"/>
      <c r="C130" s="71"/>
      <c r="D130" s="71"/>
      <c r="E130" s="71"/>
      <c r="F130" s="71"/>
      <c r="G130" s="71"/>
    </row>
    <row r="131" spans="2:7">
      <c r="B131" s="83"/>
      <c r="C131" s="71"/>
      <c r="D131" s="71"/>
      <c r="E131" s="71"/>
      <c r="F131" s="71"/>
      <c r="G131" s="71"/>
    </row>
    <row r="132" spans="2:7">
      <c r="B132" s="83"/>
      <c r="C132" s="71"/>
      <c r="D132" s="71"/>
      <c r="E132" s="71"/>
      <c r="F132" s="71"/>
      <c r="G132" s="71"/>
    </row>
    <row r="133" spans="2:7">
      <c r="B133" s="83"/>
      <c r="C133" s="71"/>
      <c r="D133" s="71"/>
      <c r="E133" s="71"/>
      <c r="F133" s="71"/>
      <c r="G133" s="71"/>
    </row>
    <row r="134" spans="2:7">
      <c r="B134" s="83"/>
      <c r="C134" s="71"/>
      <c r="D134" s="71"/>
      <c r="E134" s="71"/>
      <c r="F134" s="71"/>
      <c r="G134" s="71"/>
    </row>
    <row r="135" spans="2:7">
      <c r="B135" s="83"/>
      <c r="C135" s="71"/>
      <c r="D135" s="71"/>
      <c r="E135" s="71"/>
      <c r="F135" s="71"/>
      <c r="G135" s="71"/>
    </row>
    <row r="136" spans="2:7">
      <c r="B136" s="83"/>
      <c r="C136" s="71"/>
      <c r="D136" s="71"/>
      <c r="E136" s="71"/>
      <c r="F136" s="71"/>
      <c r="G136" s="71"/>
    </row>
    <row r="137" spans="2:7">
      <c r="B137" s="83"/>
      <c r="C137" s="71"/>
      <c r="D137" s="71"/>
      <c r="E137" s="71"/>
      <c r="F137" s="71"/>
      <c r="G137" s="71"/>
    </row>
    <row r="138" spans="2:7">
      <c r="G138" s="71"/>
    </row>
  </sheetData>
  <mergeCells count="23">
    <mergeCell ref="B43:N43"/>
    <mergeCell ref="J33:N33"/>
    <mergeCell ref="J34:K34"/>
    <mergeCell ref="J35:K35"/>
    <mergeCell ref="J36:K36"/>
    <mergeCell ref="J37:K37"/>
    <mergeCell ref="J38:K38"/>
    <mergeCell ref="B44:E44"/>
    <mergeCell ref="B28:H28"/>
    <mergeCell ref="B5:H5"/>
    <mergeCell ref="K5:L5"/>
    <mergeCell ref="M5:N5"/>
    <mergeCell ref="B7:H7"/>
    <mergeCell ref="K7:N7"/>
    <mergeCell ref="K8:N8"/>
    <mergeCell ref="K9:N9"/>
    <mergeCell ref="K10:N10"/>
    <mergeCell ref="K11:N11"/>
    <mergeCell ref="J13:N13"/>
    <mergeCell ref="J26:N26"/>
    <mergeCell ref="J39:K39"/>
    <mergeCell ref="J40:K40"/>
    <mergeCell ref="J41:K41"/>
  </mergeCells>
  <dataValidations disablePrompts="1" count="2">
    <dataValidation type="list" allowBlank="1" showInputMessage="1" showErrorMessage="1" sqref="K5:L5">
      <formula1>"Gross of Fees,Net of Fees"</formula1>
    </dataValidation>
    <dataValidation type="list" showInputMessage="1" showErrorMessage="1" sqref="K7:N7">
      <formula1>INDIRECT("tblHome[Bone Fund Code]")</formula1>
    </dataValidation>
  </dataValidations>
  <pageMargins left="0.25" right="0.25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9217" r:id="rId4" name="calRepDate">
          <controlPr defaultSize="0" autoLine="0" linkedCell="J5" r:id="rId5">
            <anchor moveWithCells="1">
              <from>
                <xdr:col>9</xdr:col>
                <xdr:colOff>0</xdr:colOff>
                <xdr:row>5</xdr:row>
                <xdr:rowOff>9525</xdr:rowOff>
              </from>
              <to>
                <xdr:col>11</xdr:col>
                <xdr:colOff>857250</xdr:colOff>
                <xdr:row>15</xdr:row>
                <xdr:rowOff>142875</xdr:rowOff>
              </to>
            </anchor>
          </controlPr>
        </control>
      </mc:Choice>
      <mc:Fallback>
        <control shapeId="9217" r:id="rId4" name="calRepDat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pDatAGG">
    <tabColor theme="6" tint="0.39997558519241921"/>
  </sheetPr>
  <dimension ref="B6:BB43"/>
  <sheetViews>
    <sheetView showGridLines="0" zoomScale="70" zoomScaleNormal="70" workbookViewId="0"/>
  </sheetViews>
  <sheetFormatPr defaultRowHeight="15"/>
  <cols>
    <col min="1" max="1" width="4.28515625" customWidth="1"/>
    <col min="2" max="2" width="18.7109375" bestFit="1" customWidth="1"/>
    <col min="3" max="3" width="10.5703125" bestFit="1" customWidth="1"/>
    <col min="4" max="4" width="11.140625" bestFit="1" customWidth="1"/>
    <col min="5" max="5" width="11.5703125" bestFit="1" customWidth="1"/>
    <col min="6" max="6" width="11.140625" bestFit="1" customWidth="1"/>
    <col min="7" max="7" width="13" bestFit="1" customWidth="1"/>
    <col min="8" max="8" width="12.5703125" bestFit="1" customWidth="1"/>
    <col min="9" max="9" width="45.7109375" bestFit="1" customWidth="1"/>
    <col min="10" max="10" width="4.28515625" style="48" customWidth="1"/>
    <col min="11" max="11" width="17.28515625" bestFit="1" customWidth="1"/>
    <col min="12" max="12" width="14" bestFit="1" customWidth="1"/>
    <col min="13" max="13" width="11.140625" bestFit="1" customWidth="1"/>
    <col min="14" max="14" width="11.5703125" bestFit="1" customWidth="1"/>
    <col min="15" max="15" width="11.140625" bestFit="1" customWidth="1"/>
    <col min="16" max="16" width="13" bestFit="1" customWidth="1"/>
    <col min="17" max="17" width="12.5703125" bestFit="1" customWidth="1"/>
    <col min="18" max="18" width="45.7109375" bestFit="1" customWidth="1"/>
    <col min="19" max="19" width="4.28515625" customWidth="1"/>
    <col min="20" max="20" width="17.28515625" bestFit="1" customWidth="1"/>
    <col min="21" max="21" width="10.5703125" bestFit="1" customWidth="1"/>
    <col min="22" max="22" width="11.140625" bestFit="1" customWidth="1"/>
    <col min="23" max="23" width="11.5703125" bestFit="1" customWidth="1"/>
    <col min="24" max="24" width="11.140625" bestFit="1" customWidth="1"/>
    <col min="25" max="25" width="13" bestFit="1" customWidth="1"/>
    <col min="26" max="26" width="12.5703125" bestFit="1" customWidth="1"/>
    <col min="27" max="27" width="45.7109375" bestFit="1" customWidth="1"/>
    <col min="28" max="28" width="4.28515625" customWidth="1"/>
    <col min="29" max="29" width="17.28515625" bestFit="1" customWidth="1"/>
    <col min="30" max="30" width="10.5703125" bestFit="1" customWidth="1"/>
    <col min="31" max="31" width="11.140625" bestFit="1" customWidth="1"/>
    <col min="32" max="32" width="11.5703125" bestFit="1" customWidth="1"/>
    <col min="33" max="33" width="11.140625" bestFit="1" customWidth="1"/>
    <col min="34" max="34" width="13" bestFit="1" customWidth="1"/>
    <col min="35" max="35" width="12.5703125" bestFit="1" customWidth="1"/>
    <col min="36" max="36" width="45.7109375" bestFit="1" customWidth="1"/>
    <col min="37" max="37" width="4.28515625" customWidth="1"/>
    <col min="38" max="38" width="17.28515625" bestFit="1" customWidth="1"/>
    <col min="39" max="39" width="10.5703125" bestFit="1" customWidth="1"/>
    <col min="40" max="40" width="11.140625" bestFit="1" customWidth="1"/>
    <col min="41" max="41" width="11.5703125" bestFit="1" customWidth="1"/>
    <col min="42" max="42" width="11.140625" bestFit="1" customWidth="1"/>
    <col min="43" max="43" width="13" bestFit="1" customWidth="1"/>
    <col min="44" max="44" width="12.5703125" bestFit="1" customWidth="1"/>
    <col min="45" max="45" width="45.7109375" bestFit="1" customWidth="1"/>
    <col min="46" max="46" width="4.28515625" customWidth="1"/>
    <col min="47" max="47" width="17.28515625" bestFit="1" customWidth="1"/>
    <col min="48" max="48" width="10.5703125" bestFit="1" customWidth="1"/>
    <col min="49" max="49" width="11.140625" bestFit="1" customWidth="1"/>
    <col min="50" max="50" width="11.5703125" bestFit="1" customWidth="1"/>
    <col min="51" max="51" width="11.140625" bestFit="1" customWidth="1"/>
    <col min="52" max="52" width="13" bestFit="1" customWidth="1"/>
    <col min="53" max="53" width="12.5703125" bestFit="1" customWidth="1"/>
    <col min="54" max="54" width="45.7109375" bestFit="1" customWidth="1"/>
  </cols>
  <sheetData>
    <row r="6" spans="2:54" ht="23.25">
      <c r="B6" s="186" t="s">
        <v>203</v>
      </c>
      <c r="C6" s="187"/>
      <c r="D6" s="187"/>
      <c r="E6" s="187"/>
      <c r="F6" s="187"/>
      <c r="G6" s="187"/>
      <c r="H6" s="187"/>
      <c r="I6" s="187"/>
      <c r="K6" s="186" t="s">
        <v>203</v>
      </c>
      <c r="L6" s="187"/>
      <c r="M6" s="187"/>
      <c r="N6" s="187"/>
      <c r="O6" s="187"/>
      <c r="P6" s="187"/>
      <c r="Q6" s="187"/>
      <c r="R6" s="187"/>
      <c r="T6" s="186" t="s">
        <v>203</v>
      </c>
      <c r="U6" s="187"/>
      <c r="V6" s="187"/>
      <c r="W6" s="187"/>
      <c r="X6" s="187"/>
      <c r="Y6" s="187"/>
      <c r="Z6" s="187"/>
      <c r="AA6" s="187"/>
      <c r="AC6" s="186" t="s">
        <v>203</v>
      </c>
      <c r="AD6" s="187"/>
      <c r="AE6" s="187"/>
      <c r="AF6" s="187"/>
      <c r="AG6" s="187"/>
      <c r="AH6" s="187"/>
      <c r="AI6" s="187"/>
      <c r="AJ6" s="187"/>
      <c r="AL6" s="186" t="s">
        <v>203</v>
      </c>
      <c r="AM6" s="187"/>
      <c r="AN6" s="187"/>
      <c r="AO6" s="187"/>
      <c r="AP6" s="187"/>
      <c r="AQ6" s="187"/>
      <c r="AR6" s="187"/>
      <c r="AS6" s="187"/>
      <c r="AU6" s="186" t="s">
        <v>203</v>
      </c>
      <c r="AV6" s="187"/>
      <c r="AW6" s="187"/>
      <c r="AX6" s="187"/>
      <c r="AY6" s="187"/>
      <c r="AZ6" s="187"/>
      <c r="BA6" s="187"/>
      <c r="BB6" s="187"/>
    </row>
    <row r="8" spans="2:54" ht="21">
      <c r="B8" s="188" t="s">
        <v>204</v>
      </c>
      <c r="C8" s="189"/>
      <c r="D8" s="189"/>
      <c r="E8" s="189"/>
      <c r="F8" s="189"/>
      <c r="G8" s="189"/>
      <c r="H8" s="189"/>
      <c r="I8" s="190"/>
      <c r="J8"/>
      <c r="K8" s="188" t="s">
        <v>204</v>
      </c>
      <c r="L8" s="189"/>
      <c r="M8" s="189"/>
      <c r="N8" s="189"/>
      <c r="O8" s="189"/>
      <c r="P8" s="189"/>
      <c r="Q8" s="189"/>
      <c r="R8" s="190"/>
      <c r="T8" s="188" t="s">
        <v>204</v>
      </c>
      <c r="U8" s="189"/>
      <c r="V8" s="189"/>
      <c r="W8" s="189"/>
      <c r="X8" s="189"/>
      <c r="Y8" s="189"/>
      <c r="Z8" s="189"/>
      <c r="AA8" s="190"/>
      <c r="AC8" s="188" t="s">
        <v>204</v>
      </c>
      <c r="AD8" s="189"/>
      <c r="AE8" s="189"/>
      <c r="AF8" s="189"/>
      <c r="AG8" s="189"/>
      <c r="AH8" s="189"/>
      <c r="AI8" s="189"/>
      <c r="AJ8" s="190"/>
      <c r="AL8" s="188" t="s">
        <v>204</v>
      </c>
      <c r="AM8" s="189"/>
      <c r="AN8" s="189"/>
      <c r="AO8" s="189"/>
      <c r="AP8" s="189"/>
      <c r="AQ8" s="189"/>
      <c r="AR8" s="189"/>
      <c r="AS8" s="190"/>
      <c r="AU8" s="188" t="s">
        <v>204</v>
      </c>
      <c r="AV8" s="189"/>
      <c r="AW8" s="189"/>
      <c r="AX8" s="189"/>
      <c r="AY8" s="189"/>
      <c r="AZ8" s="189"/>
      <c r="BA8" s="189"/>
      <c r="BB8" s="190"/>
    </row>
    <row r="9" spans="2:54">
      <c r="B9" s="84" t="s">
        <v>187</v>
      </c>
      <c r="C9" s="85" t="s">
        <v>205</v>
      </c>
      <c r="D9" s="85" t="s">
        <v>175</v>
      </c>
      <c r="E9" s="85" t="s">
        <v>176</v>
      </c>
      <c r="F9" s="86" t="s">
        <v>177</v>
      </c>
      <c r="G9" s="85" t="s">
        <v>277</v>
      </c>
      <c r="H9" s="85" t="s">
        <v>209</v>
      </c>
      <c r="I9" s="85" t="s">
        <v>188</v>
      </c>
      <c r="J9"/>
      <c r="K9" s="84" t="s">
        <v>187</v>
      </c>
      <c r="L9" s="85" t="s">
        <v>205</v>
      </c>
      <c r="M9" s="85" t="s">
        <v>175</v>
      </c>
      <c r="N9" s="85" t="s">
        <v>176</v>
      </c>
      <c r="O9" s="86" t="s">
        <v>177</v>
      </c>
      <c r="P9" s="85" t="s">
        <v>277</v>
      </c>
      <c r="Q9" s="85" t="s">
        <v>209</v>
      </c>
      <c r="R9" s="85" t="s">
        <v>188</v>
      </c>
      <c r="T9" s="84" t="s">
        <v>187</v>
      </c>
      <c r="U9" s="85" t="s">
        <v>205</v>
      </c>
      <c r="V9" s="85" t="s">
        <v>175</v>
      </c>
      <c r="W9" s="85" t="s">
        <v>176</v>
      </c>
      <c r="X9" s="86" t="s">
        <v>177</v>
      </c>
      <c r="Y9" s="85" t="s">
        <v>277</v>
      </c>
      <c r="Z9" s="85" t="s">
        <v>209</v>
      </c>
      <c r="AA9" s="85" t="s">
        <v>188</v>
      </c>
      <c r="AC9" s="84" t="s">
        <v>187</v>
      </c>
      <c r="AD9" s="85" t="s">
        <v>205</v>
      </c>
      <c r="AE9" s="85" t="s">
        <v>175</v>
      </c>
      <c r="AF9" s="85" t="s">
        <v>176</v>
      </c>
      <c r="AG9" s="86" t="s">
        <v>177</v>
      </c>
      <c r="AH9" s="85" t="s">
        <v>277</v>
      </c>
      <c r="AI9" s="85" t="s">
        <v>209</v>
      </c>
      <c r="AJ9" s="85" t="s">
        <v>188</v>
      </c>
      <c r="AL9" s="84" t="s">
        <v>187</v>
      </c>
      <c r="AM9" s="85" t="s">
        <v>205</v>
      </c>
      <c r="AN9" s="85" t="s">
        <v>175</v>
      </c>
      <c r="AO9" s="85" t="s">
        <v>176</v>
      </c>
      <c r="AP9" s="86" t="s">
        <v>177</v>
      </c>
      <c r="AQ9" s="85" t="s">
        <v>277</v>
      </c>
      <c r="AR9" s="85" t="s">
        <v>209</v>
      </c>
      <c r="AS9" s="85" t="s">
        <v>188</v>
      </c>
      <c r="AU9" s="84" t="s">
        <v>187</v>
      </c>
      <c r="AV9" s="85" t="s">
        <v>205</v>
      </c>
      <c r="AW9" s="85" t="s">
        <v>175</v>
      </c>
      <c r="AX9" s="85" t="s">
        <v>176</v>
      </c>
      <c r="AY9" s="86" t="s">
        <v>177</v>
      </c>
      <c r="AZ9" s="85" t="s">
        <v>277</v>
      </c>
      <c r="BA9" s="85" t="s">
        <v>209</v>
      </c>
      <c r="BB9" s="85" t="s">
        <v>188</v>
      </c>
    </row>
    <row r="10" spans="2:54">
      <c r="B10" s="88">
        <v>42521</v>
      </c>
      <c r="C10" s="69">
        <v>-9.2705579891000003</v>
      </c>
      <c r="D10" s="69"/>
      <c r="E10" s="69" t="str">
        <f>IF(OR(NOT(ISNUMBER(C10)),NOT(ISNUMBER(D10))),"",C10-D10)</f>
        <v/>
      </c>
      <c r="F10" s="69" t="str">
        <f>IF(OR(NOT(ISNUMBER(C10)),NOT(ISNUMBER(D10))),"",((((C10/100)+1)/((D10/100)+1))-1)*100)</f>
        <v/>
      </c>
      <c r="G10" s="89"/>
      <c r="H10" s="89"/>
      <c r="I10" s="90" t="s">
        <v>234</v>
      </c>
      <c r="J10"/>
      <c r="K10" s="88">
        <v>42521</v>
      </c>
      <c r="L10" s="69">
        <v>3.80163689E-2</v>
      </c>
      <c r="M10" s="69"/>
      <c r="N10" s="69" t="str">
        <f t="shared" ref="N10:N21" si="0">IF(OR(NOT(ISNUMBER(L10)),NOT(ISNUMBER(M10))),"",L10-M10)</f>
        <v/>
      </c>
      <c r="O10" s="69" t="str">
        <f t="shared" ref="O10:O21" si="1">IF(OR(NOT(ISNUMBER(L10)),NOT(ISNUMBER(M10))),"",((((L10/100)+1)/((M10/100)+1))-1)*100)</f>
        <v/>
      </c>
      <c r="P10" s="89"/>
      <c r="Q10" s="89"/>
      <c r="R10" s="90" t="s">
        <v>234</v>
      </c>
      <c r="T10" s="88"/>
      <c r="U10" s="69"/>
      <c r="V10" s="69"/>
      <c r="W10" s="69" t="str">
        <f t="shared" ref="W10:W21" si="2">IF(OR(NOT(ISNUMBER(U10)),NOT(ISNUMBER(V10))),"",U10-V10)</f>
        <v/>
      </c>
      <c r="X10" s="69" t="str">
        <f t="shared" ref="X10:X21" si="3">IF(OR(NOT(ISNUMBER(U10)),NOT(ISNUMBER(V10))),"",((((U10/100)+1)/((V10/100)+1))-1)*100)</f>
        <v/>
      </c>
      <c r="Y10" s="89"/>
      <c r="Z10" s="89"/>
      <c r="AA10" s="90"/>
      <c r="AC10" s="88"/>
      <c r="AD10" s="69"/>
      <c r="AE10" s="69"/>
      <c r="AF10" s="69" t="str">
        <f t="shared" ref="AF10:AF21" si="4">IF(OR(NOT(ISNUMBER(AD10)),NOT(ISNUMBER(AE10))),"",AD10-AE10)</f>
        <v/>
      </c>
      <c r="AG10" s="69" t="str">
        <f t="shared" ref="AG10:AG21" si="5">IF(OR(NOT(ISNUMBER(AD10)),NOT(ISNUMBER(AE10))),"",((((AD10/100)+1)/((AE10/100)+1))-1)*100)</f>
        <v/>
      </c>
      <c r="AH10" s="89"/>
      <c r="AI10" s="89"/>
      <c r="AJ10" s="90"/>
      <c r="AL10" s="88"/>
      <c r="AM10" s="69"/>
      <c r="AN10" s="69"/>
      <c r="AO10" s="69" t="str">
        <f t="shared" ref="AO10:AO21" si="6">IF(OR(NOT(ISNUMBER(AM10)),NOT(ISNUMBER(AN10))),"",AM10-AN10)</f>
        <v/>
      </c>
      <c r="AP10" s="69" t="str">
        <f t="shared" ref="AP10:AP21" si="7">IF(OR(NOT(ISNUMBER(AM10)),NOT(ISNUMBER(AN10))),"",((((AM10/100)+1)/((AN10/100)+1))-1)*100)</f>
        <v/>
      </c>
      <c r="AQ10" s="89"/>
      <c r="AR10" s="89"/>
      <c r="AS10" s="90"/>
      <c r="AU10" s="88"/>
      <c r="AV10" s="69"/>
      <c r="AW10" s="69"/>
      <c r="AX10" s="69" t="str">
        <f t="shared" ref="AX10:AX21" si="8">IF(OR(NOT(ISNUMBER(AW10)),NOT(ISNUMBER(AW10))),"",AW10-AW10)</f>
        <v/>
      </c>
      <c r="AY10" s="69" t="str">
        <f t="shared" ref="AY10:AY21" si="9">IF(OR(NOT(ISNUMBER(AW10)),NOT(ISNUMBER(AW10))),"",((((AW10/100)+1)/((AW10/100)+1))-1)*100)</f>
        <v/>
      </c>
      <c r="AZ10" s="89"/>
      <c r="BA10" s="89"/>
      <c r="BB10" s="90"/>
    </row>
    <row r="11" spans="2:54">
      <c r="B11" s="88">
        <v>42551</v>
      </c>
      <c r="C11" s="69">
        <v>-2.5760802265999998</v>
      </c>
      <c r="D11" s="69"/>
      <c r="E11" s="69" t="str">
        <f t="shared" ref="E11:E21" si="10">IF(OR(NOT(ISNUMBER(C11)),NOT(ISNUMBER(D11))),"",C11-D11)</f>
        <v/>
      </c>
      <c r="F11" s="69" t="str">
        <f t="shared" ref="F11:F21" si="11">IF(OR(NOT(ISNUMBER(C11)),NOT(ISNUMBER(D11))),"",((((C11/100)+1)/((D11/100)+1))-1)*100)</f>
        <v/>
      </c>
      <c r="G11" s="89"/>
      <c r="H11" s="89"/>
      <c r="I11" s="90" t="s">
        <v>234</v>
      </c>
      <c r="J11"/>
      <c r="K11" s="88">
        <v>42551</v>
      </c>
      <c r="L11" s="69">
        <v>4.4738897499999999E-2</v>
      </c>
      <c r="M11" s="69"/>
      <c r="N11" s="69" t="str">
        <f t="shared" si="0"/>
        <v/>
      </c>
      <c r="O11" s="69" t="str">
        <f t="shared" si="1"/>
        <v/>
      </c>
      <c r="P11" s="89"/>
      <c r="Q11" s="89"/>
      <c r="R11" s="90" t="s">
        <v>234</v>
      </c>
      <c r="T11" s="88"/>
      <c r="U11" s="69"/>
      <c r="V11" s="69"/>
      <c r="W11" s="69" t="str">
        <f t="shared" si="2"/>
        <v/>
      </c>
      <c r="X11" s="69" t="str">
        <f t="shared" si="3"/>
        <v/>
      </c>
      <c r="Y11" s="89"/>
      <c r="Z11" s="89"/>
      <c r="AA11" s="90"/>
      <c r="AC11" s="88"/>
      <c r="AD11" s="69"/>
      <c r="AE11" s="69"/>
      <c r="AF11" s="69" t="str">
        <f t="shared" si="4"/>
        <v/>
      </c>
      <c r="AG11" s="69" t="str">
        <f t="shared" si="5"/>
        <v/>
      </c>
      <c r="AH11" s="89"/>
      <c r="AI11" s="89"/>
      <c r="AJ11" s="90"/>
      <c r="AL11" s="88"/>
      <c r="AM11" s="69"/>
      <c r="AN11" s="69"/>
      <c r="AO11" s="69" t="str">
        <f t="shared" si="6"/>
        <v/>
      </c>
      <c r="AP11" s="69" t="str">
        <f t="shared" si="7"/>
        <v/>
      </c>
      <c r="AQ11" s="89"/>
      <c r="AR11" s="89"/>
      <c r="AS11" s="90"/>
      <c r="AU11" s="88"/>
      <c r="AV11" s="69"/>
      <c r="AW11" s="69"/>
      <c r="AX11" s="69" t="str">
        <f t="shared" si="8"/>
        <v/>
      </c>
      <c r="AY11" s="69" t="str">
        <f t="shared" si="9"/>
        <v/>
      </c>
      <c r="AZ11" s="89"/>
      <c r="BA11" s="89"/>
      <c r="BB11" s="90"/>
    </row>
    <row r="12" spans="2:54">
      <c r="B12" s="88">
        <v>42582</v>
      </c>
      <c r="C12" s="69">
        <v>-39.279541479400002</v>
      </c>
      <c r="D12" s="69"/>
      <c r="E12" s="69" t="str">
        <f t="shared" si="10"/>
        <v/>
      </c>
      <c r="F12" s="69" t="str">
        <f t="shared" si="11"/>
        <v/>
      </c>
      <c r="G12" s="89"/>
      <c r="H12" s="89"/>
      <c r="I12" s="90" t="s">
        <v>234</v>
      </c>
      <c r="J12"/>
      <c r="K12" s="88">
        <v>42582</v>
      </c>
      <c r="L12" s="69">
        <v>4.04091231E-2</v>
      </c>
      <c r="M12" s="69"/>
      <c r="N12" s="69" t="str">
        <f t="shared" si="0"/>
        <v/>
      </c>
      <c r="O12" s="69" t="str">
        <f t="shared" si="1"/>
        <v/>
      </c>
      <c r="P12" s="89"/>
      <c r="Q12" s="89"/>
      <c r="R12" s="90" t="s">
        <v>234</v>
      </c>
      <c r="T12" s="88"/>
      <c r="U12" s="69"/>
      <c r="V12" s="69"/>
      <c r="W12" s="69" t="str">
        <f t="shared" si="2"/>
        <v/>
      </c>
      <c r="X12" s="69" t="str">
        <f t="shared" si="3"/>
        <v/>
      </c>
      <c r="Y12" s="89"/>
      <c r="Z12" s="89"/>
      <c r="AA12" s="90"/>
      <c r="AC12" s="88"/>
      <c r="AD12" s="69"/>
      <c r="AE12" s="69"/>
      <c r="AF12" s="69" t="str">
        <f t="shared" si="4"/>
        <v/>
      </c>
      <c r="AG12" s="69" t="str">
        <f t="shared" si="5"/>
        <v/>
      </c>
      <c r="AH12" s="89"/>
      <c r="AI12" s="89"/>
      <c r="AJ12" s="90"/>
      <c r="AL12" s="88"/>
      <c r="AM12" s="69"/>
      <c r="AN12" s="69"/>
      <c r="AO12" s="69" t="str">
        <f t="shared" si="6"/>
        <v/>
      </c>
      <c r="AP12" s="69" t="str">
        <f t="shared" si="7"/>
        <v/>
      </c>
      <c r="AQ12" s="89"/>
      <c r="AR12" s="89"/>
      <c r="AS12" s="90"/>
      <c r="AU12" s="88"/>
      <c r="AV12" s="69"/>
      <c r="AW12" s="69"/>
      <c r="AX12" s="69" t="str">
        <f t="shared" si="8"/>
        <v/>
      </c>
      <c r="AY12" s="69" t="str">
        <f t="shared" si="9"/>
        <v/>
      </c>
      <c r="AZ12" s="89"/>
      <c r="BA12" s="89"/>
      <c r="BB12" s="90"/>
    </row>
    <row r="13" spans="2:54">
      <c r="B13" s="88">
        <v>42613</v>
      </c>
      <c r="C13" s="69">
        <v>-16.909865338900001</v>
      </c>
      <c r="D13" s="69"/>
      <c r="E13" s="69" t="str">
        <f t="shared" si="10"/>
        <v/>
      </c>
      <c r="F13" s="69" t="str">
        <f t="shared" si="11"/>
        <v/>
      </c>
      <c r="G13" s="89"/>
      <c r="H13" s="89"/>
      <c r="I13" s="90" t="s">
        <v>234</v>
      </c>
      <c r="J13"/>
      <c r="K13" s="88">
        <v>42613</v>
      </c>
      <c r="L13" s="69">
        <v>2.6038067500000001E-2</v>
      </c>
      <c r="M13" s="69"/>
      <c r="N13" s="69" t="str">
        <f t="shared" si="0"/>
        <v/>
      </c>
      <c r="O13" s="69" t="str">
        <f t="shared" si="1"/>
        <v/>
      </c>
      <c r="P13" s="89"/>
      <c r="Q13" s="89"/>
      <c r="R13" s="90" t="s">
        <v>234</v>
      </c>
      <c r="T13" s="88"/>
      <c r="U13" s="69"/>
      <c r="V13" s="69"/>
      <c r="W13" s="69" t="str">
        <f t="shared" si="2"/>
        <v/>
      </c>
      <c r="X13" s="69" t="str">
        <f t="shared" si="3"/>
        <v/>
      </c>
      <c r="Y13" s="89"/>
      <c r="Z13" s="89"/>
      <c r="AA13" s="90"/>
      <c r="AC13" s="88"/>
      <c r="AD13" s="69"/>
      <c r="AE13" s="69"/>
      <c r="AF13" s="69" t="str">
        <f t="shared" si="4"/>
        <v/>
      </c>
      <c r="AG13" s="69" t="str">
        <f t="shared" si="5"/>
        <v/>
      </c>
      <c r="AH13" s="89"/>
      <c r="AI13" s="89"/>
      <c r="AJ13" s="90"/>
      <c r="AL13" s="88"/>
      <c r="AM13" s="69"/>
      <c r="AN13" s="69"/>
      <c r="AO13" s="69" t="str">
        <f t="shared" si="6"/>
        <v/>
      </c>
      <c r="AP13" s="69" t="str">
        <f t="shared" si="7"/>
        <v/>
      </c>
      <c r="AQ13" s="89"/>
      <c r="AR13" s="89"/>
      <c r="AS13" s="90"/>
      <c r="AU13" s="88"/>
      <c r="AV13" s="69"/>
      <c r="AW13" s="69"/>
      <c r="AX13" s="69" t="str">
        <f t="shared" si="8"/>
        <v/>
      </c>
      <c r="AY13" s="69" t="str">
        <f t="shared" si="9"/>
        <v/>
      </c>
      <c r="AZ13" s="89"/>
      <c r="BA13" s="89"/>
      <c r="BB13" s="90"/>
    </row>
    <row r="14" spans="2:54">
      <c r="B14" s="88">
        <v>42643</v>
      </c>
      <c r="C14" s="69">
        <v>-19.769323953499999</v>
      </c>
      <c r="D14" s="69"/>
      <c r="E14" s="69" t="str">
        <f t="shared" si="10"/>
        <v/>
      </c>
      <c r="F14" s="69" t="str">
        <f t="shared" si="11"/>
        <v/>
      </c>
      <c r="G14" s="89"/>
      <c r="H14" s="89"/>
      <c r="I14" s="90" t="s">
        <v>234</v>
      </c>
      <c r="J14"/>
      <c r="K14" s="88">
        <v>42643</v>
      </c>
      <c r="L14" s="69">
        <v>1.5163410400000001E-2</v>
      </c>
      <c r="M14" s="69"/>
      <c r="N14" s="69" t="str">
        <f t="shared" si="0"/>
        <v/>
      </c>
      <c r="O14" s="69" t="str">
        <f t="shared" si="1"/>
        <v/>
      </c>
      <c r="P14" s="89"/>
      <c r="Q14" s="89"/>
      <c r="R14" s="90" t="s">
        <v>234</v>
      </c>
      <c r="T14" s="88"/>
      <c r="U14" s="69"/>
      <c r="V14" s="69"/>
      <c r="W14" s="69" t="str">
        <f t="shared" si="2"/>
        <v/>
      </c>
      <c r="X14" s="69" t="str">
        <f t="shared" si="3"/>
        <v/>
      </c>
      <c r="Y14" s="89"/>
      <c r="Z14" s="89"/>
      <c r="AA14" s="90"/>
      <c r="AC14" s="88"/>
      <c r="AD14" s="69"/>
      <c r="AE14" s="69"/>
      <c r="AF14" s="69" t="str">
        <f t="shared" si="4"/>
        <v/>
      </c>
      <c r="AG14" s="69" t="str">
        <f t="shared" si="5"/>
        <v/>
      </c>
      <c r="AH14" s="89"/>
      <c r="AI14" s="89"/>
      <c r="AJ14" s="90"/>
      <c r="AL14" s="88"/>
      <c r="AM14" s="69"/>
      <c r="AN14" s="69"/>
      <c r="AO14" s="69" t="str">
        <f t="shared" si="6"/>
        <v/>
      </c>
      <c r="AP14" s="69" t="str">
        <f t="shared" si="7"/>
        <v/>
      </c>
      <c r="AQ14" s="89"/>
      <c r="AR14" s="89"/>
      <c r="AS14" s="90"/>
      <c r="AU14" s="88"/>
      <c r="AV14" s="69"/>
      <c r="AW14" s="69"/>
      <c r="AX14" s="69" t="str">
        <f t="shared" si="8"/>
        <v/>
      </c>
      <c r="AY14" s="69" t="str">
        <f t="shared" si="9"/>
        <v/>
      </c>
      <c r="AZ14" s="89"/>
      <c r="BA14" s="89"/>
      <c r="BB14" s="90"/>
    </row>
    <row r="15" spans="2:54">
      <c r="B15" s="88">
        <v>42674</v>
      </c>
      <c r="C15" s="69">
        <v>-17.035538033200002</v>
      </c>
      <c r="D15" s="69"/>
      <c r="E15" s="69" t="str">
        <f t="shared" si="10"/>
        <v/>
      </c>
      <c r="F15" s="69" t="str">
        <f t="shared" si="11"/>
        <v/>
      </c>
      <c r="G15" s="89"/>
      <c r="H15" s="89"/>
      <c r="I15" s="90" t="s">
        <v>234</v>
      </c>
      <c r="J15"/>
      <c r="K15" s="88">
        <v>42674</v>
      </c>
      <c r="L15" s="69">
        <v>9.5651942999999996E-3</v>
      </c>
      <c r="M15" s="69"/>
      <c r="N15" s="69" t="str">
        <f t="shared" si="0"/>
        <v/>
      </c>
      <c r="O15" s="69" t="str">
        <f t="shared" si="1"/>
        <v/>
      </c>
      <c r="P15" s="89"/>
      <c r="Q15" s="89"/>
      <c r="R15" s="90" t="s">
        <v>234</v>
      </c>
      <c r="T15" s="88"/>
      <c r="U15" s="69"/>
      <c r="V15" s="69"/>
      <c r="W15" s="69" t="str">
        <f t="shared" si="2"/>
        <v/>
      </c>
      <c r="X15" s="69" t="str">
        <f t="shared" si="3"/>
        <v/>
      </c>
      <c r="Y15" s="89"/>
      <c r="Z15" s="89"/>
      <c r="AA15" s="90"/>
      <c r="AC15" s="88"/>
      <c r="AD15" s="69"/>
      <c r="AE15" s="69"/>
      <c r="AF15" s="69" t="str">
        <f t="shared" si="4"/>
        <v/>
      </c>
      <c r="AG15" s="69" t="str">
        <f t="shared" si="5"/>
        <v/>
      </c>
      <c r="AH15" s="89"/>
      <c r="AI15" s="89"/>
      <c r="AJ15" s="90"/>
      <c r="AL15" s="88"/>
      <c r="AM15" s="69"/>
      <c r="AN15" s="69"/>
      <c r="AO15" s="69" t="str">
        <f t="shared" si="6"/>
        <v/>
      </c>
      <c r="AP15" s="69" t="str">
        <f t="shared" si="7"/>
        <v/>
      </c>
      <c r="AQ15" s="89"/>
      <c r="AR15" s="89"/>
      <c r="AS15" s="90"/>
      <c r="AU15" s="88"/>
      <c r="AV15" s="69"/>
      <c r="AW15" s="69"/>
      <c r="AX15" s="69" t="str">
        <f t="shared" si="8"/>
        <v/>
      </c>
      <c r="AY15" s="69" t="str">
        <f t="shared" si="9"/>
        <v/>
      </c>
      <c r="AZ15" s="89"/>
      <c r="BA15" s="89"/>
      <c r="BB15" s="90"/>
    </row>
    <row r="16" spans="2:54">
      <c r="B16" s="88">
        <v>42704</v>
      </c>
      <c r="C16" s="69">
        <v>-4.4003691208999998</v>
      </c>
      <c r="D16" s="69"/>
      <c r="E16" s="69" t="str">
        <f t="shared" si="10"/>
        <v/>
      </c>
      <c r="F16" s="69" t="str">
        <f t="shared" si="11"/>
        <v/>
      </c>
      <c r="G16" s="89"/>
      <c r="H16" s="89"/>
      <c r="I16" s="90" t="s">
        <v>234</v>
      </c>
      <c r="J16"/>
      <c r="K16" s="88">
        <v>42704</v>
      </c>
      <c r="L16" s="69">
        <v>4.2076888200000002E-2</v>
      </c>
      <c r="M16" s="69"/>
      <c r="N16" s="69" t="str">
        <f t="shared" si="0"/>
        <v/>
      </c>
      <c r="O16" s="69" t="str">
        <f t="shared" si="1"/>
        <v/>
      </c>
      <c r="P16" s="89"/>
      <c r="Q16" s="89"/>
      <c r="R16" s="90" t="s">
        <v>234</v>
      </c>
      <c r="T16" s="88"/>
      <c r="U16" s="69"/>
      <c r="V16" s="69"/>
      <c r="W16" s="69" t="str">
        <f t="shared" si="2"/>
        <v/>
      </c>
      <c r="X16" s="69" t="str">
        <f t="shared" si="3"/>
        <v/>
      </c>
      <c r="Y16" s="89"/>
      <c r="Z16" s="89"/>
      <c r="AA16" s="90"/>
      <c r="AC16" s="88"/>
      <c r="AD16" s="69"/>
      <c r="AE16" s="69"/>
      <c r="AF16" s="69" t="str">
        <f t="shared" si="4"/>
        <v/>
      </c>
      <c r="AG16" s="69" t="str">
        <f t="shared" si="5"/>
        <v/>
      </c>
      <c r="AH16" s="89"/>
      <c r="AI16" s="89"/>
      <c r="AJ16" s="90"/>
      <c r="AL16" s="88"/>
      <c r="AM16" s="69"/>
      <c r="AN16" s="69"/>
      <c r="AO16" s="69" t="str">
        <f t="shared" si="6"/>
        <v/>
      </c>
      <c r="AP16" s="69" t="str">
        <f t="shared" si="7"/>
        <v/>
      </c>
      <c r="AQ16" s="89"/>
      <c r="AR16" s="89"/>
      <c r="AS16" s="90"/>
      <c r="AU16" s="88"/>
      <c r="AV16" s="69"/>
      <c r="AW16" s="69"/>
      <c r="AX16" s="69" t="str">
        <f t="shared" si="8"/>
        <v/>
      </c>
      <c r="AY16" s="69" t="str">
        <f t="shared" si="9"/>
        <v/>
      </c>
      <c r="AZ16" s="89"/>
      <c r="BA16" s="89"/>
      <c r="BB16" s="90"/>
    </row>
    <row r="17" spans="2:54">
      <c r="B17" s="88">
        <v>42735</v>
      </c>
      <c r="C17" s="69">
        <v>-34.391352400300001</v>
      </c>
      <c r="D17" s="69"/>
      <c r="E17" s="69" t="str">
        <f t="shared" si="10"/>
        <v/>
      </c>
      <c r="F17" s="69" t="str">
        <f t="shared" si="11"/>
        <v/>
      </c>
      <c r="G17" s="89"/>
      <c r="H17" s="89"/>
      <c r="I17" s="90" t="s">
        <v>234</v>
      </c>
      <c r="J17"/>
      <c r="K17" s="88">
        <v>42735</v>
      </c>
      <c r="L17" s="69">
        <v>8.2709085999999998E-3</v>
      </c>
      <c r="M17" s="69"/>
      <c r="N17" s="69" t="str">
        <f t="shared" si="0"/>
        <v/>
      </c>
      <c r="O17" s="69" t="str">
        <f t="shared" si="1"/>
        <v/>
      </c>
      <c r="P17" s="89"/>
      <c r="Q17" s="89"/>
      <c r="R17" s="90" t="s">
        <v>234</v>
      </c>
      <c r="T17" s="88"/>
      <c r="U17" s="69"/>
      <c r="V17" s="69"/>
      <c r="W17" s="69" t="str">
        <f t="shared" si="2"/>
        <v/>
      </c>
      <c r="X17" s="69" t="str">
        <f t="shared" si="3"/>
        <v/>
      </c>
      <c r="Y17" s="89"/>
      <c r="Z17" s="89"/>
      <c r="AA17" s="90"/>
      <c r="AC17" s="88"/>
      <c r="AD17" s="69"/>
      <c r="AE17" s="69"/>
      <c r="AF17" s="69" t="str">
        <f t="shared" si="4"/>
        <v/>
      </c>
      <c r="AG17" s="69" t="str">
        <f t="shared" si="5"/>
        <v/>
      </c>
      <c r="AH17" s="89"/>
      <c r="AI17" s="89"/>
      <c r="AJ17" s="90"/>
      <c r="AL17" s="88"/>
      <c r="AM17" s="69"/>
      <c r="AN17" s="69"/>
      <c r="AO17" s="69" t="str">
        <f t="shared" si="6"/>
        <v/>
      </c>
      <c r="AP17" s="69" t="str">
        <f t="shared" si="7"/>
        <v/>
      </c>
      <c r="AQ17" s="89"/>
      <c r="AR17" s="89"/>
      <c r="AS17" s="90"/>
      <c r="AU17" s="88"/>
      <c r="AV17" s="69"/>
      <c r="AW17" s="69"/>
      <c r="AX17" s="69" t="str">
        <f t="shared" si="8"/>
        <v/>
      </c>
      <c r="AY17" s="69" t="str">
        <f t="shared" si="9"/>
        <v/>
      </c>
      <c r="AZ17" s="89"/>
      <c r="BA17" s="89"/>
      <c r="BB17" s="90"/>
    </row>
    <row r="18" spans="2:54">
      <c r="B18" s="88">
        <v>42766</v>
      </c>
      <c r="C18" s="69">
        <v>-25.772298086100001</v>
      </c>
      <c r="D18" s="69"/>
      <c r="E18" s="69" t="str">
        <f t="shared" si="10"/>
        <v/>
      </c>
      <c r="F18" s="69" t="str">
        <f t="shared" si="11"/>
        <v/>
      </c>
      <c r="G18" s="89"/>
      <c r="H18" s="89"/>
      <c r="I18" s="90" t="s">
        <v>234</v>
      </c>
      <c r="J18"/>
      <c r="K18" s="88">
        <v>42766</v>
      </c>
      <c r="L18" s="69">
        <v>1.7251056599999998E-2</v>
      </c>
      <c r="M18" s="69"/>
      <c r="N18" s="69" t="str">
        <f t="shared" si="0"/>
        <v/>
      </c>
      <c r="O18" s="69" t="str">
        <f t="shared" si="1"/>
        <v/>
      </c>
      <c r="P18" s="89"/>
      <c r="Q18" s="89"/>
      <c r="R18" s="90" t="s">
        <v>234</v>
      </c>
      <c r="T18" s="88"/>
      <c r="U18" s="69"/>
      <c r="V18" s="69"/>
      <c r="W18" s="69" t="str">
        <f t="shared" si="2"/>
        <v/>
      </c>
      <c r="X18" s="69" t="str">
        <f t="shared" si="3"/>
        <v/>
      </c>
      <c r="Y18" s="89"/>
      <c r="Z18" s="89"/>
      <c r="AA18" s="90"/>
      <c r="AC18" s="88"/>
      <c r="AD18" s="69"/>
      <c r="AE18" s="69"/>
      <c r="AF18" s="69" t="str">
        <f t="shared" si="4"/>
        <v/>
      </c>
      <c r="AG18" s="69" t="str">
        <f t="shared" si="5"/>
        <v/>
      </c>
      <c r="AH18" s="89"/>
      <c r="AI18" s="89"/>
      <c r="AJ18" s="90"/>
      <c r="AL18" s="88"/>
      <c r="AM18" s="69"/>
      <c r="AN18" s="69"/>
      <c r="AO18" s="69" t="str">
        <f t="shared" si="6"/>
        <v/>
      </c>
      <c r="AP18" s="69" t="str">
        <f t="shared" si="7"/>
        <v/>
      </c>
      <c r="AQ18" s="89"/>
      <c r="AR18" s="89"/>
      <c r="AS18" s="90"/>
      <c r="AU18" s="88"/>
      <c r="AV18" s="69"/>
      <c r="AW18" s="69"/>
      <c r="AX18" s="69" t="str">
        <f t="shared" si="8"/>
        <v/>
      </c>
      <c r="AY18" s="69" t="str">
        <f t="shared" si="9"/>
        <v/>
      </c>
      <c r="AZ18" s="89"/>
      <c r="BA18" s="89"/>
      <c r="BB18" s="90"/>
    </row>
    <row r="19" spans="2:54">
      <c r="B19" s="88">
        <v>42794</v>
      </c>
      <c r="C19" s="69">
        <v>-26.386222821899999</v>
      </c>
      <c r="D19" s="69"/>
      <c r="E19" s="69" t="str">
        <f t="shared" si="10"/>
        <v/>
      </c>
      <c r="F19" s="69" t="str">
        <f t="shared" si="11"/>
        <v/>
      </c>
      <c r="G19" s="89"/>
      <c r="H19" s="89"/>
      <c r="I19" s="90" t="s">
        <v>234</v>
      </c>
      <c r="J19"/>
      <c r="K19" s="88">
        <v>42794</v>
      </c>
      <c r="L19" s="69">
        <v>9.1149999999999998E-7</v>
      </c>
      <c r="M19" s="69"/>
      <c r="N19" s="69" t="str">
        <f t="shared" si="0"/>
        <v/>
      </c>
      <c r="O19" s="69" t="str">
        <f t="shared" si="1"/>
        <v/>
      </c>
      <c r="P19" s="89"/>
      <c r="Q19" s="89"/>
      <c r="R19" s="90" t="s">
        <v>234</v>
      </c>
      <c r="T19" s="88"/>
      <c r="U19" s="69"/>
      <c r="V19" s="69"/>
      <c r="W19" s="69" t="str">
        <f t="shared" si="2"/>
        <v/>
      </c>
      <c r="X19" s="69" t="str">
        <f t="shared" si="3"/>
        <v/>
      </c>
      <c r="Y19" s="89"/>
      <c r="Z19" s="89"/>
      <c r="AA19" s="90"/>
      <c r="AC19" s="88"/>
      <c r="AD19" s="69"/>
      <c r="AE19" s="69"/>
      <c r="AF19" s="69" t="str">
        <f t="shared" si="4"/>
        <v/>
      </c>
      <c r="AG19" s="69" t="str">
        <f t="shared" si="5"/>
        <v/>
      </c>
      <c r="AH19" s="89"/>
      <c r="AI19" s="89"/>
      <c r="AJ19" s="90"/>
      <c r="AL19" s="88"/>
      <c r="AM19" s="69"/>
      <c r="AN19" s="69"/>
      <c r="AO19" s="69" t="str">
        <f t="shared" si="6"/>
        <v/>
      </c>
      <c r="AP19" s="69" t="str">
        <f t="shared" si="7"/>
        <v/>
      </c>
      <c r="AQ19" s="89"/>
      <c r="AR19" s="89"/>
      <c r="AS19" s="90"/>
      <c r="AU19" s="88"/>
      <c r="AV19" s="69"/>
      <c r="AW19" s="69"/>
      <c r="AX19" s="69" t="str">
        <f t="shared" si="8"/>
        <v/>
      </c>
      <c r="AY19" s="69" t="str">
        <f t="shared" si="9"/>
        <v/>
      </c>
      <c r="AZ19" s="89"/>
      <c r="BA19" s="89"/>
      <c r="BB19" s="90"/>
    </row>
    <row r="20" spans="2:54">
      <c r="B20" s="88">
        <v>42825</v>
      </c>
      <c r="C20" s="69">
        <v>-43.715676578999997</v>
      </c>
      <c r="D20" s="69"/>
      <c r="E20" s="69" t="str">
        <f t="shared" si="10"/>
        <v/>
      </c>
      <c r="F20" s="69" t="str">
        <f t="shared" si="11"/>
        <v/>
      </c>
      <c r="G20" s="89"/>
      <c r="H20" s="89"/>
      <c r="I20" s="90" t="s">
        <v>234</v>
      </c>
      <c r="J20"/>
      <c r="K20" s="88">
        <v>42825</v>
      </c>
      <c r="L20" s="69">
        <v>-1.6985899999999999E-5</v>
      </c>
      <c r="M20" s="69"/>
      <c r="N20" s="69" t="str">
        <f t="shared" si="0"/>
        <v/>
      </c>
      <c r="O20" s="69" t="str">
        <f t="shared" si="1"/>
        <v/>
      </c>
      <c r="P20" s="89"/>
      <c r="Q20" s="89"/>
      <c r="R20" s="90" t="s">
        <v>234</v>
      </c>
      <c r="T20" s="88"/>
      <c r="U20" s="69"/>
      <c r="V20" s="69"/>
      <c r="W20" s="69" t="str">
        <f t="shared" si="2"/>
        <v/>
      </c>
      <c r="X20" s="69" t="str">
        <f t="shared" si="3"/>
        <v/>
      </c>
      <c r="Y20" s="89"/>
      <c r="Z20" s="89"/>
      <c r="AA20" s="90"/>
      <c r="AC20" s="88"/>
      <c r="AD20" s="69"/>
      <c r="AE20" s="69"/>
      <c r="AF20" s="69" t="str">
        <f t="shared" si="4"/>
        <v/>
      </c>
      <c r="AG20" s="69" t="str">
        <f t="shared" si="5"/>
        <v/>
      </c>
      <c r="AH20" s="89"/>
      <c r="AI20" s="89"/>
      <c r="AJ20" s="90"/>
      <c r="AL20" s="88"/>
      <c r="AM20" s="69"/>
      <c r="AN20" s="69"/>
      <c r="AO20" s="69" t="str">
        <f t="shared" si="6"/>
        <v/>
      </c>
      <c r="AP20" s="69" t="str">
        <f t="shared" si="7"/>
        <v/>
      </c>
      <c r="AQ20" s="89"/>
      <c r="AR20" s="89"/>
      <c r="AS20" s="90"/>
      <c r="AU20" s="88"/>
      <c r="AV20" s="69"/>
      <c r="AW20" s="69"/>
      <c r="AX20" s="69" t="str">
        <f t="shared" si="8"/>
        <v/>
      </c>
      <c r="AY20" s="69" t="str">
        <f t="shared" si="9"/>
        <v/>
      </c>
      <c r="AZ20" s="89"/>
      <c r="BA20" s="89"/>
      <c r="BB20" s="90"/>
    </row>
    <row r="21" spans="2:54">
      <c r="B21" s="88">
        <v>42855</v>
      </c>
      <c r="C21" s="69">
        <v>-7.8574404474000001</v>
      </c>
      <c r="D21" s="69"/>
      <c r="E21" s="69" t="str">
        <f t="shared" si="10"/>
        <v/>
      </c>
      <c r="F21" s="69" t="str">
        <f t="shared" si="11"/>
        <v/>
      </c>
      <c r="G21" s="89"/>
      <c r="H21" s="89"/>
      <c r="I21" s="90" t="s">
        <v>234</v>
      </c>
      <c r="J21"/>
      <c r="K21" s="88">
        <v>42855</v>
      </c>
      <c r="L21" s="69">
        <v>9.9989501000000008E-3</v>
      </c>
      <c r="M21" s="69"/>
      <c r="N21" s="69" t="str">
        <f t="shared" si="0"/>
        <v/>
      </c>
      <c r="O21" s="69" t="str">
        <f t="shared" si="1"/>
        <v/>
      </c>
      <c r="P21" s="89"/>
      <c r="Q21" s="89"/>
      <c r="R21" s="90" t="s">
        <v>234</v>
      </c>
      <c r="T21" s="88"/>
      <c r="U21" s="69"/>
      <c r="V21" s="69"/>
      <c r="W21" s="69" t="str">
        <f t="shared" si="2"/>
        <v/>
      </c>
      <c r="X21" s="69" t="str">
        <f t="shared" si="3"/>
        <v/>
      </c>
      <c r="Y21" s="89"/>
      <c r="Z21" s="89"/>
      <c r="AA21" s="90"/>
      <c r="AC21" s="88"/>
      <c r="AD21" s="69"/>
      <c r="AE21" s="69"/>
      <c r="AF21" s="69" t="str">
        <f t="shared" si="4"/>
        <v/>
      </c>
      <c r="AG21" s="69" t="str">
        <f t="shared" si="5"/>
        <v/>
      </c>
      <c r="AH21" s="89"/>
      <c r="AI21" s="89"/>
      <c r="AJ21" s="90"/>
      <c r="AL21" s="88"/>
      <c r="AM21" s="69"/>
      <c r="AN21" s="69"/>
      <c r="AO21" s="69" t="str">
        <f t="shared" si="6"/>
        <v/>
      </c>
      <c r="AP21" s="69" t="str">
        <f t="shared" si="7"/>
        <v/>
      </c>
      <c r="AQ21" s="89"/>
      <c r="AR21" s="89"/>
      <c r="AS21" s="90"/>
      <c r="AU21" s="88"/>
      <c r="AV21" s="69"/>
      <c r="AW21" s="69"/>
      <c r="AX21" s="69" t="str">
        <f t="shared" si="8"/>
        <v/>
      </c>
      <c r="AY21" s="69" t="str">
        <f t="shared" si="9"/>
        <v/>
      </c>
      <c r="AZ21" s="89"/>
      <c r="BA21" s="89"/>
      <c r="BB21" s="90"/>
    </row>
    <row r="22" spans="2:54" ht="15.75" customHeight="1"/>
    <row r="23" spans="2:54" ht="21">
      <c r="B23" s="188" t="s">
        <v>172</v>
      </c>
      <c r="C23" s="189"/>
      <c r="D23" s="189"/>
      <c r="E23" s="189"/>
      <c r="F23" s="189"/>
      <c r="G23" s="189"/>
      <c r="H23" s="189"/>
      <c r="I23" s="190"/>
      <c r="K23" s="188" t="s">
        <v>172</v>
      </c>
      <c r="L23" s="189"/>
      <c r="M23" s="189"/>
      <c r="N23" s="189"/>
      <c r="O23" s="189"/>
      <c r="P23" s="189"/>
      <c r="Q23" s="189"/>
      <c r="R23" s="190"/>
      <c r="T23" s="188" t="s">
        <v>172</v>
      </c>
      <c r="U23" s="189"/>
      <c r="V23" s="189"/>
      <c r="W23" s="189"/>
      <c r="X23" s="189"/>
      <c r="Y23" s="189"/>
      <c r="Z23" s="189"/>
      <c r="AA23" s="190"/>
      <c r="AC23" s="188" t="s">
        <v>172</v>
      </c>
      <c r="AD23" s="189"/>
      <c r="AE23" s="189"/>
      <c r="AF23" s="189"/>
      <c r="AG23" s="189"/>
      <c r="AH23" s="189"/>
      <c r="AI23" s="189"/>
      <c r="AJ23" s="190"/>
      <c r="AL23" s="188" t="s">
        <v>172</v>
      </c>
      <c r="AM23" s="189"/>
      <c r="AN23" s="189"/>
      <c r="AO23" s="189"/>
      <c r="AP23" s="189"/>
      <c r="AQ23" s="189"/>
      <c r="AR23" s="189"/>
      <c r="AS23" s="190"/>
      <c r="AU23" s="188" t="s">
        <v>172</v>
      </c>
      <c r="AV23" s="189"/>
      <c r="AW23" s="189"/>
      <c r="AX23" s="189"/>
      <c r="AY23" s="189"/>
      <c r="AZ23" s="189"/>
      <c r="BA23" s="189"/>
      <c r="BB23" s="190"/>
    </row>
    <row r="24" spans="2:54">
      <c r="B24" s="91" t="s">
        <v>173</v>
      </c>
      <c r="C24" s="86" t="s">
        <v>174</v>
      </c>
      <c r="D24" s="86" t="s">
        <v>175</v>
      </c>
      <c r="E24" s="86" t="s">
        <v>176</v>
      </c>
      <c r="F24" s="86" t="s">
        <v>177</v>
      </c>
      <c r="G24" s="85" t="s">
        <v>217</v>
      </c>
      <c r="H24" s="85" t="s">
        <v>218</v>
      </c>
      <c r="I24" s="85" t="s">
        <v>188</v>
      </c>
      <c r="K24" s="91" t="s">
        <v>173</v>
      </c>
      <c r="L24" s="86" t="s">
        <v>174</v>
      </c>
      <c r="M24" s="86" t="s">
        <v>175</v>
      </c>
      <c r="N24" s="86" t="s">
        <v>176</v>
      </c>
      <c r="O24" s="86" t="s">
        <v>177</v>
      </c>
      <c r="P24" s="85" t="s">
        <v>217</v>
      </c>
      <c r="Q24" s="85" t="s">
        <v>218</v>
      </c>
      <c r="R24" s="85" t="s">
        <v>188</v>
      </c>
      <c r="T24" s="91" t="s">
        <v>173</v>
      </c>
      <c r="U24" s="86" t="s">
        <v>174</v>
      </c>
      <c r="V24" s="86" t="s">
        <v>175</v>
      </c>
      <c r="W24" s="86" t="s">
        <v>176</v>
      </c>
      <c r="X24" s="86" t="s">
        <v>177</v>
      </c>
      <c r="Y24" s="85" t="s">
        <v>217</v>
      </c>
      <c r="Z24" s="85" t="s">
        <v>218</v>
      </c>
      <c r="AA24" s="85" t="s">
        <v>188</v>
      </c>
      <c r="AC24" s="91" t="s">
        <v>173</v>
      </c>
      <c r="AD24" s="86" t="s">
        <v>174</v>
      </c>
      <c r="AE24" s="86" t="s">
        <v>175</v>
      </c>
      <c r="AF24" s="86" t="s">
        <v>176</v>
      </c>
      <c r="AG24" s="86" t="s">
        <v>177</v>
      </c>
      <c r="AH24" s="85" t="s">
        <v>217</v>
      </c>
      <c r="AI24" s="85" t="s">
        <v>218</v>
      </c>
      <c r="AJ24" s="85" t="s">
        <v>188</v>
      </c>
      <c r="AL24" s="91" t="s">
        <v>173</v>
      </c>
      <c r="AM24" s="86" t="s">
        <v>174</v>
      </c>
      <c r="AN24" s="86" t="s">
        <v>175</v>
      </c>
      <c r="AO24" s="86" t="s">
        <v>176</v>
      </c>
      <c r="AP24" s="86" t="s">
        <v>177</v>
      </c>
      <c r="AQ24" s="85" t="s">
        <v>217</v>
      </c>
      <c r="AR24" s="85" t="s">
        <v>218</v>
      </c>
      <c r="AS24" s="85" t="s">
        <v>188</v>
      </c>
      <c r="AU24" s="91" t="s">
        <v>173</v>
      </c>
      <c r="AV24" s="86" t="s">
        <v>174</v>
      </c>
      <c r="AW24" s="86" t="s">
        <v>175</v>
      </c>
      <c r="AX24" s="86" t="s">
        <v>176</v>
      </c>
      <c r="AY24" s="86" t="s">
        <v>177</v>
      </c>
      <c r="AZ24" s="85" t="s">
        <v>217</v>
      </c>
      <c r="BA24" s="85" t="s">
        <v>218</v>
      </c>
      <c r="BB24" s="85" t="s">
        <v>188</v>
      </c>
    </row>
    <row r="25" spans="2:54">
      <c r="B25" s="92" t="s">
        <v>159</v>
      </c>
      <c r="C25" s="69">
        <f>IF(ISNA(CoverpageTables!AW3),"",CoverpageTables!AW3)</f>
        <v>8.4110847484586273</v>
      </c>
      <c r="D25" s="69" t="str">
        <f>IF(ISNA(CoverpageTables!AY3),"",CoverpageTables!AY3)</f>
        <v/>
      </c>
      <c r="E25" s="69" t="str">
        <f t="shared" ref="E25" si="12">IF(OR(NOT(ISNUMBER(C25)),NOT(ISNUMBER(D25))),"",C25-D25)</f>
        <v/>
      </c>
      <c r="F25" s="69" t="str">
        <f t="shared" ref="F25" si="13">IF(OR(NOT(ISNUMBER(C25)),NOT(ISNUMBER(D25))),"",((((C25/100)+1)/((D25/100)+1))-1)*100)</f>
        <v/>
      </c>
      <c r="G25" s="89"/>
      <c r="H25" s="89"/>
      <c r="I25" s="90"/>
      <c r="K25" s="92" t="s">
        <v>159</v>
      </c>
      <c r="L25" s="69">
        <f>IF(ISNA(CoverpageTables!BP3),"",CoverpageTables!BP3)</f>
        <v>9.6943729811647048E-3</v>
      </c>
      <c r="M25" s="69" t="str">
        <f>IF(ISNA(CoverpageTables!BR3),"",CoverpageTables!BR3)</f>
        <v/>
      </c>
      <c r="N25" s="69" t="str">
        <f t="shared" ref="N25:N43" si="14">IF(OR(NOT(ISNUMBER(L25)),NOT(ISNUMBER(M25))),"",L25-M25)</f>
        <v/>
      </c>
      <c r="O25" s="69" t="str">
        <f t="shared" ref="O25:O43" si="15">IF(OR(NOT(ISNUMBER(L25)),NOT(ISNUMBER(M25))),"",((((L25/100)+1)/((M25/100)+1))-1)*100)</f>
        <v/>
      </c>
      <c r="P25" s="89"/>
      <c r="Q25" s="89"/>
      <c r="R25" s="90"/>
      <c r="T25" s="92" t="s">
        <v>159</v>
      </c>
      <c r="U25" s="69" t="str">
        <f>IF(ISNA(CoverpageTables!CI3),"",CoverpageTables!CI3)</f>
        <v/>
      </c>
      <c r="V25" s="69" t="str">
        <f>IF(ISNA(CoverpageTables!CK3),"",CoverpageTables!CK3)</f>
        <v/>
      </c>
      <c r="W25" s="69" t="str">
        <f t="shared" ref="W25:W43" si="16">IF(OR(NOT(ISNUMBER(U25)),NOT(ISNUMBER(V25))),"",U25-V25)</f>
        <v/>
      </c>
      <c r="X25" s="69" t="str">
        <f t="shared" ref="X25:X43" si="17">IF(OR(NOT(ISNUMBER(U25)),NOT(ISNUMBER(V25))),"",((((U25/100)+1)/((V25/100)+1))-1)*100)</f>
        <v/>
      </c>
      <c r="Y25" s="89"/>
      <c r="Z25" s="89"/>
      <c r="AA25" s="90"/>
      <c r="AC25" s="92" t="s">
        <v>159</v>
      </c>
      <c r="AD25" s="69" t="str">
        <f>IF(ISNA(CoverpageTables!DB3),"",CoverpageTables!DB3)</f>
        <v/>
      </c>
      <c r="AE25" s="69" t="str">
        <f>IF(ISNA(CoverpageTables!DD3),"",CoverpageTables!DD3)</f>
        <v/>
      </c>
      <c r="AF25" s="69" t="str">
        <f t="shared" ref="AF25:AF43" si="18">IF(OR(NOT(ISNUMBER(AD25)),NOT(ISNUMBER(AE25))),"",AD25-AE25)</f>
        <v/>
      </c>
      <c r="AG25" s="69" t="str">
        <f t="shared" ref="AG25:AG43" si="19">IF(OR(NOT(ISNUMBER(AD25)),NOT(ISNUMBER(AE25))),"",((((AD25/100)+1)/((AE25/100)+1))-1)*100)</f>
        <v/>
      </c>
      <c r="AH25" s="89"/>
      <c r="AI25" s="89"/>
      <c r="AJ25" s="90"/>
      <c r="AL25" s="92" t="s">
        <v>159</v>
      </c>
      <c r="AM25" s="69" t="str">
        <f>IF(ISNA(CoverpageTables!DU3),"",CoverpageTables!DU3)</f>
        <v/>
      </c>
      <c r="AN25" s="69" t="str">
        <f>IF(ISNA(CoverpageTables!DW3),"",CoverpageTables!DW3)</f>
        <v/>
      </c>
      <c r="AO25" s="69" t="str">
        <f t="shared" ref="AO25:AO43" si="20">IF(OR(NOT(ISNUMBER(AM25)),NOT(ISNUMBER(AN25))),"",AM25-AN25)</f>
        <v/>
      </c>
      <c r="AP25" s="69" t="str">
        <f t="shared" ref="AP25:AP43" si="21">IF(OR(NOT(ISNUMBER(AM25)),NOT(ISNUMBER(AN25))),"",((((AM25/100)+1)/((AN25/100)+1))-1)*100)</f>
        <v/>
      </c>
      <c r="AQ25" s="89"/>
      <c r="AR25" s="89"/>
      <c r="AS25" s="90"/>
      <c r="AU25" s="92" t="s">
        <v>159</v>
      </c>
      <c r="AV25" s="69" t="str">
        <f>IF(ISNA(CoverpageTables!EN3),"",CoverpageTables!EN3)</f>
        <v/>
      </c>
      <c r="AW25" s="69" t="str">
        <f>IF(ISNA(CoverpageTables!EP3),"",CoverpageTables!EP3)</f>
        <v/>
      </c>
      <c r="AX25" s="69" t="str">
        <f t="shared" ref="AX25:AX43" si="22">IF(OR(NOT(ISNUMBER(AW25)),NOT(ISNUMBER(AW25))),"",AW25-AW25)</f>
        <v/>
      </c>
      <c r="AY25" s="69" t="str">
        <f t="shared" ref="AY25:AY43" si="23">IF(OR(NOT(ISNUMBER(AW25)),NOT(ISNUMBER(AW25))),"",((((AW25/100)+1)/((AW25/100)+1))-1)*100)</f>
        <v/>
      </c>
      <c r="AZ25" s="89"/>
      <c r="BA25" s="89"/>
      <c r="BB25" s="90"/>
    </row>
    <row r="26" spans="2:54">
      <c r="B26" s="92" t="s">
        <v>160</v>
      </c>
      <c r="C26" s="69">
        <f>IF(ISNA(CoverpageTables!AW4),"",CoverpageTables!AW4)</f>
        <v>-25.242328800357296</v>
      </c>
      <c r="D26" s="69" t="str">
        <f>IF(ISNA(CoverpageTables!AY4),"",CoverpageTables!AY4)</f>
        <v/>
      </c>
      <c r="E26" s="69" t="str">
        <f t="shared" ref="E26:E43" si="24">IF(OR(NOT(ISNUMBER(C26)),NOT(ISNUMBER(D26))),"",C26-D26)</f>
        <v/>
      </c>
      <c r="F26" s="69" t="str">
        <f t="shared" ref="F26:F43" si="25">IF(OR(NOT(ISNUMBER(C26)),NOT(ISNUMBER(D26))),"",((((C26/100)+1)/((D26/100)+1))-1)*100)</f>
        <v/>
      </c>
      <c r="G26" s="89"/>
      <c r="H26" s="89"/>
      <c r="I26" s="90"/>
      <c r="K26" s="92" t="s">
        <v>160</v>
      </c>
      <c r="L26" s="69">
        <f>IF(ISNA(CoverpageTables!BP4),"",CoverpageTables!BP4)</f>
        <v>-7.5242852899460991E-2</v>
      </c>
      <c r="M26" s="69" t="str">
        <f>IF(ISNA(CoverpageTables!BR4),"",CoverpageTables!BR4)</f>
        <v/>
      </c>
      <c r="N26" s="69" t="str">
        <f t="shared" si="14"/>
        <v/>
      </c>
      <c r="O26" s="69" t="str">
        <f t="shared" si="15"/>
        <v/>
      </c>
      <c r="P26" s="89"/>
      <c r="Q26" s="89"/>
      <c r="R26" s="90"/>
      <c r="T26" s="92" t="s">
        <v>160</v>
      </c>
      <c r="U26" s="69" t="str">
        <f>IF(ISNA(CoverpageTables!CI4),"",CoverpageTables!CI4)</f>
        <v/>
      </c>
      <c r="V26" s="69" t="str">
        <f>IF(ISNA(CoverpageTables!CK4),"",CoverpageTables!CK4)</f>
        <v/>
      </c>
      <c r="W26" s="69" t="str">
        <f t="shared" si="16"/>
        <v/>
      </c>
      <c r="X26" s="69" t="str">
        <f t="shared" si="17"/>
        <v/>
      </c>
      <c r="Y26" s="89"/>
      <c r="Z26" s="89"/>
      <c r="AA26" s="90"/>
      <c r="AC26" s="92" t="s">
        <v>160</v>
      </c>
      <c r="AD26" s="69" t="str">
        <f>IF(ISNA(CoverpageTables!DB4),"",CoverpageTables!DB4)</f>
        <v/>
      </c>
      <c r="AE26" s="69" t="str">
        <f>IF(ISNA(CoverpageTables!DD4),"",CoverpageTables!DD4)</f>
        <v/>
      </c>
      <c r="AF26" s="69" t="str">
        <f t="shared" si="18"/>
        <v/>
      </c>
      <c r="AG26" s="69" t="str">
        <f t="shared" si="19"/>
        <v/>
      </c>
      <c r="AH26" s="89"/>
      <c r="AI26" s="89"/>
      <c r="AJ26" s="90"/>
      <c r="AL26" s="92" t="s">
        <v>160</v>
      </c>
      <c r="AM26" s="69" t="str">
        <f>IF(ISNA(CoverpageTables!DU4),"",CoverpageTables!DU4)</f>
        <v/>
      </c>
      <c r="AN26" s="69" t="str">
        <f>IF(ISNA(CoverpageTables!DW4),"",CoverpageTables!DW4)</f>
        <v/>
      </c>
      <c r="AO26" s="69" t="str">
        <f t="shared" si="20"/>
        <v/>
      </c>
      <c r="AP26" s="69" t="str">
        <f t="shared" si="21"/>
        <v/>
      </c>
      <c r="AQ26" s="89"/>
      <c r="AR26" s="89"/>
      <c r="AS26" s="90"/>
      <c r="AU26" s="92" t="s">
        <v>160</v>
      </c>
      <c r="AV26" s="69" t="str">
        <f>IF(ISNA(CoverpageTables!EN4),"",CoverpageTables!EN4)</f>
        <v/>
      </c>
      <c r="AW26" s="69" t="str">
        <f>IF(ISNA(CoverpageTables!EP4),"",CoverpageTables!EP4)</f>
        <v/>
      </c>
      <c r="AX26" s="69" t="str">
        <f t="shared" si="22"/>
        <v/>
      </c>
      <c r="AY26" s="69" t="str">
        <f t="shared" si="23"/>
        <v/>
      </c>
      <c r="AZ26" s="89"/>
      <c r="BA26" s="89"/>
      <c r="BB26" s="90"/>
    </row>
    <row r="27" spans="2:54">
      <c r="B27" s="92" t="s">
        <v>161</v>
      </c>
      <c r="C27" s="69">
        <f>IF(ISNA(CoverpageTables!AW5),"",CoverpageTables!AW5)</f>
        <v>-105.57774286067838</v>
      </c>
      <c r="D27" s="69" t="str">
        <f>IF(ISNA(CoverpageTables!AY5),"",CoverpageTables!AY5)</f>
        <v/>
      </c>
      <c r="E27" s="69" t="str">
        <f t="shared" si="24"/>
        <v/>
      </c>
      <c r="F27" s="69" t="str">
        <f t="shared" si="25"/>
        <v/>
      </c>
      <c r="G27" s="89"/>
      <c r="H27" s="89"/>
      <c r="I27" s="90"/>
      <c r="K27" s="92" t="s">
        <v>161</v>
      </c>
      <c r="L27" s="69">
        <f>IF(ISNA(CoverpageTables!BP5),"",CoverpageTables!BP5)</f>
        <v>7.6714903837408255E-2</v>
      </c>
      <c r="M27" s="69" t="str">
        <f>IF(ISNA(CoverpageTables!BR5),"",CoverpageTables!BR5)</f>
        <v/>
      </c>
      <c r="N27" s="69" t="str">
        <f t="shared" si="14"/>
        <v/>
      </c>
      <c r="O27" s="69" t="str">
        <f t="shared" si="15"/>
        <v/>
      </c>
      <c r="P27" s="89"/>
      <c r="Q27" s="89"/>
      <c r="R27" s="90"/>
      <c r="T27" s="92" t="s">
        <v>161</v>
      </c>
      <c r="U27" s="69" t="str">
        <f>IF(ISNA(CoverpageTables!CI5),"",CoverpageTables!CI5)</f>
        <v/>
      </c>
      <c r="V27" s="69" t="str">
        <f>IF(ISNA(CoverpageTables!CK5),"",CoverpageTables!CK5)</f>
        <v/>
      </c>
      <c r="W27" s="69" t="str">
        <f t="shared" si="16"/>
        <v/>
      </c>
      <c r="X27" s="69" t="str">
        <f t="shared" si="17"/>
        <v/>
      </c>
      <c r="Y27" s="89"/>
      <c r="Z27" s="89"/>
      <c r="AA27" s="90"/>
      <c r="AC27" s="92" t="s">
        <v>161</v>
      </c>
      <c r="AD27" s="69" t="str">
        <f>IF(ISNA(CoverpageTables!DB5),"",CoverpageTables!DB5)</f>
        <v/>
      </c>
      <c r="AE27" s="69" t="str">
        <f>IF(ISNA(CoverpageTables!DD5),"",CoverpageTables!DD5)</f>
        <v/>
      </c>
      <c r="AF27" s="69" t="str">
        <f t="shared" si="18"/>
        <v/>
      </c>
      <c r="AG27" s="69" t="str">
        <f t="shared" si="19"/>
        <v/>
      </c>
      <c r="AH27" s="89"/>
      <c r="AI27" s="89"/>
      <c r="AJ27" s="90"/>
      <c r="AL27" s="92" t="s">
        <v>161</v>
      </c>
      <c r="AM27" s="69" t="str">
        <f>IF(ISNA(CoverpageTables!DU5),"",CoverpageTables!DU5)</f>
        <v/>
      </c>
      <c r="AN27" s="69" t="str">
        <f>IF(ISNA(CoverpageTables!DW5),"",CoverpageTables!DW5)</f>
        <v/>
      </c>
      <c r="AO27" s="69" t="str">
        <f t="shared" si="20"/>
        <v/>
      </c>
      <c r="AP27" s="69" t="str">
        <f t="shared" si="21"/>
        <v/>
      </c>
      <c r="AQ27" s="89"/>
      <c r="AR27" s="89"/>
      <c r="AS27" s="90"/>
      <c r="AU27" s="92" t="s">
        <v>161</v>
      </c>
      <c r="AV27" s="69" t="str">
        <f>IF(ISNA(CoverpageTables!EN5),"",CoverpageTables!EN5)</f>
        <v/>
      </c>
      <c r="AW27" s="69" t="str">
        <f>IF(ISNA(CoverpageTables!EP5),"",CoverpageTables!EP5)</f>
        <v/>
      </c>
      <c r="AX27" s="69" t="str">
        <f t="shared" si="22"/>
        <v/>
      </c>
      <c r="AY27" s="69" t="str">
        <f t="shared" si="23"/>
        <v/>
      </c>
      <c r="AZ27" s="89"/>
      <c r="BA27" s="89"/>
      <c r="BB27" s="90"/>
    </row>
    <row r="28" spans="2:54">
      <c r="B28" s="93" t="s">
        <v>186</v>
      </c>
      <c r="C28" s="69">
        <f>IF(ISNA(CoverpageTables!AW19),"",CoverpageTables!AW19)</f>
        <v>36.966045459494737</v>
      </c>
      <c r="D28" s="69" t="str">
        <f>IF(ISNA(CoverpageTables!AY19),"",CoverpageTables!AY19)</f>
        <v/>
      </c>
      <c r="E28" s="69" t="str">
        <f t="shared" si="24"/>
        <v/>
      </c>
      <c r="F28" s="69" t="str">
        <f t="shared" si="25"/>
        <v/>
      </c>
      <c r="G28" s="89"/>
      <c r="H28" s="89"/>
      <c r="I28" s="90"/>
      <c r="K28" s="93" t="s">
        <v>186</v>
      </c>
      <c r="L28" s="69">
        <f>IF(ISNA(CoverpageTables!BP19),"",CoverpageTables!BP19)</f>
        <v>-7.5243765106757662E-2</v>
      </c>
      <c r="M28" s="69" t="str">
        <f>IF(ISNA(CoverpageTables!BR19),"",CoverpageTables!BR19)</f>
        <v/>
      </c>
      <c r="N28" s="69" t="str">
        <f t="shared" si="14"/>
        <v/>
      </c>
      <c r="O28" s="69" t="str">
        <f t="shared" si="15"/>
        <v/>
      </c>
      <c r="P28" s="89"/>
      <c r="Q28" s="89"/>
      <c r="R28" s="90"/>
      <c r="T28" s="93" t="s">
        <v>186</v>
      </c>
      <c r="U28" s="69" t="str">
        <f>IF(ISNA(CoverpageTables!CI19),"",CoverpageTables!CI19)</f>
        <v/>
      </c>
      <c r="V28" s="69" t="str">
        <f>IF(ISNA(CoverpageTables!CK19),"",CoverpageTables!CK19)</f>
        <v/>
      </c>
      <c r="W28" s="69" t="str">
        <f t="shared" si="16"/>
        <v/>
      </c>
      <c r="X28" s="69" t="str">
        <f t="shared" si="17"/>
        <v/>
      </c>
      <c r="Y28" s="89"/>
      <c r="Z28" s="89"/>
      <c r="AA28" s="90"/>
      <c r="AC28" s="93" t="s">
        <v>186</v>
      </c>
      <c r="AD28" s="69" t="str">
        <f>IF(ISNA(CoverpageTables!DB19),"",CoverpageTables!DB19)</f>
        <v/>
      </c>
      <c r="AE28" s="69" t="str">
        <f>IF(ISNA(CoverpageTables!DD19),"",CoverpageTables!DD19)</f>
        <v/>
      </c>
      <c r="AF28" s="69" t="str">
        <f t="shared" si="18"/>
        <v/>
      </c>
      <c r="AG28" s="69" t="str">
        <f t="shared" si="19"/>
        <v/>
      </c>
      <c r="AH28" s="89"/>
      <c r="AI28" s="89"/>
      <c r="AJ28" s="90"/>
      <c r="AL28" s="93" t="s">
        <v>186</v>
      </c>
      <c r="AM28" s="69" t="str">
        <f>IF(ISNA(CoverpageTables!DU19),"",CoverpageTables!DU19)</f>
        <v/>
      </c>
      <c r="AN28" s="69" t="str">
        <f>IF(ISNA(CoverpageTables!DW19),"",CoverpageTables!DW19)</f>
        <v/>
      </c>
      <c r="AO28" s="69" t="str">
        <f t="shared" si="20"/>
        <v/>
      </c>
      <c r="AP28" s="69" t="str">
        <f t="shared" si="21"/>
        <v/>
      </c>
      <c r="AQ28" s="89"/>
      <c r="AR28" s="89"/>
      <c r="AS28" s="90"/>
      <c r="AU28" s="93" t="s">
        <v>186</v>
      </c>
      <c r="AV28" s="69" t="str">
        <f>IF(ISNA(CoverpageTables!EN19),"",CoverpageTables!EN19)</f>
        <v/>
      </c>
      <c r="AW28" s="69" t="str">
        <f>IF(ISNA(CoverpageTables!EP19),"",CoverpageTables!EP19)</f>
        <v/>
      </c>
      <c r="AX28" s="69" t="str">
        <f t="shared" si="22"/>
        <v/>
      </c>
      <c r="AY28" s="69" t="str">
        <f t="shared" si="23"/>
        <v/>
      </c>
      <c r="AZ28" s="89"/>
      <c r="BA28" s="89"/>
      <c r="BB28" s="90"/>
    </row>
    <row r="29" spans="2:54">
      <c r="B29" s="92" t="s">
        <v>189</v>
      </c>
      <c r="C29" s="69" t="str">
        <f>IF(ISNA(CoverpageTables!AW20),"",CoverpageTables!AW20)</f>
        <v/>
      </c>
      <c r="D29" s="69" t="str">
        <f>IF(ISNA(CoverpageTables!AY20),"",CoverpageTables!AY20)</f>
        <v/>
      </c>
      <c r="E29" s="69" t="str">
        <f t="shared" si="24"/>
        <v/>
      </c>
      <c r="F29" s="69" t="str">
        <f t="shared" si="25"/>
        <v/>
      </c>
      <c r="G29" s="89"/>
      <c r="H29" s="89"/>
      <c r="I29" s="90"/>
      <c r="K29" s="92" t="s">
        <v>189</v>
      </c>
      <c r="L29" s="69" t="str">
        <f>IF(ISNA(CoverpageTables!BP20),"",CoverpageTables!BP20)</f>
        <v/>
      </c>
      <c r="M29" s="69" t="str">
        <f>IF(ISNA(CoverpageTables!BR20),"",CoverpageTables!BR20)</f>
        <v/>
      </c>
      <c r="N29" s="69" t="str">
        <f t="shared" si="14"/>
        <v/>
      </c>
      <c r="O29" s="69" t="str">
        <f t="shared" si="15"/>
        <v/>
      </c>
      <c r="P29" s="89"/>
      <c r="Q29" s="89"/>
      <c r="R29" s="90"/>
      <c r="T29" s="92" t="s">
        <v>189</v>
      </c>
      <c r="U29" s="69" t="str">
        <f>IF(ISNA(CoverpageTables!CI20),"",CoverpageTables!CI20)</f>
        <v/>
      </c>
      <c r="V29" s="69" t="str">
        <f>IF(ISNA(CoverpageTables!CK20),"",CoverpageTables!CK20)</f>
        <v/>
      </c>
      <c r="W29" s="69" t="str">
        <f t="shared" si="16"/>
        <v/>
      </c>
      <c r="X29" s="69" t="str">
        <f t="shared" si="17"/>
        <v/>
      </c>
      <c r="Y29" s="89"/>
      <c r="Z29" s="89"/>
      <c r="AA29" s="90"/>
      <c r="AC29" s="92" t="s">
        <v>189</v>
      </c>
      <c r="AD29" s="69" t="str">
        <f>IF(ISNA(CoverpageTables!DB20),"",CoverpageTables!DB20)</f>
        <v/>
      </c>
      <c r="AE29" s="69" t="str">
        <f>IF(ISNA(CoverpageTables!DD20),"",CoverpageTables!DD20)</f>
        <v/>
      </c>
      <c r="AF29" s="69" t="str">
        <f t="shared" si="18"/>
        <v/>
      </c>
      <c r="AG29" s="69" t="str">
        <f t="shared" si="19"/>
        <v/>
      </c>
      <c r="AH29" s="89"/>
      <c r="AI29" s="89"/>
      <c r="AJ29" s="90"/>
      <c r="AL29" s="92" t="s">
        <v>189</v>
      </c>
      <c r="AM29" s="69" t="str">
        <f>IF(ISNA(CoverpageTables!DU20),"",CoverpageTables!DU20)</f>
        <v/>
      </c>
      <c r="AN29" s="69" t="str">
        <f>IF(ISNA(CoverpageTables!DW20),"",CoverpageTables!DW20)</f>
        <v/>
      </c>
      <c r="AO29" s="69" t="str">
        <f t="shared" si="20"/>
        <v/>
      </c>
      <c r="AP29" s="69" t="str">
        <f t="shared" si="21"/>
        <v/>
      </c>
      <c r="AQ29" s="89"/>
      <c r="AR29" s="89"/>
      <c r="AS29" s="90"/>
      <c r="AU29" s="92" t="s">
        <v>189</v>
      </c>
      <c r="AV29" s="69" t="str">
        <f>IF(ISNA(CoverpageTables!EN20),"",CoverpageTables!EN20)</f>
        <v/>
      </c>
      <c r="AW29" s="69" t="str">
        <f>IF(ISNA(CoverpageTables!EP20),"",CoverpageTables!EP20)</f>
        <v/>
      </c>
      <c r="AX29" s="69" t="str">
        <f t="shared" si="22"/>
        <v/>
      </c>
      <c r="AY29" s="69" t="str">
        <f t="shared" si="23"/>
        <v/>
      </c>
      <c r="AZ29" s="89"/>
      <c r="BA29" s="89"/>
      <c r="BB29" s="90"/>
    </row>
    <row r="30" spans="2:54">
      <c r="B30" s="92" t="s">
        <v>190</v>
      </c>
      <c r="C30" s="69" t="str">
        <f>IF(ISNA(CoverpageTables!AW21),"",CoverpageTables!AW21)</f>
        <v/>
      </c>
      <c r="D30" s="69" t="str">
        <f>IF(ISNA(CoverpageTables!AY21),"",CoverpageTables!AY21)</f>
        <v/>
      </c>
      <c r="E30" s="69" t="str">
        <f t="shared" si="24"/>
        <v/>
      </c>
      <c r="F30" s="69" t="str">
        <f t="shared" si="25"/>
        <v/>
      </c>
      <c r="G30" s="89"/>
      <c r="H30" s="89"/>
      <c r="I30" s="90"/>
      <c r="K30" s="92" t="s">
        <v>190</v>
      </c>
      <c r="L30" s="69" t="str">
        <f>IF(ISNA(CoverpageTables!BP21),"",CoverpageTables!BP21)</f>
        <v/>
      </c>
      <c r="M30" s="69" t="str">
        <f>IF(ISNA(CoverpageTables!BR21),"",CoverpageTables!BR21)</f>
        <v/>
      </c>
      <c r="N30" s="69" t="str">
        <f t="shared" si="14"/>
        <v/>
      </c>
      <c r="O30" s="69" t="str">
        <f t="shared" si="15"/>
        <v/>
      </c>
      <c r="P30" s="89"/>
      <c r="Q30" s="89"/>
      <c r="R30" s="90"/>
      <c r="T30" s="92" t="s">
        <v>190</v>
      </c>
      <c r="U30" s="69" t="str">
        <f>IF(ISNA(CoverpageTables!CI21),"",CoverpageTables!CI21)</f>
        <v/>
      </c>
      <c r="V30" s="69" t="str">
        <f>IF(ISNA(CoverpageTables!CK21),"",CoverpageTables!CK21)</f>
        <v/>
      </c>
      <c r="W30" s="69" t="str">
        <f t="shared" si="16"/>
        <v/>
      </c>
      <c r="X30" s="69" t="str">
        <f t="shared" si="17"/>
        <v/>
      </c>
      <c r="Y30" s="89"/>
      <c r="Z30" s="89"/>
      <c r="AA30" s="90"/>
      <c r="AC30" s="92" t="s">
        <v>190</v>
      </c>
      <c r="AD30" s="69" t="str">
        <f>IF(ISNA(CoverpageTables!DB21),"",CoverpageTables!DB21)</f>
        <v/>
      </c>
      <c r="AE30" s="69" t="str">
        <f>IF(ISNA(CoverpageTables!DD21),"",CoverpageTables!DD21)</f>
        <v/>
      </c>
      <c r="AF30" s="69" t="str">
        <f t="shared" si="18"/>
        <v/>
      </c>
      <c r="AG30" s="69" t="str">
        <f t="shared" si="19"/>
        <v/>
      </c>
      <c r="AH30" s="89"/>
      <c r="AI30" s="89"/>
      <c r="AJ30" s="90"/>
      <c r="AL30" s="92" t="s">
        <v>190</v>
      </c>
      <c r="AM30" s="69" t="str">
        <f>IF(ISNA(CoverpageTables!DU21),"",CoverpageTables!DU21)</f>
        <v/>
      </c>
      <c r="AN30" s="69" t="str">
        <f>IF(ISNA(CoverpageTables!DW21),"",CoverpageTables!DW21)</f>
        <v/>
      </c>
      <c r="AO30" s="69" t="str">
        <f t="shared" si="20"/>
        <v/>
      </c>
      <c r="AP30" s="69" t="str">
        <f t="shared" si="21"/>
        <v/>
      </c>
      <c r="AQ30" s="89"/>
      <c r="AR30" s="89"/>
      <c r="AS30" s="90"/>
      <c r="AU30" s="92" t="s">
        <v>190</v>
      </c>
      <c r="AV30" s="69" t="str">
        <f>IF(ISNA(CoverpageTables!EN21),"",CoverpageTables!EN21)</f>
        <v/>
      </c>
      <c r="AW30" s="69" t="str">
        <f>IF(ISNA(CoverpageTables!EP21),"",CoverpageTables!EP21)</f>
        <v/>
      </c>
      <c r="AX30" s="69" t="str">
        <f t="shared" si="22"/>
        <v/>
      </c>
      <c r="AY30" s="69" t="str">
        <f t="shared" si="23"/>
        <v/>
      </c>
      <c r="AZ30" s="89"/>
      <c r="BA30" s="89"/>
      <c r="BB30" s="90"/>
    </row>
    <row r="31" spans="2:54">
      <c r="B31" s="92" t="s">
        <v>191</v>
      </c>
      <c r="C31" s="69" t="str">
        <f>IF(ISNA(CoverpageTables!AW22),"",CoverpageTables!AW22)</f>
        <v/>
      </c>
      <c r="D31" s="69" t="str">
        <f>IF(ISNA(CoverpageTables!AY22),"",CoverpageTables!AY22)</f>
        <v/>
      </c>
      <c r="E31" s="69" t="str">
        <f t="shared" si="24"/>
        <v/>
      </c>
      <c r="F31" s="69" t="str">
        <f t="shared" si="25"/>
        <v/>
      </c>
      <c r="G31" s="89"/>
      <c r="H31" s="89"/>
      <c r="I31" s="90"/>
      <c r="K31" s="92" t="s">
        <v>191</v>
      </c>
      <c r="L31" s="69" t="str">
        <f>IF(ISNA(CoverpageTables!BP22),"",CoverpageTables!BP22)</f>
        <v/>
      </c>
      <c r="M31" s="69" t="str">
        <f>IF(ISNA(CoverpageTables!BR22),"",CoverpageTables!BR22)</f>
        <v/>
      </c>
      <c r="N31" s="69" t="str">
        <f t="shared" si="14"/>
        <v/>
      </c>
      <c r="O31" s="69" t="str">
        <f t="shared" si="15"/>
        <v/>
      </c>
      <c r="P31" s="89"/>
      <c r="Q31" s="89"/>
      <c r="R31" s="90"/>
      <c r="T31" s="92" t="s">
        <v>191</v>
      </c>
      <c r="U31" s="69" t="str">
        <f>IF(ISNA(CoverpageTables!CI22),"",CoverpageTables!CI22)</f>
        <v/>
      </c>
      <c r="V31" s="69" t="str">
        <f>IF(ISNA(CoverpageTables!CK22),"",CoverpageTables!CK22)</f>
        <v/>
      </c>
      <c r="W31" s="69" t="str">
        <f t="shared" si="16"/>
        <v/>
      </c>
      <c r="X31" s="69" t="str">
        <f t="shared" si="17"/>
        <v/>
      </c>
      <c r="Y31" s="89"/>
      <c r="Z31" s="89"/>
      <c r="AA31" s="90"/>
      <c r="AC31" s="92" t="s">
        <v>191</v>
      </c>
      <c r="AD31" s="69" t="str">
        <f>IF(ISNA(CoverpageTables!DB22),"",CoverpageTables!DB22)</f>
        <v/>
      </c>
      <c r="AE31" s="69" t="str">
        <f>IF(ISNA(CoverpageTables!DD22),"",CoverpageTables!DD22)</f>
        <v/>
      </c>
      <c r="AF31" s="69" t="str">
        <f t="shared" si="18"/>
        <v/>
      </c>
      <c r="AG31" s="69" t="str">
        <f t="shared" si="19"/>
        <v/>
      </c>
      <c r="AH31" s="89"/>
      <c r="AI31" s="89"/>
      <c r="AJ31" s="90"/>
      <c r="AL31" s="92" t="s">
        <v>191</v>
      </c>
      <c r="AM31" s="69" t="str">
        <f>IF(ISNA(CoverpageTables!DU22),"",CoverpageTables!DU22)</f>
        <v/>
      </c>
      <c r="AN31" s="69" t="str">
        <f>IF(ISNA(CoverpageTables!DW22),"",CoverpageTables!DW22)</f>
        <v/>
      </c>
      <c r="AO31" s="69" t="str">
        <f t="shared" si="20"/>
        <v/>
      </c>
      <c r="AP31" s="69" t="str">
        <f t="shared" si="21"/>
        <v/>
      </c>
      <c r="AQ31" s="89"/>
      <c r="AR31" s="89"/>
      <c r="AS31" s="90"/>
      <c r="AU31" s="92" t="s">
        <v>191</v>
      </c>
      <c r="AV31" s="69" t="str">
        <f>IF(ISNA(CoverpageTables!EN22),"",CoverpageTables!EN22)</f>
        <v/>
      </c>
      <c r="AW31" s="69" t="str">
        <f>IF(ISNA(CoverpageTables!EP22),"",CoverpageTables!EP22)</f>
        <v/>
      </c>
      <c r="AX31" s="69" t="str">
        <f t="shared" si="22"/>
        <v/>
      </c>
      <c r="AY31" s="69" t="str">
        <f t="shared" si="23"/>
        <v/>
      </c>
      <c r="AZ31" s="89"/>
      <c r="BA31" s="89"/>
      <c r="BB31" s="90"/>
    </row>
    <row r="32" spans="2:54">
      <c r="B32" s="92" t="s">
        <v>162</v>
      </c>
      <c r="C32" s="69" t="str">
        <f>IF(ISNA(CoverpageTables!AW10),"",CoverpageTables!AW10)</f>
        <v/>
      </c>
      <c r="D32" s="69" t="str">
        <f>IF(ISNA(CoverpageTables!AY10),"",CoverpageTables!AY10)</f>
        <v/>
      </c>
      <c r="E32" s="69" t="str">
        <f t="shared" si="24"/>
        <v/>
      </c>
      <c r="F32" s="69" t="str">
        <f t="shared" si="25"/>
        <v/>
      </c>
      <c r="G32" s="89"/>
      <c r="H32" s="89"/>
      <c r="I32" s="90"/>
      <c r="K32" s="92" t="s">
        <v>162</v>
      </c>
      <c r="L32" s="69" t="str">
        <f>IF(ISNA(CoverpageTables!BP10),"",CoverpageTables!BP10)</f>
        <v/>
      </c>
      <c r="M32" s="69" t="str">
        <f>IF(ISNA(CoverpageTables!BR10),"",CoverpageTables!BR10)</f>
        <v/>
      </c>
      <c r="N32" s="69" t="str">
        <f t="shared" si="14"/>
        <v/>
      </c>
      <c r="O32" s="69" t="str">
        <f t="shared" si="15"/>
        <v/>
      </c>
      <c r="P32" s="89"/>
      <c r="Q32" s="89"/>
      <c r="R32" s="90"/>
      <c r="T32" s="92" t="s">
        <v>162</v>
      </c>
      <c r="U32" s="69" t="str">
        <f>IF(ISNA(CoverpageTables!CI10),"",CoverpageTables!CI10)</f>
        <v/>
      </c>
      <c r="V32" s="69" t="str">
        <f>IF(ISNA(CoverpageTables!CK10),"",CoverpageTables!CK10)</f>
        <v/>
      </c>
      <c r="W32" s="69" t="str">
        <f t="shared" si="16"/>
        <v/>
      </c>
      <c r="X32" s="69" t="str">
        <f t="shared" si="17"/>
        <v/>
      </c>
      <c r="Y32" s="89"/>
      <c r="Z32" s="89"/>
      <c r="AA32" s="90"/>
      <c r="AC32" s="92" t="s">
        <v>162</v>
      </c>
      <c r="AD32" s="69" t="str">
        <f>IF(ISNA(CoverpageTables!DB10),"",CoverpageTables!DB10)</f>
        <v/>
      </c>
      <c r="AE32" s="69" t="str">
        <f>IF(ISNA(CoverpageTables!DD10),"",CoverpageTables!DD10)</f>
        <v/>
      </c>
      <c r="AF32" s="69" t="str">
        <f t="shared" si="18"/>
        <v/>
      </c>
      <c r="AG32" s="69" t="str">
        <f t="shared" si="19"/>
        <v/>
      </c>
      <c r="AH32" s="89"/>
      <c r="AI32" s="89"/>
      <c r="AJ32" s="90"/>
      <c r="AL32" s="92" t="s">
        <v>162</v>
      </c>
      <c r="AM32" s="69" t="str">
        <f>IF(ISNA(CoverpageTables!DU10),"",CoverpageTables!DU10)</f>
        <v/>
      </c>
      <c r="AN32" s="69" t="str">
        <f>IF(ISNA(CoverpageTables!DW10),"",CoverpageTables!DW10)</f>
        <v/>
      </c>
      <c r="AO32" s="69" t="str">
        <f t="shared" si="20"/>
        <v/>
      </c>
      <c r="AP32" s="69" t="str">
        <f t="shared" si="21"/>
        <v/>
      </c>
      <c r="AQ32" s="89"/>
      <c r="AR32" s="89"/>
      <c r="AS32" s="90"/>
      <c r="AU32" s="92" t="s">
        <v>162</v>
      </c>
      <c r="AV32" s="69" t="str">
        <f>IF(ISNA(CoverpageTables!EN10),"",CoverpageTables!EN10)</f>
        <v/>
      </c>
      <c r="AW32" s="69" t="str">
        <f>IF(ISNA(CoverpageTables!EP10),"",CoverpageTables!EP10)</f>
        <v/>
      </c>
      <c r="AX32" s="69" t="str">
        <f t="shared" si="22"/>
        <v/>
      </c>
      <c r="AY32" s="69" t="str">
        <f t="shared" si="23"/>
        <v/>
      </c>
      <c r="AZ32" s="89"/>
      <c r="BA32" s="89"/>
      <c r="BB32" s="90"/>
    </row>
    <row r="33" spans="2:54">
      <c r="B33" s="92" t="s">
        <v>178</v>
      </c>
      <c r="C33" s="69" t="str">
        <f>IF(ISNA(CoverpageTables!AW11),"",CoverpageTables!AW11)</f>
        <v/>
      </c>
      <c r="D33" s="69" t="str">
        <f>IF(ISNA(CoverpageTables!AY11),"",CoverpageTables!AY11)</f>
        <v/>
      </c>
      <c r="E33" s="69" t="str">
        <f t="shared" si="24"/>
        <v/>
      </c>
      <c r="F33" s="69" t="str">
        <f t="shared" si="25"/>
        <v/>
      </c>
      <c r="G33" s="89"/>
      <c r="H33" s="89"/>
      <c r="I33" s="90"/>
      <c r="K33" s="92" t="s">
        <v>178</v>
      </c>
      <c r="L33" s="69" t="str">
        <f>IF(ISNA(CoverpageTables!BP11),"",CoverpageTables!BP11)</f>
        <v/>
      </c>
      <c r="M33" s="69" t="str">
        <f>IF(ISNA(CoverpageTables!BR11),"",CoverpageTables!BR11)</f>
        <v/>
      </c>
      <c r="N33" s="69" t="str">
        <f t="shared" si="14"/>
        <v/>
      </c>
      <c r="O33" s="69" t="str">
        <f t="shared" si="15"/>
        <v/>
      </c>
      <c r="P33" s="89"/>
      <c r="Q33" s="89"/>
      <c r="R33" s="90"/>
      <c r="T33" s="92" t="s">
        <v>178</v>
      </c>
      <c r="U33" s="69" t="str">
        <f>IF(ISNA(CoverpageTables!CI11),"",CoverpageTables!CI11)</f>
        <v/>
      </c>
      <c r="V33" s="69" t="str">
        <f>IF(ISNA(CoverpageTables!CK11),"",CoverpageTables!CK11)</f>
        <v/>
      </c>
      <c r="W33" s="69" t="str">
        <f t="shared" si="16"/>
        <v/>
      </c>
      <c r="X33" s="69" t="str">
        <f t="shared" si="17"/>
        <v/>
      </c>
      <c r="Y33" s="89"/>
      <c r="Z33" s="89"/>
      <c r="AA33" s="90"/>
      <c r="AC33" s="92" t="s">
        <v>178</v>
      </c>
      <c r="AD33" s="69" t="str">
        <f>IF(ISNA(CoverpageTables!DB11),"",CoverpageTables!DB11)</f>
        <v/>
      </c>
      <c r="AE33" s="69" t="str">
        <f>IF(ISNA(CoverpageTables!DD11),"",CoverpageTables!DD11)</f>
        <v/>
      </c>
      <c r="AF33" s="69" t="str">
        <f t="shared" si="18"/>
        <v/>
      </c>
      <c r="AG33" s="69" t="str">
        <f t="shared" si="19"/>
        <v/>
      </c>
      <c r="AH33" s="89"/>
      <c r="AI33" s="89"/>
      <c r="AJ33" s="90"/>
      <c r="AL33" s="92" t="s">
        <v>178</v>
      </c>
      <c r="AM33" s="69" t="str">
        <f>IF(ISNA(CoverpageTables!DU11),"",CoverpageTables!DU11)</f>
        <v/>
      </c>
      <c r="AN33" s="69" t="str">
        <f>IF(ISNA(CoverpageTables!DW11),"",CoverpageTables!DW11)</f>
        <v/>
      </c>
      <c r="AO33" s="69" t="str">
        <f t="shared" si="20"/>
        <v/>
      </c>
      <c r="AP33" s="69" t="str">
        <f t="shared" si="21"/>
        <v/>
      </c>
      <c r="AQ33" s="89"/>
      <c r="AR33" s="89"/>
      <c r="AS33" s="90"/>
      <c r="AU33" s="92" t="s">
        <v>178</v>
      </c>
      <c r="AV33" s="69" t="str">
        <f>IF(ISNA(CoverpageTables!EN11),"",CoverpageTables!EN11)</f>
        <v/>
      </c>
      <c r="AW33" s="69" t="str">
        <f>IF(ISNA(CoverpageTables!EP11),"",CoverpageTables!EP11)</f>
        <v/>
      </c>
      <c r="AX33" s="69" t="str">
        <f t="shared" si="22"/>
        <v/>
      </c>
      <c r="AY33" s="69" t="str">
        <f t="shared" si="23"/>
        <v/>
      </c>
      <c r="AZ33" s="89"/>
      <c r="BA33" s="89"/>
      <c r="BB33" s="90"/>
    </row>
    <row r="34" spans="2:54">
      <c r="B34" s="92" t="s">
        <v>210</v>
      </c>
      <c r="C34" s="69" t="str">
        <f>IF(ISNA(CoverpageTables!AW12),"",CoverpageTables!AW12)</f>
        <v/>
      </c>
      <c r="D34" s="69" t="str">
        <f>IF(ISNA(CoverpageTables!AY12),"",CoverpageTables!AY12)</f>
        <v/>
      </c>
      <c r="E34" s="69" t="str">
        <f t="shared" si="24"/>
        <v/>
      </c>
      <c r="F34" s="69" t="str">
        <f t="shared" si="25"/>
        <v/>
      </c>
      <c r="G34" s="89"/>
      <c r="H34" s="89"/>
      <c r="I34" s="90"/>
      <c r="K34" s="92" t="s">
        <v>210</v>
      </c>
      <c r="L34" s="69" t="str">
        <f>IF(ISNA(CoverpageTables!BP12),"",CoverpageTables!BP12)</f>
        <v/>
      </c>
      <c r="M34" s="69" t="str">
        <f>IF(ISNA(CoverpageTables!BR12),"",CoverpageTables!BR12)</f>
        <v/>
      </c>
      <c r="N34" s="69" t="str">
        <f t="shared" si="14"/>
        <v/>
      </c>
      <c r="O34" s="69" t="str">
        <f t="shared" si="15"/>
        <v/>
      </c>
      <c r="P34" s="89"/>
      <c r="Q34" s="89"/>
      <c r="R34" s="90"/>
      <c r="T34" s="92" t="s">
        <v>210</v>
      </c>
      <c r="U34" s="69" t="str">
        <f>IF(ISNA(CoverpageTables!CI12),"",CoverpageTables!CI12)</f>
        <v/>
      </c>
      <c r="V34" s="69" t="str">
        <f>IF(ISNA(CoverpageTables!CK12),"",CoverpageTables!CK12)</f>
        <v/>
      </c>
      <c r="W34" s="69" t="str">
        <f t="shared" si="16"/>
        <v/>
      </c>
      <c r="X34" s="69" t="str">
        <f t="shared" si="17"/>
        <v/>
      </c>
      <c r="Y34" s="89"/>
      <c r="Z34" s="89"/>
      <c r="AA34" s="90"/>
      <c r="AC34" s="92" t="s">
        <v>210</v>
      </c>
      <c r="AD34" s="69" t="str">
        <f>IF(ISNA(CoverpageTables!DB12),"",CoverpageTables!DB12)</f>
        <v/>
      </c>
      <c r="AE34" s="69" t="str">
        <f>IF(ISNA(CoverpageTables!DD12),"",CoverpageTables!DD12)</f>
        <v/>
      </c>
      <c r="AF34" s="69" t="str">
        <f t="shared" si="18"/>
        <v/>
      </c>
      <c r="AG34" s="69" t="str">
        <f t="shared" si="19"/>
        <v/>
      </c>
      <c r="AH34" s="89"/>
      <c r="AI34" s="89"/>
      <c r="AJ34" s="90"/>
      <c r="AL34" s="92" t="s">
        <v>210</v>
      </c>
      <c r="AM34" s="69" t="str">
        <f>IF(ISNA(CoverpageTables!DU12),"",CoverpageTables!DU12)</f>
        <v/>
      </c>
      <c r="AN34" s="69" t="str">
        <f>IF(ISNA(CoverpageTables!DW12),"",CoverpageTables!DW12)</f>
        <v/>
      </c>
      <c r="AO34" s="69" t="str">
        <f t="shared" si="20"/>
        <v/>
      </c>
      <c r="AP34" s="69" t="str">
        <f t="shared" si="21"/>
        <v/>
      </c>
      <c r="AQ34" s="89"/>
      <c r="AR34" s="89"/>
      <c r="AS34" s="90"/>
      <c r="AU34" s="92" t="s">
        <v>210</v>
      </c>
      <c r="AV34" s="69" t="str">
        <f>IF(ISNA(CoverpageTables!EN12),"",CoverpageTables!EN12)</f>
        <v/>
      </c>
      <c r="AW34" s="69" t="str">
        <f>IF(ISNA(CoverpageTables!EP12),"",CoverpageTables!EP12)</f>
        <v/>
      </c>
      <c r="AX34" s="69" t="str">
        <f t="shared" si="22"/>
        <v/>
      </c>
      <c r="AY34" s="69" t="str">
        <f t="shared" si="23"/>
        <v/>
      </c>
      <c r="AZ34" s="89"/>
      <c r="BA34" s="89"/>
      <c r="BB34" s="90"/>
    </row>
    <row r="35" spans="2:54">
      <c r="B35" s="92" t="s">
        <v>211</v>
      </c>
      <c r="C35" s="69" t="str">
        <f>IF(ISNA(CoverpageTables!AW13),"",CoverpageTables!AW13)</f>
        <v/>
      </c>
      <c r="D35" s="69" t="str">
        <f>IF(ISNA(CoverpageTables!AY13),"",CoverpageTables!AY13)</f>
        <v/>
      </c>
      <c r="E35" s="69" t="str">
        <f t="shared" si="24"/>
        <v/>
      </c>
      <c r="F35" s="69" t="str">
        <f t="shared" si="25"/>
        <v/>
      </c>
      <c r="G35" s="89"/>
      <c r="H35" s="89"/>
      <c r="I35" s="90"/>
      <c r="K35" s="92" t="s">
        <v>211</v>
      </c>
      <c r="L35" s="69" t="str">
        <f>IF(ISNA(CoverpageTables!BP13),"",CoverpageTables!BP13)</f>
        <v/>
      </c>
      <c r="M35" s="69" t="str">
        <f>IF(ISNA(CoverpageTables!BR13),"",CoverpageTables!BR13)</f>
        <v/>
      </c>
      <c r="N35" s="69" t="str">
        <f t="shared" si="14"/>
        <v/>
      </c>
      <c r="O35" s="69" t="str">
        <f t="shared" si="15"/>
        <v/>
      </c>
      <c r="P35" s="89"/>
      <c r="Q35" s="89"/>
      <c r="R35" s="90"/>
      <c r="T35" s="92" t="s">
        <v>211</v>
      </c>
      <c r="U35" s="69" t="str">
        <f>IF(ISNA(CoverpageTables!CI13),"",CoverpageTables!CI13)</f>
        <v/>
      </c>
      <c r="V35" s="69" t="str">
        <f>IF(ISNA(CoverpageTables!CK13),"",CoverpageTables!CK13)</f>
        <v/>
      </c>
      <c r="W35" s="69" t="str">
        <f t="shared" si="16"/>
        <v/>
      </c>
      <c r="X35" s="69" t="str">
        <f t="shared" si="17"/>
        <v/>
      </c>
      <c r="Y35" s="89"/>
      <c r="Z35" s="89"/>
      <c r="AA35" s="90"/>
      <c r="AC35" s="92" t="s">
        <v>211</v>
      </c>
      <c r="AD35" s="69" t="str">
        <f>IF(ISNA(CoverpageTables!DB13),"",CoverpageTables!DB13)</f>
        <v/>
      </c>
      <c r="AE35" s="69" t="str">
        <f>IF(ISNA(CoverpageTables!DD13),"",CoverpageTables!DD13)</f>
        <v/>
      </c>
      <c r="AF35" s="69" t="str">
        <f t="shared" si="18"/>
        <v/>
      </c>
      <c r="AG35" s="69" t="str">
        <f t="shared" si="19"/>
        <v/>
      </c>
      <c r="AH35" s="89"/>
      <c r="AI35" s="89"/>
      <c r="AJ35" s="90"/>
      <c r="AL35" s="92" t="s">
        <v>211</v>
      </c>
      <c r="AM35" s="69" t="str">
        <f>IF(ISNA(CoverpageTables!DU13),"",CoverpageTables!DU13)</f>
        <v/>
      </c>
      <c r="AN35" s="69" t="str">
        <f>IF(ISNA(CoverpageTables!DW13),"",CoverpageTables!DW13)</f>
        <v/>
      </c>
      <c r="AO35" s="69" t="str">
        <f t="shared" si="20"/>
        <v/>
      </c>
      <c r="AP35" s="69" t="str">
        <f t="shared" si="21"/>
        <v/>
      </c>
      <c r="AQ35" s="89"/>
      <c r="AR35" s="89"/>
      <c r="AS35" s="90"/>
      <c r="AU35" s="92" t="s">
        <v>211</v>
      </c>
      <c r="AV35" s="69" t="str">
        <f>IF(ISNA(CoverpageTables!EN13),"",CoverpageTables!EN13)</f>
        <v/>
      </c>
      <c r="AW35" s="69" t="str">
        <f>IF(ISNA(CoverpageTables!EP13),"",CoverpageTables!EP13)</f>
        <v/>
      </c>
      <c r="AX35" s="69" t="str">
        <f t="shared" si="22"/>
        <v/>
      </c>
      <c r="AY35" s="69" t="str">
        <f t="shared" si="23"/>
        <v/>
      </c>
      <c r="AZ35" s="89"/>
      <c r="BA35" s="89"/>
      <c r="BB35" s="90"/>
    </row>
    <row r="36" spans="2:54">
      <c r="B36" s="92" t="s">
        <v>179</v>
      </c>
      <c r="C36" s="69" t="str">
        <f>IF(ISNA(CoverpageTables!AW14),"",CoverpageTables!AW14)</f>
        <v/>
      </c>
      <c r="D36" s="69" t="str">
        <f>IF(ISNA(CoverpageTables!AY14),"",CoverpageTables!AY14)</f>
        <v/>
      </c>
      <c r="E36" s="69" t="str">
        <f t="shared" si="24"/>
        <v/>
      </c>
      <c r="F36" s="69" t="str">
        <f t="shared" si="25"/>
        <v/>
      </c>
      <c r="G36" s="89"/>
      <c r="H36" s="89"/>
      <c r="I36" s="90"/>
      <c r="K36" s="92" t="s">
        <v>179</v>
      </c>
      <c r="L36" s="69" t="str">
        <f>IF(ISNA(CoverpageTables!BP14),"",CoverpageTables!BP14)</f>
        <v/>
      </c>
      <c r="M36" s="69" t="str">
        <f>IF(ISNA(CoverpageTables!BR14),"",CoverpageTables!BR14)</f>
        <v/>
      </c>
      <c r="N36" s="69" t="str">
        <f t="shared" si="14"/>
        <v/>
      </c>
      <c r="O36" s="69" t="str">
        <f t="shared" si="15"/>
        <v/>
      </c>
      <c r="P36" s="89"/>
      <c r="Q36" s="89"/>
      <c r="R36" s="90"/>
      <c r="T36" s="92" t="s">
        <v>179</v>
      </c>
      <c r="U36" s="69" t="str">
        <f>IF(ISNA(CoverpageTables!CI14),"",CoverpageTables!CI14)</f>
        <v/>
      </c>
      <c r="V36" s="69" t="str">
        <f>IF(ISNA(CoverpageTables!CK14),"",CoverpageTables!CK14)</f>
        <v/>
      </c>
      <c r="W36" s="69" t="str">
        <f t="shared" si="16"/>
        <v/>
      </c>
      <c r="X36" s="69" t="str">
        <f t="shared" si="17"/>
        <v/>
      </c>
      <c r="Y36" s="89"/>
      <c r="Z36" s="89"/>
      <c r="AA36" s="90"/>
      <c r="AC36" s="92" t="s">
        <v>179</v>
      </c>
      <c r="AD36" s="69" t="str">
        <f>IF(ISNA(CoverpageTables!DB14),"",CoverpageTables!DB14)</f>
        <v/>
      </c>
      <c r="AE36" s="69" t="str">
        <f>IF(ISNA(CoverpageTables!DD14),"",CoverpageTables!DD14)</f>
        <v/>
      </c>
      <c r="AF36" s="69" t="str">
        <f t="shared" si="18"/>
        <v/>
      </c>
      <c r="AG36" s="69" t="str">
        <f t="shared" si="19"/>
        <v/>
      </c>
      <c r="AH36" s="89"/>
      <c r="AI36" s="89"/>
      <c r="AJ36" s="90"/>
      <c r="AL36" s="92" t="s">
        <v>179</v>
      </c>
      <c r="AM36" s="69" t="str">
        <f>IF(ISNA(CoverpageTables!DU14),"",CoverpageTables!DU14)</f>
        <v/>
      </c>
      <c r="AN36" s="69" t="str">
        <f>IF(ISNA(CoverpageTables!DW14),"",CoverpageTables!DW14)</f>
        <v/>
      </c>
      <c r="AO36" s="69" t="str">
        <f t="shared" si="20"/>
        <v/>
      </c>
      <c r="AP36" s="69" t="str">
        <f t="shared" si="21"/>
        <v/>
      </c>
      <c r="AQ36" s="89"/>
      <c r="AR36" s="89"/>
      <c r="AS36" s="90"/>
      <c r="AU36" s="92" t="s">
        <v>179</v>
      </c>
      <c r="AV36" s="69" t="str">
        <f>IF(ISNA(CoverpageTables!EN14),"",CoverpageTables!EN14)</f>
        <v/>
      </c>
      <c r="AW36" s="69" t="str">
        <f>IF(ISNA(CoverpageTables!EP14),"",CoverpageTables!EP14)</f>
        <v/>
      </c>
      <c r="AX36" s="69" t="str">
        <f t="shared" si="22"/>
        <v/>
      </c>
      <c r="AY36" s="69" t="str">
        <f t="shared" si="23"/>
        <v/>
      </c>
      <c r="AZ36" s="89"/>
      <c r="BA36" s="89"/>
      <c r="BB36" s="90"/>
    </row>
    <row r="37" spans="2:54">
      <c r="B37" s="92" t="s">
        <v>180</v>
      </c>
      <c r="C37" s="69" t="str">
        <f>IF(ISNA(CoverpageTables!AW15),"",CoverpageTables!AW15)</f>
        <v/>
      </c>
      <c r="D37" s="69" t="str">
        <f>IF(ISNA(CoverpageTables!AY15),"",CoverpageTables!AY15)</f>
        <v/>
      </c>
      <c r="E37" s="69" t="str">
        <f t="shared" si="24"/>
        <v/>
      </c>
      <c r="F37" s="69" t="str">
        <f t="shared" si="25"/>
        <v/>
      </c>
      <c r="G37" s="89"/>
      <c r="H37" s="89"/>
      <c r="I37" s="90"/>
      <c r="K37" s="92" t="s">
        <v>180</v>
      </c>
      <c r="L37" s="69" t="str">
        <f>IF(ISNA(CoverpageTables!BP15),"",CoverpageTables!BP15)</f>
        <v/>
      </c>
      <c r="M37" s="69" t="str">
        <f>IF(ISNA(CoverpageTables!BR15),"",CoverpageTables!BR15)</f>
        <v/>
      </c>
      <c r="N37" s="69" t="str">
        <f t="shared" si="14"/>
        <v/>
      </c>
      <c r="O37" s="69" t="str">
        <f t="shared" si="15"/>
        <v/>
      </c>
      <c r="P37" s="89"/>
      <c r="Q37" s="89"/>
      <c r="R37" s="90"/>
      <c r="T37" s="92" t="s">
        <v>180</v>
      </c>
      <c r="U37" s="69" t="str">
        <f>IF(ISNA(CoverpageTables!CI15),"",CoverpageTables!CI15)</f>
        <v/>
      </c>
      <c r="V37" s="69" t="str">
        <f>IF(ISNA(CoverpageTables!CK15),"",CoverpageTables!CK15)</f>
        <v/>
      </c>
      <c r="W37" s="69" t="str">
        <f t="shared" si="16"/>
        <v/>
      </c>
      <c r="X37" s="69" t="str">
        <f t="shared" si="17"/>
        <v/>
      </c>
      <c r="Y37" s="89"/>
      <c r="Z37" s="89"/>
      <c r="AA37" s="90"/>
      <c r="AC37" s="92" t="s">
        <v>180</v>
      </c>
      <c r="AD37" s="69" t="str">
        <f>IF(ISNA(CoverpageTables!DB15),"",CoverpageTables!DB15)</f>
        <v/>
      </c>
      <c r="AE37" s="69" t="str">
        <f>IF(ISNA(CoverpageTables!DD15),"",CoverpageTables!DD15)</f>
        <v/>
      </c>
      <c r="AF37" s="69" t="str">
        <f t="shared" si="18"/>
        <v/>
      </c>
      <c r="AG37" s="69" t="str">
        <f t="shared" si="19"/>
        <v/>
      </c>
      <c r="AH37" s="89"/>
      <c r="AI37" s="89"/>
      <c r="AJ37" s="90"/>
      <c r="AL37" s="92" t="s">
        <v>180</v>
      </c>
      <c r="AM37" s="69" t="str">
        <f>IF(ISNA(CoverpageTables!DU15),"",CoverpageTables!DU15)</f>
        <v/>
      </c>
      <c r="AN37" s="69" t="str">
        <f>IF(ISNA(CoverpageTables!DW15),"",CoverpageTables!DW15)</f>
        <v/>
      </c>
      <c r="AO37" s="69" t="str">
        <f t="shared" si="20"/>
        <v/>
      </c>
      <c r="AP37" s="69" t="str">
        <f t="shared" si="21"/>
        <v/>
      </c>
      <c r="AQ37" s="89"/>
      <c r="AR37" s="89"/>
      <c r="AS37" s="90"/>
      <c r="AU37" s="92" t="s">
        <v>180</v>
      </c>
      <c r="AV37" s="69" t="str">
        <f>IF(ISNA(CoverpageTables!EN15),"",CoverpageTables!EN15)</f>
        <v/>
      </c>
      <c r="AW37" s="69" t="str">
        <f>IF(ISNA(CoverpageTables!EP15),"",CoverpageTables!EP15)</f>
        <v/>
      </c>
      <c r="AX37" s="69" t="str">
        <f t="shared" si="22"/>
        <v/>
      </c>
      <c r="AY37" s="69" t="str">
        <f t="shared" si="23"/>
        <v/>
      </c>
      <c r="AZ37" s="89"/>
      <c r="BA37" s="89"/>
      <c r="BB37" s="90"/>
    </row>
    <row r="38" spans="2:54">
      <c r="B38" s="92" t="s">
        <v>212</v>
      </c>
      <c r="C38" s="69" t="str">
        <f>IF(ISNA(CoverpageTables!AW16),"",CoverpageTables!AW16)</f>
        <v/>
      </c>
      <c r="D38" s="69" t="str">
        <f>IF(ISNA(CoverpageTables!AY16),"",CoverpageTables!AY16)</f>
        <v/>
      </c>
      <c r="E38" s="69" t="str">
        <f t="shared" si="24"/>
        <v/>
      </c>
      <c r="F38" s="69" t="str">
        <f t="shared" si="25"/>
        <v/>
      </c>
      <c r="G38" s="89"/>
      <c r="H38" s="89"/>
      <c r="I38" s="90"/>
      <c r="K38" s="92" t="s">
        <v>212</v>
      </c>
      <c r="L38" s="69" t="str">
        <f>IF(ISNA(CoverpageTables!BP16),"",CoverpageTables!BP16)</f>
        <v/>
      </c>
      <c r="M38" s="69" t="str">
        <f>IF(ISNA(CoverpageTables!BR16),"",CoverpageTables!BR16)</f>
        <v/>
      </c>
      <c r="N38" s="69" t="str">
        <f t="shared" si="14"/>
        <v/>
      </c>
      <c r="O38" s="69" t="str">
        <f t="shared" si="15"/>
        <v/>
      </c>
      <c r="P38" s="89"/>
      <c r="Q38" s="89"/>
      <c r="R38" s="90"/>
      <c r="T38" s="92" t="s">
        <v>212</v>
      </c>
      <c r="U38" s="69" t="str">
        <f>IF(ISNA(CoverpageTables!CI16),"",CoverpageTables!CI16)</f>
        <v/>
      </c>
      <c r="V38" s="69" t="str">
        <f>IF(ISNA(CoverpageTables!CK16),"",CoverpageTables!CK16)</f>
        <v/>
      </c>
      <c r="W38" s="69" t="str">
        <f t="shared" si="16"/>
        <v/>
      </c>
      <c r="X38" s="69" t="str">
        <f t="shared" si="17"/>
        <v/>
      </c>
      <c r="Y38" s="89"/>
      <c r="Z38" s="89"/>
      <c r="AA38" s="90"/>
      <c r="AC38" s="92" t="s">
        <v>212</v>
      </c>
      <c r="AD38" s="69" t="str">
        <f>IF(ISNA(CoverpageTables!DB16),"",CoverpageTables!DB16)</f>
        <v/>
      </c>
      <c r="AE38" s="69" t="str">
        <f>IF(ISNA(CoverpageTables!DD16),"",CoverpageTables!DD16)</f>
        <v/>
      </c>
      <c r="AF38" s="69" t="str">
        <f t="shared" si="18"/>
        <v/>
      </c>
      <c r="AG38" s="69" t="str">
        <f t="shared" si="19"/>
        <v/>
      </c>
      <c r="AH38" s="89"/>
      <c r="AI38" s="89"/>
      <c r="AJ38" s="90"/>
      <c r="AL38" s="92" t="s">
        <v>212</v>
      </c>
      <c r="AM38" s="69" t="str">
        <f>IF(ISNA(CoverpageTables!DU16),"",CoverpageTables!DU16)</f>
        <v/>
      </c>
      <c r="AN38" s="69" t="str">
        <f>IF(ISNA(CoverpageTables!DW16),"",CoverpageTables!DW16)</f>
        <v/>
      </c>
      <c r="AO38" s="69" t="str">
        <f t="shared" si="20"/>
        <v/>
      </c>
      <c r="AP38" s="69" t="str">
        <f t="shared" si="21"/>
        <v/>
      </c>
      <c r="AQ38" s="89"/>
      <c r="AR38" s="89"/>
      <c r="AS38" s="90"/>
      <c r="AU38" s="92" t="s">
        <v>212</v>
      </c>
      <c r="AV38" s="69" t="str">
        <f>IF(ISNA(CoverpageTables!EN16),"",CoverpageTables!EN16)</f>
        <v/>
      </c>
      <c r="AW38" s="69" t="str">
        <f>IF(ISNA(CoverpageTables!EP16),"",CoverpageTables!EP16)</f>
        <v/>
      </c>
      <c r="AX38" s="69" t="str">
        <f t="shared" si="22"/>
        <v/>
      </c>
      <c r="AY38" s="69" t="str">
        <f t="shared" si="23"/>
        <v/>
      </c>
      <c r="AZ38" s="89"/>
      <c r="BA38" s="89"/>
      <c r="BB38" s="90"/>
    </row>
    <row r="39" spans="2:54">
      <c r="B39" s="92" t="s">
        <v>213</v>
      </c>
      <c r="C39" s="69">
        <f>IF(ISNA(CoverpageTables!AW17),"",CoverpageTables!AW17)</f>
        <v>0</v>
      </c>
      <c r="D39" s="69" t="str">
        <f>IF(ISNA(CoverpageTables!AY17),"",CoverpageTables!AY17)</f>
        <v/>
      </c>
      <c r="E39" s="69" t="str">
        <f t="shared" si="24"/>
        <v/>
      </c>
      <c r="F39" s="69" t="str">
        <f t="shared" si="25"/>
        <v/>
      </c>
      <c r="G39" s="89"/>
      <c r="H39" s="89"/>
      <c r="I39" s="90"/>
      <c r="K39" s="92" t="s">
        <v>213</v>
      </c>
      <c r="L39" s="69">
        <f>IF(ISNA(CoverpageTables!BP17),"",CoverpageTables!BP17)</f>
        <v>0</v>
      </c>
      <c r="M39" s="69" t="str">
        <f>IF(ISNA(CoverpageTables!BR17),"",CoverpageTables!BR17)</f>
        <v/>
      </c>
      <c r="N39" s="69" t="str">
        <f t="shared" si="14"/>
        <v/>
      </c>
      <c r="O39" s="69" t="str">
        <f t="shared" si="15"/>
        <v/>
      </c>
      <c r="P39" s="89"/>
      <c r="Q39" s="89"/>
      <c r="R39" s="90"/>
      <c r="T39" s="92" t="s">
        <v>213</v>
      </c>
      <c r="U39" s="69" t="str">
        <f>IF(ISNA(CoverpageTables!CI17),"",CoverpageTables!CI17)</f>
        <v/>
      </c>
      <c r="V39" s="69" t="str">
        <f>IF(ISNA(CoverpageTables!CK17),"",CoverpageTables!CK17)</f>
        <v/>
      </c>
      <c r="W39" s="69" t="str">
        <f t="shared" si="16"/>
        <v/>
      </c>
      <c r="X39" s="69" t="str">
        <f t="shared" si="17"/>
        <v/>
      </c>
      <c r="Y39" s="89"/>
      <c r="Z39" s="89"/>
      <c r="AA39" s="90"/>
      <c r="AC39" s="92" t="s">
        <v>213</v>
      </c>
      <c r="AD39" s="69" t="str">
        <f>IF(ISNA(CoverpageTables!DB17),"",CoverpageTables!DB17)</f>
        <v/>
      </c>
      <c r="AE39" s="69" t="str">
        <f>IF(ISNA(CoverpageTables!DD17),"",CoverpageTables!DD17)</f>
        <v/>
      </c>
      <c r="AF39" s="69" t="str">
        <f t="shared" si="18"/>
        <v/>
      </c>
      <c r="AG39" s="69" t="str">
        <f t="shared" si="19"/>
        <v/>
      </c>
      <c r="AH39" s="89"/>
      <c r="AI39" s="89"/>
      <c r="AJ39" s="90"/>
      <c r="AL39" s="92" t="s">
        <v>213</v>
      </c>
      <c r="AM39" s="69" t="str">
        <f>IF(ISNA(CoverpageTables!DU17),"",CoverpageTables!DU17)</f>
        <v/>
      </c>
      <c r="AN39" s="69" t="str">
        <f>IF(ISNA(CoverpageTables!DW17),"",CoverpageTables!DW17)</f>
        <v/>
      </c>
      <c r="AO39" s="69" t="str">
        <f t="shared" si="20"/>
        <v/>
      </c>
      <c r="AP39" s="69" t="str">
        <f t="shared" si="21"/>
        <v/>
      </c>
      <c r="AQ39" s="89"/>
      <c r="AR39" s="89"/>
      <c r="AS39" s="90"/>
      <c r="AU39" s="92" t="s">
        <v>213</v>
      </c>
      <c r="AV39" s="69" t="str">
        <f>IF(ISNA(CoverpageTables!EN17),"",CoverpageTables!EN17)</f>
        <v/>
      </c>
      <c r="AW39" s="69" t="str">
        <f>IF(ISNA(CoverpageTables!EP17),"",CoverpageTables!EP17)</f>
        <v/>
      </c>
      <c r="AX39" s="69" t="str">
        <f t="shared" si="22"/>
        <v/>
      </c>
      <c r="AY39" s="69" t="str">
        <f t="shared" si="23"/>
        <v/>
      </c>
      <c r="AZ39" s="89"/>
      <c r="BA39" s="89"/>
      <c r="BB39" s="90"/>
    </row>
    <row r="40" spans="2:54">
      <c r="B40" s="92" t="s">
        <v>181</v>
      </c>
      <c r="C40" s="69" t="str">
        <f>IF(ISNA(CoverpageTables!AW18),"",CoverpageTables!AW18)</f>
        <v/>
      </c>
      <c r="D40" s="69" t="str">
        <f>IF(ISNA(CoverpageTables!AY18),"",CoverpageTables!AY18)</f>
        <v/>
      </c>
      <c r="E40" s="69" t="str">
        <f t="shared" si="24"/>
        <v/>
      </c>
      <c r="F40" s="69" t="str">
        <f t="shared" si="25"/>
        <v/>
      </c>
      <c r="G40" s="89"/>
      <c r="H40" s="89"/>
      <c r="I40" s="90"/>
      <c r="K40" s="92" t="s">
        <v>181</v>
      </c>
      <c r="L40" s="69" t="str">
        <f>IF(ISNA(CoverpageTables!BP18),"",CoverpageTables!BP18)</f>
        <v/>
      </c>
      <c r="M40" s="69" t="str">
        <f>IF(ISNA(CoverpageTables!BR18),"",CoverpageTables!BR18)</f>
        <v/>
      </c>
      <c r="N40" s="69" t="str">
        <f t="shared" si="14"/>
        <v/>
      </c>
      <c r="O40" s="69" t="str">
        <f t="shared" si="15"/>
        <v/>
      </c>
      <c r="P40" s="89"/>
      <c r="Q40" s="89"/>
      <c r="R40" s="90"/>
      <c r="T40" s="92" t="s">
        <v>181</v>
      </c>
      <c r="U40" s="69" t="str">
        <f>IF(ISNA(CoverpageTables!CI18),"",CoverpageTables!CI18)</f>
        <v/>
      </c>
      <c r="V40" s="69" t="str">
        <f>IF(ISNA(CoverpageTables!CK18),"",CoverpageTables!CK18)</f>
        <v/>
      </c>
      <c r="W40" s="69" t="str">
        <f t="shared" si="16"/>
        <v/>
      </c>
      <c r="X40" s="69" t="str">
        <f t="shared" si="17"/>
        <v/>
      </c>
      <c r="Y40" s="89"/>
      <c r="Z40" s="89"/>
      <c r="AA40" s="90"/>
      <c r="AC40" s="92" t="s">
        <v>181</v>
      </c>
      <c r="AD40" s="69" t="str">
        <f>IF(ISNA(CoverpageTables!DB18),"",CoverpageTables!DB18)</f>
        <v/>
      </c>
      <c r="AE40" s="69" t="str">
        <f>IF(ISNA(CoverpageTables!DD18),"",CoverpageTables!DD18)</f>
        <v/>
      </c>
      <c r="AF40" s="69" t="str">
        <f t="shared" si="18"/>
        <v/>
      </c>
      <c r="AG40" s="69" t="str">
        <f t="shared" si="19"/>
        <v/>
      </c>
      <c r="AH40" s="89"/>
      <c r="AI40" s="89"/>
      <c r="AJ40" s="90"/>
      <c r="AL40" s="92" t="s">
        <v>181</v>
      </c>
      <c r="AM40" s="69" t="str">
        <f>IF(ISNA(CoverpageTables!DU18),"",CoverpageTables!DU18)</f>
        <v/>
      </c>
      <c r="AN40" s="69" t="str">
        <f>IF(ISNA(CoverpageTables!DW18),"",CoverpageTables!DW18)</f>
        <v/>
      </c>
      <c r="AO40" s="69" t="str">
        <f t="shared" si="20"/>
        <v/>
      </c>
      <c r="AP40" s="69" t="str">
        <f t="shared" si="21"/>
        <v/>
      </c>
      <c r="AQ40" s="89"/>
      <c r="AR40" s="89"/>
      <c r="AS40" s="90"/>
      <c r="AU40" s="92" t="s">
        <v>181</v>
      </c>
      <c r="AV40" s="69" t="str">
        <f>IF(ISNA(CoverpageTables!EN18),"",CoverpageTables!EN18)</f>
        <v/>
      </c>
      <c r="AW40" s="69" t="str">
        <f>IF(ISNA(CoverpageTables!EP18),"",CoverpageTables!EP18)</f>
        <v/>
      </c>
      <c r="AX40" s="69" t="str">
        <f t="shared" si="22"/>
        <v/>
      </c>
      <c r="AY40" s="69" t="str">
        <f t="shared" si="23"/>
        <v/>
      </c>
      <c r="AZ40" s="89"/>
      <c r="BA40" s="89"/>
      <c r="BB40" s="90"/>
    </row>
    <row r="41" spans="2:54">
      <c r="B41" s="92" t="s">
        <v>182</v>
      </c>
      <c r="C41" s="69">
        <f>IF(ISNA(CoverpageTables!AW19),"",CoverpageTables!AW19)</f>
        <v>36.966045459494737</v>
      </c>
      <c r="D41" s="69" t="str">
        <f>IF(ISNA(CoverpageTables!AY19),"",CoverpageTables!AY19)</f>
        <v/>
      </c>
      <c r="E41" s="69" t="str">
        <f t="shared" si="24"/>
        <v/>
      </c>
      <c r="F41" s="69" t="str">
        <f t="shared" si="25"/>
        <v/>
      </c>
      <c r="G41" s="89"/>
      <c r="H41" s="89"/>
      <c r="I41" s="90"/>
      <c r="K41" s="92" t="s">
        <v>182</v>
      </c>
      <c r="L41" s="69">
        <f>IF(ISNA(CoverpageTables!BP19),"",CoverpageTables!BP19)</f>
        <v>-7.5243765106757662E-2</v>
      </c>
      <c r="M41" s="69" t="str">
        <f>IF(ISNA(CoverpageTables!BR19),"",CoverpageTables!BR19)</f>
        <v/>
      </c>
      <c r="N41" s="69" t="str">
        <f t="shared" si="14"/>
        <v/>
      </c>
      <c r="O41" s="69" t="str">
        <f t="shared" si="15"/>
        <v/>
      </c>
      <c r="P41" s="89"/>
      <c r="Q41" s="89"/>
      <c r="R41" s="90"/>
      <c r="T41" s="92" t="s">
        <v>182</v>
      </c>
      <c r="U41" s="69" t="str">
        <f>IF(ISNA(CoverpageTables!CI19),"",CoverpageTables!CI19)</f>
        <v/>
      </c>
      <c r="V41" s="69" t="str">
        <f>IF(ISNA(CoverpageTables!CK19),"",CoverpageTables!CK19)</f>
        <v/>
      </c>
      <c r="W41" s="69" t="str">
        <f t="shared" si="16"/>
        <v/>
      </c>
      <c r="X41" s="69" t="str">
        <f t="shared" si="17"/>
        <v/>
      </c>
      <c r="Y41" s="89"/>
      <c r="Z41" s="89"/>
      <c r="AA41" s="90"/>
      <c r="AC41" s="92" t="s">
        <v>182</v>
      </c>
      <c r="AD41" s="69" t="str">
        <f>IF(ISNA(CoverpageTables!DB19),"",CoverpageTables!DB19)</f>
        <v/>
      </c>
      <c r="AE41" s="69" t="str">
        <f>IF(ISNA(CoverpageTables!DD19),"",CoverpageTables!DD19)</f>
        <v/>
      </c>
      <c r="AF41" s="69" t="str">
        <f t="shared" si="18"/>
        <v/>
      </c>
      <c r="AG41" s="69" t="str">
        <f t="shared" si="19"/>
        <v/>
      </c>
      <c r="AH41" s="89"/>
      <c r="AI41" s="89"/>
      <c r="AJ41" s="90"/>
      <c r="AL41" s="92" t="s">
        <v>182</v>
      </c>
      <c r="AM41" s="69" t="str">
        <f>IF(ISNA(CoverpageTables!DU19),"",CoverpageTables!DU19)</f>
        <v/>
      </c>
      <c r="AN41" s="69" t="str">
        <f>IF(ISNA(CoverpageTables!DW19),"",CoverpageTables!DW19)</f>
        <v/>
      </c>
      <c r="AO41" s="69" t="str">
        <f t="shared" si="20"/>
        <v/>
      </c>
      <c r="AP41" s="69" t="str">
        <f t="shared" si="21"/>
        <v/>
      </c>
      <c r="AQ41" s="89"/>
      <c r="AR41" s="89"/>
      <c r="AS41" s="90"/>
      <c r="AU41" s="92" t="s">
        <v>182</v>
      </c>
      <c r="AV41" s="69" t="str">
        <f>IF(ISNA(CoverpageTables!EN19),"",CoverpageTables!EN19)</f>
        <v/>
      </c>
      <c r="AW41" s="69" t="str">
        <f>IF(ISNA(CoverpageTables!EP19),"",CoverpageTables!EP19)</f>
        <v/>
      </c>
      <c r="AX41" s="69" t="str">
        <f t="shared" si="22"/>
        <v/>
      </c>
      <c r="AY41" s="69" t="str">
        <f t="shared" si="23"/>
        <v/>
      </c>
      <c r="AZ41" s="89"/>
      <c r="BA41" s="89"/>
      <c r="BB41" s="90"/>
    </row>
    <row r="42" spans="2:54">
      <c r="B42" s="92" t="s">
        <v>163</v>
      </c>
      <c r="C42" s="69" t="str">
        <f>IF(ISNA(CoverpageTables!AW20),"",CoverpageTables!AW20)</f>
        <v/>
      </c>
      <c r="D42" s="69" t="str">
        <f>IF(ISNA(CoverpageTables!AY20),"",CoverpageTables!AY20)</f>
        <v/>
      </c>
      <c r="E42" s="69" t="str">
        <f t="shared" si="24"/>
        <v/>
      </c>
      <c r="F42" s="69" t="str">
        <f t="shared" si="25"/>
        <v/>
      </c>
      <c r="G42" s="89"/>
      <c r="H42" s="89"/>
      <c r="I42" s="90"/>
      <c r="K42" s="92" t="s">
        <v>163</v>
      </c>
      <c r="L42" s="69" t="str">
        <f>IF(ISNA(CoverpageTables!BP20),"",CoverpageTables!BP20)</f>
        <v/>
      </c>
      <c r="M42" s="69" t="str">
        <f>IF(ISNA(CoverpageTables!BR20),"",CoverpageTables!BR20)</f>
        <v/>
      </c>
      <c r="N42" s="69" t="str">
        <f t="shared" si="14"/>
        <v/>
      </c>
      <c r="O42" s="69" t="str">
        <f t="shared" si="15"/>
        <v/>
      </c>
      <c r="P42" s="89"/>
      <c r="Q42" s="89"/>
      <c r="R42" s="90"/>
      <c r="T42" s="92" t="s">
        <v>163</v>
      </c>
      <c r="U42" s="69" t="str">
        <f>IF(ISNA(CoverpageTables!CI20),"",CoverpageTables!CI20)</f>
        <v/>
      </c>
      <c r="V42" s="69" t="str">
        <f>IF(ISNA(CoverpageTables!CK20),"",CoverpageTables!CK20)</f>
        <v/>
      </c>
      <c r="W42" s="69" t="str">
        <f t="shared" si="16"/>
        <v/>
      </c>
      <c r="X42" s="69" t="str">
        <f t="shared" si="17"/>
        <v/>
      </c>
      <c r="Y42" s="89"/>
      <c r="Z42" s="89"/>
      <c r="AA42" s="90"/>
      <c r="AC42" s="92" t="s">
        <v>163</v>
      </c>
      <c r="AD42" s="69" t="str">
        <f>IF(ISNA(CoverpageTables!DB20),"",CoverpageTables!DB20)</f>
        <v/>
      </c>
      <c r="AE42" s="69" t="str">
        <f>IF(ISNA(CoverpageTables!DD20),"",CoverpageTables!DD20)</f>
        <v/>
      </c>
      <c r="AF42" s="69" t="str">
        <f t="shared" si="18"/>
        <v/>
      </c>
      <c r="AG42" s="69" t="str">
        <f t="shared" si="19"/>
        <v/>
      </c>
      <c r="AH42" s="89"/>
      <c r="AI42" s="89"/>
      <c r="AJ42" s="90"/>
      <c r="AL42" s="92" t="s">
        <v>163</v>
      </c>
      <c r="AM42" s="69" t="str">
        <f>IF(ISNA(CoverpageTables!DU20),"",CoverpageTables!DU20)</f>
        <v/>
      </c>
      <c r="AN42" s="69" t="str">
        <f>IF(ISNA(CoverpageTables!DW20),"",CoverpageTables!DW20)</f>
        <v/>
      </c>
      <c r="AO42" s="69" t="str">
        <f t="shared" si="20"/>
        <v/>
      </c>
      <c r="AP42" s="69" t="str">
        <f t="shared" si="21"/>
        <v/>
      </c>
      <c r="AQ42" s="89"/>
      <c r="AR42" s="89"/>
      <c r="AS42" s="90"/>
      <c r="AU42" s="92" t="s">
        <v>163</v>
      </c>
      <c r="AV42" s="69" t="str">
        <f>IF(ISNA(CoverpageTables!EN20),"",CoverpageTables!EN20)</f>
        <v/>
      </c>
      <c r="AW42" s="69" t="str">
        <f>IF(ISNA(CoverpageTables!EP20),"",CoverpageTables!EP20)</f>
        <v/>
      </c>
      <c r="AX42" s="69" t="str">
        <f t="shared" si="22"/>
        <v/>
      </c>
      <c r="AY42" s="69" t="str">
        <f t="shared" si="23"/>
        <v/>
      </c>
      <c r="AZ42" s="89"/>
      <c r="BA42" s="89"/>
      <c r="BB42" s="90"/>
    </row>
    <row r="43" spans="2:54">
      <c r="B43" s="94" t="s">
        <v>183</v>
      </c>
      <c r="C43" s="69" t="str">
        <f>IF(ISNA(CoverpageTables!AW21),"",CoverpageTables!AW21)</f>
        <v/>
      </c>
      <c r="D43" s="69" t="str">
        <f>IF(ISNA(CoverpageTables!AY21),"",CoverpageTables!AY21)</f>
        <v/>
      </c>
      <c r="E43" s="69" t="str">
        <f t="shared" si="24"/>
        <v/>
      </c>
      <c r="F43" s="69" t="str">
        <f t="shared" si="25"/>
        <v/>
      </c>
      <c r="G43" s="89"/>
      <c r="H43" s="89"/>
      <c r="I43" s="90"/>
      <c r="K43" s="94" t="s">
        <v>183</v>
      </c>
      <c r="L43" s="69" t="str">
        <f>IF(ISNA(CoverpageTables!BP21),"",CoverpageTables!BP21)</f>
        <v/>
      </c>
      <c r="M43" s="69" t="str">
        <f>IF(ISNA(CoverpageTables!BR21),"",CoverpageTables!BR21)</f>
        <v/>
      </c>
      <c r="N43" s="69" t="str">
        <f t="shared" si="14"/>
        <v/>
      </c>
      <c r="O43" s="69" t="str">
        <f t="shared" si="15"/>
        <v/>
      </c>
      <c r="P43" s="89"/>
      <c r="Q43" s="89"/>
      <c r="R43" s="90"/>
      <c r="T43" s="94" t="s">
        <v>183</v>
      </c>
      <c r="U43" s="69" t="str">
        <f>IF(ISNA(CoverpageTables!CI21),"",CoverpageTables!CI21)</f>
        <v/>
      </c>
      <c r="V43" s="69" t="str">
        <f>IF(ISNA(CoverpageTables!CK21),"",CoverpageTables!CK21)</f>
        <v/>
      </c>
      <c r="W43" s="69" t="str">
        <f t="shared" si="16"/>
        <v/>
      </c>
      <c r="X43" s="69" t="str">
        <f t="shared" si="17"/>
        <v/>
      </c>
      <c r="Y43" s="89"/>
      <c r="Z43" s="89"/>
      <c r="AA43" s="90"/>
      <c r="AC43" s="94" t="s">
        <v>183</v>
      </c>
      <c r="AD43" s="69" t="str">
        <f>IF(ISNA(CoverpageTables!DB21),"",CoverpageTables!DB21)</f>
        <v/>
      </c>
      <c r="AE43" s="69" t="str">
        <f>IF(ISNA(CoverpageTables!DD21),"",CoverpageTables!DD21)</f>
        <v/>
      </c>
      <c r="AF43" s="69" t="str">
        <f t="shared" si="18"/>
        <v/>
      </c>
      <c r="AG43" s="69" t="str">
        <f t="shared" si="19"/>
        <v/>
      </c>
      <c r="AH43" s="89"/>
      <c r="AI43" s="89"/>
      <c r="AJ43" s="90"/>
      <c r="AL43" s="94" t="s">
        <v>183</v>
      </c>
      <c r="AM43" s="69" t="str">
        <f>IF(ISNA(CoverpageTables!DU21),"",CoverpageTables!DU21)</f>
        <v/>
      </c>
      <c r="AN43" s="69" t="str">
        <f>IF(ISNA(CoverpageTables!DW21),"",CoverpageTables!DW21)</f>
        <v/>
      </c>
      <c r="AO43" s="69" t="str">
        <f t="shared" si="20"/>
        <v/>
      </c>
      <c r="AP43" s="69" t="str">
        <f t="shared" si="21"/>
        <v/>
      </c>
      <c r="AQ43" s="89"/>
      <c r="AR43" s="89"/>
      <c r="AS43" s="90"/>
      <c r="AU43" s="94" t="s">
        <v>183</v>
      </c>
      <c r="AV43" s="69" t="str">
        <f>IF(ISNA(CoverpageTables!EN21),"",CoverpageTables!EN21)</f>
        <v/>
      </c>
      <c r="AW43" s="69" t="str">
        <f>IF(ISNA(CoverpageTables!EP21),"",CoverpageTables!EP21)</f>
        <v/>
      </c>
      <c r="AX43" s="69" t="str">
        <f t="shared" si="22"/>
        <v/>
      </c>
      <c r="AY43" s="69" t="str">
        <f t="shared" si="23"/>
        <v/>
      </c>
      <c r="AZ43" s="89"/>
      <c r="BA43" s="89"/>
      <c r="BB43" s="90"/>
    </row>
  </sheetData>
  <mergeCells count="18">
    <mergeCell ref="AU23:BB23"/>
    <mergeCell ref="B8:I8"/>
    <mergeCell ref="K8:R8"/>
    <mergeCell ref="T8:AA8"/>
    <mergeCell ref="AC8:AJ8"/>
    <mergeCell ref="AL8:AS8"/>
    <mergeCell ref="AU8:BB8"/>
    <mergeCell ref="B23:I23"/>
    <mergeCell ref="K23:R23"/>
    <mergeCell ref="T23:AA23"/>
    <mergeCell ref="AC23:AJ23"/>
    <mergeCell ref="AL23:AS23"/>
    <mergeCell ref="AU6:BB6"/>
    <mergeCell ref="B6:I6"/>
    <mergeCell ref="K6:R6"/>
    <mergeCell ref="T6:AA6"/>
    <mergeCell ref="AC6:AJ6"/>
    <mergeCell ref="AL6:AS6"/>
  </mergeCell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pDatWHT">
    <tabColor theme="6" tint="0.39997558519241921"/>
  </sheetPr>
  <dimension ref="B6:N48"/>
  <sheetViews>
    <sheetView showGridLines="0" zoomScale="70" zoomScaleNormal="70" workbookViewId="0"/>
  </sheetViews>
  <sheetFormatPr defaultRowHeight="15"/>
  <cols>
    <col min="1" max="1" width="4.28515625" customWidth="1"/>
    <col min="2" max="2" width="18.7109375" bestFit="1" customWidth="1"/>
    <col min="3" max="3" width="10.5703125" bestFit="1" customWidth="1"/>
    <col min="4" max="4" width="11.140625" bestFit="1" customWidth="1"/>
    <col min="5" max="5" width="11.5703125" bestFit="1" customWidth="1"/>
    <col min="6" max="6" width="11.140625" bestFit="1" customWidth="1"/>
    <col min="7" max="7" width="14.28515625" bestFit="1" customWidth="1"/>
    <col min="8" max="8" width="11.7109375" customWidth="1"/>
    <col min="9" max="9" width="11.140625" bestFit="1" customWidth="1"/>
    <col min="10" max="10" width="11.5703125" customWidth="1"/>
    <col min="11" max="11" width="14.85546875" bestFit="1" customWidth="1"/>
    <col min="12" max="12" width="13.85546875" bestFit="1" customWidth="1"/>
    <col min="13" max="13" width="45.7109375" bestFit="1" customWidth="1"/>
    <col min="14" max="14" width="9.140625" style="48"/>
  </cols>
  <sheetData>
    <row r="6" spans="2:13" ht="23.25">
      <c r="B6" s="186" t="s">
        <v>203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91"/>
    </row>
    <row r="13" spans="2:13" ht="21">
      <c r="B13" s="188" t="s">
        <v>204</v>
      </c>
      <c r="C13" s="189"/>
      <c r="D13" s="189"/>
      <c r="E13" s="189"/>
      <c r="F13" s="189"/>
      <c r="G13" s="189"/>
      <c r="H13" s="189"/>
      <c r="I13" s="189"/>
      <c r="J13" s="189"/>
      <c r="K13" s="189"/>
      <c r="L13" s="189"/>
      <c r="M13" s="190"/>
    </row>
    <row r="14" spans="2:13" ht="25.5">
      <c r="B14" s="84" t="s">
        <v>187</v>
      </c>
      <c r="C14" s="85" t="s">
        <v>205</v>
      </c>
      <c r="D14" s="85" t="s">
        <v>175</v>
      </c>
      <c r="E14" s="85" t="s">
        <v>176</v>
      </c>
      <c r="F14" s="86" t="s">
        <v>177</v>
      </c>
      <c r="G14" s="87" t="s">
        <v>206</v>
      </c>
      <c r="H14" s="87" t="s">
        <v>176</v>
      </c>
      <c r="I14" s="87" t="s">
        <v>177</v>
      </c>
      <c r="J14" s="87" t="s">
        <v>207</v>
      </c>
      <c r="K14" s="85" t="s">
        <v>208</v>
      </c>
      <c r="L14" s="85" t="s">
        <v>209</v>
      </c>
      <c r="M14" s="85" t="s">
        <v>188</v>
      </c>
    </row>
    <row r="15" spans="2:13">
      <c r="B15" s="88">
        <f>'PERFORMANCE SUMMARY'!B30</f>
        <v>42521</v>
      </c>
      <c r="C15" s="69">
        <f>'PERFORMANCE SUMMARY'!C30</f>
        <v>1.0841984858</v>
      </c>
      <c r="D15" s="69" t="str">
        <f>IF('PERFORMANCE SUMMARY'!D30="","",'PERFORMANCE SUMMARY'!D30)</f>
        <v/>
      </c>
      <c r="E15" s="69" t="str">
        <f>IF(OR(NOT(ISNUMBER($C15)),NOT(ISNUMBER($D15))),"",$C15-$D15)</f>
        <v/>
      </c>
      <c r="F15" s="69" t="str">
        <f>IF(OR(NOT(ISNUMBER($C15)),NOT(ISNUMBER($D15))),"",(((($C15/100)+1)/(($D15/100)+1))-1)*100)</f>
        <v/>
      </c>
      <c r="G15" s="108" t="str">
        <f>IF(ISNA(VLOOKUP(B15,tblReturnsForSelectedFund[#All],6,FALSE)),"",VLOOKUP(B15,tblReturnsForSelectedFund[#All],6,FALSE))</f>
        <v/>
      </c>
      <c r="H15" s="69"/>
      <c r="I15" s="69"/>
      <c r="J15" s="69"/>
      <c r="K15" s="108" t="str">
        <f>IF(ISNA(VLOOKUP(B15,tblReturnsForSelectedFund[#All],7,FALSE)),"",VLOOKUP(B15,tblReturnsForSelectedFund[#All],7,FALSE))</f>
        <v/>
      </c>
      <c r="L15" s="108" t="str">
        <f>IF(ISNA(VLOOKUP(B15,tblReturnsForSelectedFund[#All],9,FALSE)),"",VLOOKUP(B15,tblReturnsForSelectedFund[#All],8,FALSE))</f>
        <v/>
      </c>
      <c r="M15" s="108" t="str">
        <f>IF(ISNA(VLOOKUP(B15,tblReturnsForSelectedFund[#All],9,FALSE)),"",VLOOKUP(B15,tblReturnsForSelectedFund[#All],9,FALSE))</f>
        <v/>
      </c>
    </row>
    <row r="16" spans="2:13">
      <c r="B16" s="88">
        <f>'PERFORMANCE SUMMARY'!B31</f>
        <v>42551</v>
      </c>
      <c r="C16" s="69">
        <f>'PERFORMANCE SUMMARY'!C31</f>
        <v>2.9147057102999998</v>
      </c>
      <c r="D16" s="69" t="str">
        <f>IF('PERFORMANCE SUMMARY'!D31="","",'PERFORMANCE SUMMARY'!D31)</f>
        <v/>
      </c>
      <c r="E16" s="69" t="str">
        <f t="shared" ref="E16:E26" si="0">IF(OR(NOT(ISNUMBER($C16)),NOT(ISNUMBER($D16))),"",$C16-$D16)</f>
        <v/>
      </c>
      <c r="F16" s="69" t="str">
        <f t="shared" ref="F16:F26" si="1">IF(OR(NOT(ISNUMBER($C16)),NOT(ISNUMBER($D16))),"",(((($C16/100)+1)/(($D16/100)+1))-1)*100)</f>
        <v/>
      </c>
      <c r="G16" s="108">
        <f>IF(ISNA(VLOOKUP(B16,tblReturnsForSelectedFund[#All],6,FALSE)),"",VLOOKUP(B16,tblReturnsForSelectedFund[#All],6,FALSE))</f>
        <v>0</v>
      </c>
      <c r="H16" s="69"/>
      <c r="I16" s="69"/>
      <c r="J16" s="69"/>
      <c r="K16" s="108">
        <f>IF(ISNA(VLOOKUP(B16,tblReturnsForSelectedFund[#All],7,FALSE)),"",VLOOKUP(B16,tblReturnsForSelectedFund[#All],7,FALSE))</f>
        <v>25807931.739999998</v>
      </c>
      <c r="L16" s="108">
        <f>IF(ISNA(VLOOKUP(B16,tblReturnsForSelectedFund[#All],9,FALSE)),"",VLOOKUP(B16,tblReturnsForSelectedFund[#All],8,FALSE))</f>
        <v>752224.56</v>
      </c>
      <c r="M16" s="108">
        <f>IF(ISNA(VLOOKUP(B16,tblReturnsForSelectedFund[#All],9,FALSE)),"",VLOOKUP(B16,tblReturnsForSelectedFund[#All],9,FALSE))</f>
        <v>0</v>
      </c>
    </row>
    <row r="17" spans="2:13">
      <c r="B17" s="88">
        <f>'PERFORMANCE SUMMARY'!B32</f>
        <v>42582</v>
      </c>
      <c r="C17" s="69">
        <f>'PERFORMANCE SUMMARY'!C32</f>
        <v>2.1804275612000001</v>
      </c>
      <c r="D17" s="69" t="str">
        <f>IF('PERFORMANCE SUMMARY'!D32="","",'PERFORMANCE SUMMARY'!D32)</f>
        <v/>
      </c>
      <c r="E17" s="69" t="str">
        <f t="shared" si="0"/>
        <v/>
      </c>
      <c r="F17" s="69" t="str">
        <f t="shared" si="1"/>
        <v/>
      </c>
      <c r="G17" s="108">
        <f>IF(ISNA(VLOOKUP(B17,tblReturnsForSelectedFund[#All],6,FALSE)),"",VLOOKUP(B17,tblReturnsForSelectedFund[#All],6,FALSE))</f>
        <v>0</v>
      </c>
      <c r="H17" s="69"/>
      <c r="I17" s="69"/>
      <c r="J17" s="69"/>
      <c r="K17" s="108">
        <f>IF(ISNA(VLOOKUP(B17,tblReturnsForSelectedFund[#All],7,FALSE)),"",VLOOKUP(B17,tblReturnsForSelectedFund[#All],7,FALSE))</f>
        <v>26560078.440000001</v>
      </c>
      <c r="L17" s="108">
        <f>IF(ISNA(VLOOKUP(B17,tblReturnsForSelectedFund[#All],9,FALSE)),"",VLOOKUP(B17,tblReturnsForSelectedFund[#All],8,FALSE))</f>
        <v>579122.79</v>
      </c>
      <c r="M17" s="108">
        <f>IF(ISNA(VLOOKUP(B17,tblReturnsForSelectedFund[#All],9,FALSE)),"",VLOOKUP(B17,tblReturnsForSelectedFund[#All],9,FALSE))</f>
        <v>0</v>
      </c>
    </row>
    <row r="18" spans="2:13">
      <c r="B18" s="88">
        <f>'PERFORMANCE SUMMARY'!B33</f>
        <v>42613</v>
      </c>
      <c r="C18" s="69">
        <f>'PERFORMANCE SUMMARY'!C33</f>
        <v>0.77311382719999999</v>
      </c>
      <c r="D18" s="69" t="str">
        <f>IF('PERFORMANCE SUMMARY'!D33="","",'PERFORMANCE SUMMARY'!D33)</f>
        <v/>
      </c>
      <c r="E18" s="69" t="str">
        <f t="shared" si="0"/>
        <v/>
      </c>
      <c r="F18" s="69" t="str">
        <f t="shared" si="1"/>
        <v/>
      </c>
      <c r="G18" s="108">
        <f>IF(ISNA(VLOOKUP(B18,tblReturnsForSelectedFund[#All],6,FALSE)),"",VLOOKUP(B18,tblReturnsForSelectedFund[#All],6,FALSE))</f>
        <v>0</v>
      </c>
      <c r="H18" s="69"/>
      <c r="I18" s="69"/>
      <c r="J18" s="69"/>
      <c r="K18" s="108">
        <f>IF(ISNA(VLOOKUP(B18,tblReturnsForSelectedFund[#All],7,FALSE)),"",VLOOKUP(B18,tblReturnsForSelectedFund[#All],7,FALSE))</f>
        <v>27139048.949999999</v>
      </c>
      <c r="L18" s="108">
        <f>IF(ISNA(VLOOKUP(B18,tblReturnsForSelectedFund[#All],9,FALSE)),"",VLOOKUP(B18,tblReturnsForSelectedFund[#All],8,FALSE))</f>
        <v>209815.74</v>
      </c>
      <c r="M18" s="108">
        <f>IF(ISNA(VLOOKUP(B18,tblReturnsForSelectedFund[#All],9,FALSE)),"",VLOOKUP(B18,tblReturnsForSelectedFund[#All],9,FALSE))</f>
        <v>0</v>
      </c>
    </row>
    <row r="19" spans="2:13">
      <c r="B19" s="88">
        <f>'PERFORMANCE SUMMARY'!B34</f>
        <v>42643</v>
      </c>
      <c r="C19" s="69">
        <f>'PERFORMANCE SUMMARY'!C34</f>
        <v>-0.26207888629999998</v>
      </c>
      <c r="D19" s="69" t="str">
        <f>IF('PERFORMANCE SUMMARY'!D34="","",'PERFORMANCE SUMMARY'!D34)</f>
        <v/>
      </c>
      <c r="E19" s="69" t="str">
        <f t="shared" si="0"/>
        <v/>
      </c>
      <c r="F19" s="69" t="str">
        <f t="shared" si="1"/>
        <v/>
      </c>
      <c r="G19" s="108">
        <f>IF(ISNA(VLOOKUP(B19,tblReturnsForSelectedFund[#All],6,FALSE)),"",VLOOKUP(B19,tblReturnsForSelectedFund[#All],6,FALSE))</f>
        <v>0</v>
      </c>
      <c r="H19" s="69"/>
      <c r="I19" s="69"/>
      <c r="J19" s="69"/>
      <c r="K19" s="108">
        <f>IF(ISNA(VLOOKUP(B19,tblReturnsForSelectedFund[#All],7,FALSE)),"",VLOOKUP(B19,tblReturnsForSelectedFund[#All],7,FALSE))</f>
        <v>27348864.690000001</v>
      </c>
      <c r="L19" s="108">
        <f>IF(ISNA(VLOOKUP(B19,tblReturnsForSelectedFund[#All],9,FALSE)),"",VLOOKUP(B19,tblReturnsForSelectedFund[#All],8,FALSE))</f>
        <v>-71675.600000000006</v>
      </c>
      <c r="M19" s="108">
        <f>IF(ISNA(VLOOKUP(B19,tblReturnsForSelectedFund[#All],9,FALSE)),"",VLOOKUP(B19,tblReturnsForSelectedFund[#All],9,FALSE))</f>
        <v>0</v>
      </c>
    </row>
    <row r="20" spans="2:13">
      <c r="B20" s="88">
        <f>'PERFORMANCE SUMMARY'!B35</f>
        <v>42674</v>
      </c>
      <c r="C20" s="69">
        <f>'PERFORMANCE SUMMARY'!C35</f>
        <v>19.3084136292</v>
      </c>
      <c r="D20" s="69" t="str">
        <f>IF('PERFORMANCE SUMMARY'!D35="","",'PERFORMANCE SUMMARY'!D35)</f>
        <v/>
      </c>
      <c r="E20" s="69" t="str">
        <f t="shared" si="0"/>
        <v/>
      </c>
      <c r="F20" s="69" t="str">
        <f t="shared" si="1"/>
        <v/>
      </c>
      <c r="G20" s="108">
        <f>IF(ISNA(VLOOKUP(B20,tblReturnsForSelectedFund[#All],6,FALSE)),"",VLOOKUP(B20,tblReturnsForSelectedFund[#All],6,FALSE))</f>
        <v>0</v>
      </c>
      <c r="H20" s="69"/>
      <c r="I20" s="69"/>
      <c r="J20" s="69"/>
      <c r="K20" s="108">
        <f>IF(ISNA(VLOOKUP(B20,tblReturnsForSelectedFund[#All],7,FALSE)),"",VLOOKUP(B20,tblReturnsForSelectedFund[#All],7,FALSE))</f>
        <v>27277189.09</v>
      </c>
      <c r="L20" s="108">
        <f>IF(ISNA(VLOOKUP(B20,tblReturnsForSelectedFund[#All],9,FALSE)),"",VLOOKUP(B20,tblReturnsForSelectedFund[#All],8,FALSE))</f>
        <v>31.99</v>
      </c>
      <c r="M20" s="108">
        <f>IF(ISNA(VLOOKUP(B20,tblReturnsForSelectedFund[#All],9,FALSE)),"",VLOOKUP(B20,tblReturnsForSelectedFund[#All],9,FALSE))</f>
        <v>0</v>
      </c>
    </row>
    <row r="21" spans="2:13">
      <c r="B21" s="88">
        <f>'PERFORMANCE SUMMARY'!B36</f>
        <v>42704</v>
      </c>
      <c r="C21" s="69">
        <f>'PERFORMANCE SUMMARY'!C36</f>
        <v>-9.2877619499999994E-2</v>
      </c>
      <c r="D21" s="69" t="str">
        <f>IF('PERFORMANCE SUMMARY'!D36="","",'PERFORMANCE SUMMARY'!D36)</f>
        <v/>
      </c>
      <c r="E21" s="69" t="str">
        <f t="shared" si="0"/>
        <v/>
      </c>
      <c r="F21" s="69" t="str">
        <f t="shared" si="1"/>
        <v/>
      </c>
      <c r="G21" s="108">
        <f>IF(ISNA(VLOOKUP(B21,tblReturnsForSelectedFund[#All],6,FALSE)),"",VLOOKUP(B21,tblReturnsForSelectedFund[#All],6,FALSE))</f>
        <v>0</v>
      </c>
      <c r="H21" s="69"/>
      <c r="I21" s="69"/>
      <c r="J21" s="69"/>
      <c r="K21" s="108">
        <f>IF(ISNA(VLOOKUP(B21,tblReturnsForSelectedFund[#All],7,FALSE)),"",VLOOKUP(B21,tblReturnsForSelectedFund[#All],7,FALSE))</f>
        <v>144.02000000000001</v>
      </c>
      <c r="L21" s="108">
        <f>IF(ISNA(VLOOKUP(B21,tblReturnsForSelectedFund[#All],9,FALSE)),"",VLOOKUP(B21,tblReturnsForSelectedFund[#All],8,FALSE))</f>
        <v>-89372.11</v>
      </c>
      <c r="M21" s="108">
        <f>IF(ISNA(VLOOKUP(B21,tblReturnsForSelectedFund[#All],9,FALSE)),"",VLOOKUP(B21,tblReturnsForSelectedFund[#All],9,FALSE))</f>
        <v>0</v>
      </c>
    </row>
    <row r="22" spans="2:13">
      <c r="B22" s="88">
        <f>'PERFORMANCE SUMMARY'!B37</f>
        <v>42735</v>
      </c>
      <c r="C22" s="69">
        <f>'PERFORMANCE SUMMARY'!C37</f>
        <v>-1.0014259738</v>
      </c>
      <c r="D22" s="69" t="str">
        <f>IF('PERFORMANCE SUMMARY'!D37="","",'PERFORMANCE SUMMARY'!D37)</f>
        <v/>
      </c>
      <c r="E22" s="69" t="str">
        <f t="shared" si="0"/>
        <v/>
      </c>
      <c r="F22" s="69" t="str">
        <f t="shared" si="1"/>
        <v/>
      </c>
      <c r="G22" s="108" t="str">
        <f>IF(ISNA(VLOOKUP(B22,tblReturnsForSelectedFund[#All],6,FALSE)),"",VLOOKUP(B22,tblReturnsForSelectedFund[#All],6,FALSE))</f>
        <v/>
      </c>
      <c r="H22" s="69"/>
      <c r="I22" s="69"/>
      <c r="J22" s="69"/>
      <c r="K22" s="108" t="str">
        <f>IF(ISNA(VLOOKUP(B22,tblReturnsForSelectedFund[#All],7,FALSE)),"",VLOOKUP(B22,tblReturnsForSelectedFund[#All],7,FALSE))</f>
        <v/>
      </c>
      <c r="L22" s="108" t="str">
        <f>IF(ISNA(VLOOKUP(B22,tblReturnsForSelectedFund[#All],9,FALSE)),"",VLOOKUP(B22,tblReturnsForSelectedFund[#All],8,FALSE))</f>
        <v/>
      </c>
      <c r="M22" s="108" t="str">
        <f>IF(ISNA(VLOOKUP(B22,tblReturnsForSelectedFund[#All],9,FALSE)),"",VLOOKUP(B22,tblReturnsForSelectedFund[#All],9,FALSE))</f>
        <v/>
      </c>
    </row>
    <row r="23" spans="2:13">
      <c r="B23" s="88">
        <f>'PERFORMANCE SUMMARY'!B38</f>
        <v>42766</v>
      </c>
      <c r="C23" s="69">
        <f>'PERFORMANCE SUMMARY'!C38</f>
        <v>1.7561093717</v>
      </c>
      <c r="D23" s="69" t="str">
        <f>IF('PERFORMANCE SUMMARY'!D38="","",'PERFORMANCE SUMMARY'!D38)</f>
        <v/>
      </c>
      <c r="E23" s="69" t="str">
        <f t="shared" si="0"/>
        <v/>
      </c>
      <c r="F23" s="69" t="str">
        <f t="shared" si="1"/>
        <v/>
      </c>
      <c r="G23" s="108">
        <f>IF(ISNA(VLOOKUP(B23,tblReturnsForSelectedFund[#All],6,FALSE)),"",VLOOKUP(B23,tblReturnsForSelectedFund[#All],6,FALSE))</f>
        <v>0</v>
      </c>
      <c r="H23" s="69"/>
      <c r="I23" s="69"/>
      <c r="J23" s="69"/>
      <c r="K23" s="108">
        <f>IF(ISNA(VLOOKUP(B23,tblReturnsForSelectedFund[#All],7,FALSE)),"",VLOOKUP(B23,tblReturnsForSelectedFund[#All],7,FALSE))</f>
        <v>94416673.400000006</v>
      </c>
      <c r="L23" s="108">
        <f>IF(ISNA(VLOOKUP(B23,tblReturnsForSelectedFund[#All],9,FALSE)),"",VLOOKUP(B23,tblReturnsForSelectedFund[#All],8,FALSE))</f>
        <v>1658059.97</v>
      </c>
      <c r="M23" s="108">
        <f>IF(ISNA(VLOOKUP(B23,tblReturnsForSelectedFund[#All],9,FALSE)),"",VLOOKUP(B23,tblReturnsForSelectedFund[#All],9,FALSE))</f>
        <v>0</v>
      </c>
    </row>
    <row r="24" spans="2:13">
      <c r="B24" s="88">
        <f>'PERFORMANCE SUMMARY'!B39</f>
        <v>42794</v>
      </c>
      <c r="C24" s="69">
        <f>'PERFORMANCE SUMMARY'!C39</f>
        <v>-0.37919687819999998</v>
      </c>
      <c r="D24" s="69" t="str">
        <f>IF('PERFORMANCE SUMMARY'!D39="","",'PERFORMANCE SUMMARY'!D39)</f>
        <v/>
      </c>
      <c r="E24" s="69" t="str">
        <f t="shared" si="0"/>
        <v/>
      </c>
      <c r="F24" s="69" t="str">
        <f t="shared" si="1"/>
        <v/>
      </c>
      <c r="G24" s="108">
        <f>IF(ISNA(VLOOKUP(B24,tblReturnsForSelectedFund[#All],6,FALSE)),"",VLOOKUP(B24,tblReturnsForSelectedFund[#All],6,FALSE))</f>
        <v>0</v>
      </c>
      <c r="H24" s="69"/>
      <c r="I24" s="69"/>
      <c r="J24" s="69"/>
      <c r="K24" s="108">
        <f>IF(ISNA(VLOOKUP(B24,tblReturnsForSelectedFund[#All],7,FALSE)),"",VLOOKUP(B24,tblReturnsForSelectedFund[#All],7,FALSE))</f>
        <v>96074733.450000003</v>
      </c>
      <c r="L24" s="108">
        <f>IF(ISNA(VLOOKUP(B24,tblReturnsForSelectedFund[#All],9,FALSE)),"",VLOOKUP(B24,tblReturnsForSelectedFund[#All],8,FALSE))</f>
        <v>-364312.48</v>
      </c>
      <c r="M24" s="108">
        <f>IF(ISNA(VLOOKUP(B24,tblReturnsForSelectedFund[#All],9,FALSE)),"",VLOOKUP(B24,tblReturnsForSelectedFund[#All],9,FALSE))</f>
        <v>0</v>
      </c>
    </row>
    <row r="25" spans="2:13">
      <c r="B25" s="88">
        <f>'PERFORMANCE SUMMARY'!B40</f>
        <v>42825</v>
      </c>
      <c r="C25" s="69">
        <f>'PERFORMANCE SUMMARY'!C40</f>
        <v>0.4075291633</v>
      </c>
      <c r="D25" s="69" t="str">
        <f>IF('PERFORMANCE SUMMARY'!D40="","",'PERFORMANCE SUMMARY'!D40)</f>
        <v/>
      </c>
      <c r="E25" s="69" t="str">
        <f t="shared" si="0"/>
        <v/>
      </c>
      <c r="F25" s="69" t="str">
        <f t="shared" si="1"/>
        <v/>
      </c>
      <c r="G25" s="108">
        <f>IF(ISNA(VLOOKUP(B25,tblReturnsForSelectedFund[#All],6,FALSE)),"",VLOOKUP(B25,tblReturnsForSelectedFund[#All],6,FALSE))</f>
        <v>0</v>
      </c>
      <c r="H25" s="69"/>
      <c r="I25" s="69"/>
      <c r="J25" s="69"/>
      <c r="K25" s="108">
        <f>IF(ISNA(VLOOKUP(B25,tblReturnsForSelectedFund[#All],7,FALSE)),"",VLOOKUP(B25,tblReturnsForSelectedFund[#All],7,FALSE))</f>
        <v>95710421.060000002</v>
      </c>
      <c r="L25" s="108">
        <f>IF(ISNA(VLOOKUP(B25,tblReturnsForSelectedFund[#All],9,FALSE)),"",VLOOKUP(B25,tblReturnsForSelectedFund[#All],8,FALSE))</f>
        <v>390050.91</v>
      </c>
      <c r="M25" s="108">
        <f>IF(ISNA(VLOOKUP(B25,tblReturnsForSelectedFund[#All],9,FALSE)),"",VLOOKUP(B25,tblReturnsForSelectedFund[#All],9,FALSE))</f>
        <v>0</v>
      </c>
    </row>
    <row r="26" spans="2:13">
      <c r="B26" s="88">
        <f>'PERFORMANCE SUMMARY'!B41</f>
        <v>42855</v>
      </c>
      <c r="C26" s="69">
        <f>'PERFORMANCE SUMMARY'!C41</f>
        <v>0.32337536290000002</v>
      </c>
      <c r="D26" s="69" t="str">
        <f>IF('PERFORMANCE SUMMARY'!D41="","",'PERFORMANCE SUMMARY'!D41)</f>
        <v/>
      </c>
      <c r="E26" s="69" t="str">
        <f t="shared" si="0"/>
        <v/>
      </c>
      <c r="F26" s="69" t="str">
        <f t="shared" si="1"/>
        <v/>
      </c>
      <c r="G26" s="108">
        <f>IF(ISNA(VLOOKUP(B26,tblReturnsForSelectedFund[#All],6,FALSE)),"",VLOOKUP(B26,tblReturnsForSelectedFund[#All],6,FALSE))</f>
        <v>0</v>
      </c>
      <c r="H26" s="69"/>
      <c r="I26" s="69"/>
      <c r="J26" s="69"/>
      <c r="K26" s="108">
        <f>IF(ISNA(VLOOKUP(B26,tblReturnsForSelectedFund[#All],7,FALSE)),"",VLOOKUP(B26,tblReturnsForSelectedFund[#All],7,FALSE))</f>
        <v>96100471.969999999</v>
      </c>
      <c r="L26" s="108">
        <f>IF(ISNA(VLOOKUP(B26,tblReturnsForSelectedFund[#All],9,FALSE)),"",VLOOKUP(B26,tblReturnsForSelectedFund[#All],8,FALSE))</f>
        <v>310791.07</v>
      </c>
      <c r="M26" s="108">
        <f>IF(ISNA(VLOOKUP(B26,tblReturnsForSelectedFund[#All],9,FALSE)),"",VLOOKUP(B26,tblReturnsForSelectedFund[#All],9,FALSE))</f>
        <v>0</v>
      </c>
    </row>
    <row r="27" spans="2:13" ht="15.75" customHeight="1"/>
    <row r="28" spans="2:13" ht="21">
      <c r="B28" s="192" t="s">
        <v>172</v>
      </c>
      <c r="C28" s="193"/>
      <c r="D28" s="193"/>
      <c r="E28" s="193"/>
      <c r="F28" s="193"/>
      <c r="G28" s="193"/>
      <c r="H28" s="193"/>
      <c r="I28" s="193"/>
      <c r="J28" s="193"/>
      <c r="K28" s="193"/>
      <c r="L28" s="193"/>
      <c r="M28" s="193"/>
    </row>
    <row r="29" spans="2:13" ht="25.5">
      <c r="B29" s="91" t="s">
        <v>173</v>
      </c>
      <c r="C29" s="86" t="s">
        <v>174</v>
      </c>
      <c r="D29" s="86" t="s">
        <v>175</v>
      </c>
      <c r="E29" s="86" t="s">
        <v>176</v>
      </c>
      <c r="F29" s="86" t="s">
        <v>177</v>
      </c>
      <c r="G29" s="87" t="s">
        <v>206</v>
      </c>
      <c r="H29" s="87" t="s">
        <v>176</v>
      </c>
      <c r="I29" s="87" t="s">
        <v>177</v>
      </c>
      <c r="J29" s="87" t="s">
        <v>207</v>
      </c>
      <c r="K29" s="85" t="s">
        <v>208</v>
      </c>
      <c r="L29" s="85" t="s">
        <v>209</v>
      </c>
      <c r="M29" s="85" t="s">
        <v>188</v>
      </c>
    </row>
    <row r="30" spans="2:13">
      <c r="B30" s="92" t="s">
        <v>159</v>
      </c>
      <c r="C30" s="69">
        <f>IF(ISNA(CoverpageTables!AA3),"",CoverpageTables!AA3)</f>
        <v>96100471.969999999</v>
      </c>
      <c r="D30" s="69" t="str">
        <f>IF(ISNA(CoverpageTables!AC3),"",CoverpageTables!AC3)</f>
        <v/>
      </c>
      <c r="E30" s="69" t="str">
        <f t="shared" ref="E30:E48" si="2">IF(OR(NOT(ISNUMBER($C30)),NOT(ISNUMBER($D30))),"",$C30-$D30)</f>
        <v/>
      </c>
      <c r="F30" s="69" t="str">
        <f t="shared" ref="F30:F48" si="3">IF(OR(NOT(ISNUMBER($C30)),NOT(ISNUMBER($D30))),"",(((($C30/100)+1)/(($D30/100)+1))-1)*100)</f>
        <v/>
      </c>
      <c r="G30" s="69"/>
      <c r="H30" s="69"/>
      <c r="I30" s="69"/>
      <c r="J30" s="69"/>
      <c r="K30" s="89"/>
      <c r="L30" s="89"/>
      <c r="M30" s="90"/>
    </row>
    <row r="31" spans="2:13">
      <c r="B31" s="92" t="s">
        <v>160</v>
      </c>
      <c r="C31" s="69">
        <f>IF(ISNA(CoverpageTables!AA4),"",CoverpageTables!AA4)</f>
        <v>96074733.450000003</v>
      </c>
      <c r="D31" s="69" t="str">
        <f>IF(ISNA(CoverpageTables!AC4),"",CoverpageTables!AC4)</f>
        <v/>
      </c>
      <c r="E31" s="69" t="str">
        <f t="shared" si="2"/>
        <v/>
      </c>
      <c r="F31" s="69" t="str">
        <f t="shared" si="3"/>
        <v/>
      </c>
      <c r="G31" s="69"/>
      <c r="H31" s="69"/>
      <c r="I31" s="69"/>
      <c r="J31" s="69"/>
      <c r="K31" s="89"/>
      <c r="L31" s="89"/>
      <c r="M31" s="90"/>
    </row>
    <row r="32" spans="2:13">
      <c r="B32" s="92" t="s">
        <v>161</v>
      </c>
      <c r="C32" s="69">
        <f>IF(ISNA(CoverpageTables!AA5),"",CoverpageTables!AA5)</f>
        <v>144.02000000000001</v>
      </c>
      <c r="D32" s="69" t="str">
        <f>IF(ISNA(CoverpageTables!AC5),"",CoverpageTables!AC5)</f>
        <v/>
      </c>
      <c r="E32" s="69" t="str">
        <f t="shared" si="2"/>
        <v/>
      </c>
      <c r="F32" s="69" t="str">
        <f t="shared" si="3"/>
        <v/>
      </c>
      <c r="G32" s="69"/>
      <c r="H32" s="69"/>
      <c r="I32" s="69"/>
      <c r="J32" s="69"/>
      <c r="K32" s="89"/>
      <c r="L32" s="89"/>
      <c r="M32" s="90"/>
    </row>
    <row r="33" spans="2:13">
      <c r="B33" s="93" t="s">
        <v>186</v>
      </c>
      <c r="C33" s="69">
        <f>IF(ISNA(CoverpageTables!AA19),"",CoverpageTables!AA19)</f>
        <v>95710421.060000002</v>
      </c>
      <c r="D33" s="69" t="str">
        <f>IF(ISNA(CoverpageTables!AC19),"",CoverpageTables!AC19)</f>
        <v/>
      </c>
      <c r="E33" s="69" t="str">
        <f t="shared" si="2"/>
        <v/>
      </c>
      <c r="F33" s="69" t="str">
        <f t="shared" si="3"/>
        <v/>
      </c>
      <c r="G33" s="69"/>
      <c r="H33" s="69"/>
      <c r="I33" s="69"/>
      <c r="J33" s="69"/>
      <c r="K33" s="89"/>
      <c r="L33" s="89"/>
      <c r="M33" s="90"/>
    </row>
    <row r="34" spans="2:13">
      <c r="B34" s="92" t="s">
        <v>189</v>
      </c>
      <c r="C34" s="69" t="str">
        <f>IF(ISNA(CoverpageTables!AA20),"",CoverpageTables!AA20)</f>
        <v/>
      </c>
      <c r="D34" s="69" t="str">
        <f>IF(ISNA(CoverpageTables!AC20),"",CoverpageTables!AC20)</f>
        <v/>
      </c>
      <c r="E34" s="69" t="str">
        <f t="shared" si="2"/>
        <v/>
      </c>
      <c r="F34" s="69" t="str">
        <f t="shared" si="3"/>
        <v/>
      </c>
      <c r="G34" s="69"/>
      <c r="H34" s="69"/>
      <c r="I34" s="69"/>
      <c r="J34" s="69"/>
      <c r="K34" s="89"/>
      <c r="L34" s="89"/>
      <c r="M34" s="90"/>
    </row>
    <row r="35" spans="2:13">
      <c r="B35" s="92" t="s">
        <v>190</v>
      </c>
      <c r="C35" s="69" t="str">
        <f>IF(ISNA(CoverpageTables!AA21),"",CoverpageTables!AA21)</f>
        <v/>
      </c>
      <c r="D35" s="69" t="str">
        <f>IF(ISNA(CoverpageTables!AC21),"",CoverpageTables!AC21)</f>
        <v/>
      </c>
      <c r="E35" s="69" t="str">
        <f t="shared" si="2"/>
        <v/>
      </c>
      <c r="F35" s="69" t="str">
        <f t="shared" si="3"/>
        <v/>
      </c>
      <c r="G35" s="69"/>
      <c r="H35" s="69"/>
      <c r="I35" s="69"/>
      <c r="J35" s="69"/>
      <c r="K35" s="89"/>
      <c r="L35" s="89"/>
      <c r="M35" s="90"/>
    </row>
    <row r="36" spans="2:13">
      <c r="B36" s="92" t="s">
        <v>191</v>
      </c>
      <c r="C36" s="69" t="str">
        <f>IF(ISNA(CoverpageTables!AA22),"",CoverpageTables!AA22)</f>
        <v/>
      </c>
      <c r="D36" s="69" t="str">
        <f>IF(ISNA(CoverpageTables!AC22),"",CoverpageTables!AC22)</f>
        <v/>
      </c>
      <c r="E36" s="69" t="str">
        <f t="shared" si="2"/>
        <v/>
      </c>
      <c r="F36" s="69" t="str">
        <f t="shared" si="3"/>
        <v/>
      </c>
      <c r="G36" s="69"/>
      <c r="H36" s="69"/>
      <c r="I36" s="69"/>
      <c r="J36" s="69"/>
      <c r="K36" s="89"/>
      <c r="L36" s="89"/>
      <c r="M36" s="90"/>
    </row>
    <row r="37" spans="2:13">
      <c r="B37" s="92" t="s">
        <v>162</v>
      </c>
      <c r="C37" s="69" t="str">
        <f>IF(ISNA(CoverpageTables!AA6),"",CoverpageTables!AA6)</f>
        <v/>
      </c>
      <c r="D37" s="69" t="str">
        <f>IF(ISNA(CoverpageTables!AC6),"",CoverpageTables!AC6)</f>
        <v/>
      </c>
      <c r="E37" s="69" t="str">
        <f t="shared" si="2"/>
        <v/>
      </c>
      <c r="F37" s="69" t="str">
        <f t="shared" si="3"/>
        <v/>
      </c>
      <c r="G37" s="69"/>
      <c r="H37" s="69"/>
      <c r="I37" s="69"/>
      <c r="J37" s="69"/>
      <c r="K37" s="89"/>
      <c r="L37" s="89"/>
      <c r="M37" s="90"/>
    </row>
    <row r="38" spans="2:13">
      <c r="B38" s="92" t="s">
        <v>178</v>
      </c>
      <c r="C38" s="69" t="str">
        <f>IF(ISNA(CoverpageTables!AA7),"",CoverpageTables!AA7)</f>
        <v/>
      </c>
      <c r="D38" s="69" t="str">
        <f>IF(ISNA(CoverpageTables!AC7),"",CoverpageTables!AC7)</f>
        <v/>
      </c>
      <c r="E38" s="69" t="str">
        <f t="shared" si="2"/>
        <v/>
      </c>
      <c r="F38" s="69" t="str">
        <f t="shared" si="3"/>
        <v/>
      </c>
      <c r="G38" s="69"/>
      <c r="H38" s="69"/>
      <c r="I38" s="69"/>
      <c r="J38" s="69"/>
      <c r="K38" s="89"/>
      <c r="L38" s="89"/>
      <c r="M38" s="90"/>
    </row>
    <row r="39" spans="2:13">
      <c r="B39" s="92" t="s">
        <v>210</v>
      </c>
      <c r="C39" s="69" t="str">
        <f>IF(ISNA(CoverpageTables!AA8),"",CoverpageTables!AA8)</f>
        <v/>
      </c>
      <c r="D39" s="69" t="str">
        <f>IF(ISNA(CoverpageTables!AC8),"",CoverpageTables!AC8)</f>
        <v/>
      </c>
      <c r="E39" s="69" t="str">
        <f t="shared" si="2"/>
        <v/>
      </c>
      <c r="F39" s="69" t="str">
        <f t="shared" si="3"/>
        <v/>
      </c>
      <c r="G39" s="69"/>
      <c r="H39" s="69"/>
      <c r="I39" s="69"/>
      <c r="J39" s="69"/>
      <c r="K39" s="89"/>
      <c r="L39" s="89"/>
      <c r="M39" s="90"/>
    </row>
    <row r="40" spans="2:13">
      <c r="B40" s="92" t="s">
        <v>211</v>
      </c>
      <c r="C40" s="69">
        <f>IF(ISNA(CoverpageTables!AA9),"",CoverpageTables!AA9)</f>
        <v>0</v>
      </c>
      <c r="D40" s="69" t="str">
        <f>IF(ISNA(CoverpageTables!AC9),"",CoverpageTables!AC9)</f>
        <v/>
      </c>
      <c r="E40" s="69" t="str">
        <f t="shared" si="2"/>
        <v/>
      </c>
      <c r="F40" s="69" t="str">
        <f t="shared" si="3"/>
        <v/>
      </c>
      <c r="G40" s="69"/>
      <c r="H40" s="69"/>
      <c r="I40" s="69"/>
      <c r="J40" s="69"/>
      <c r="K40" s="89"/>
      <c r="L40" s="89"/>
      <c r="M40" s="90"/>
    </row>
    <row r="41" spans="2:13">
      <c r="B41" s="92" t="s">
        <v>179</v>
      </c>
      <c r="C41" s="69" t="str">
        <f>IF(ISNA(CoverpageTables!AA10),"",CoverpageTables!AA10)</f>
        <v/>
      </c>
      <c r="D41" s="69" t="str">
        <f>IF(ISNA(CoverpageTables!AC10),"",CoverpageTables!AC10)</f>
        <v/>
      </c>
      <c r="E41" s="69" t="str">
        <f t="shared" si="2"/>
        <v/>
      </c>
      <c r="F41" s="69" t="str">
        <f t="shared" si="3"/>
        <v/>
      </c>
      <c r="G41" s="69"/>
      <c r="H41" s="69"/>
      <c r="I41" s="69"/>
      <c r="J41" s="69"/>
      <c r="K41" s="89"/>
      <c r="L41" s="89"/>
      <c r="M41" s="90"/>
    </row>
    <row r="42" spans="2:13">
      <c r="B42" s="92" t="s">
        <v>180</v>
      </c>
      <c r="C42" s="69">
        <f>IF(ISNA(CoverpageTables!AA11),"",CoverpageTables!AA11)</f>
        <v>0</v>
      </c>
      <c r="D42" s="69" t="str">
        <f>IF(ISNA(CoverpageTables!AC11),"",CoverpageTables!AC11)</f>
        <v/>
      </c>
      <c r="E42" s="69" t="str">
        <f t="shared" si="2"/>
        <v/>
      </c>
      <c r="F42" s="69" t="str">
        <f t="shared" si="3"/>
        <v/>
      </c>
      <c r="G42" s="69"/>
      <c r="H42" s="69"/>
      <c r="I42" s="69"/>
      <c r="J42" s="69"/>
      <c r="K42" s="89"/>
      <c r="L42" s="89"/>
      <c r="M42" s="90"/>
    </row>
    <row r="43" spans="2:13">
      <c r="B43" s="92" t="s">
        <v>212</v>
      </c>
      <c r="C43" s="69" t="str">
        <f>IF(ISNA(CoverpageTables!AA12),"",CoverpageTables!AA12)</f>
        <v/>
      </c>
      <c r="D43" s="69" t="str">
        <f>IF(ISNA(CoverpageTables!AC12),"",CoverpageTables!AC12)</f>
        <v/>
      </c>
      <c r="E43" s="69" t="str">
        <f t="shared" si="2"/>
        <v/>
      </c>
      <c r="F43" s="69" t="str">
        <f t="shared" si="3"/>
        <v/>
      </c>
      <c r="G43" s="69"/>
      <c r="H43" s="69"/>
      <c r="I43" s="69"/>
      <c r="J43" s="69"/>
      <c r="K43" s="89"/>
      <c r="L43" s="89"/>
      <c r="M43" s="90"/>
    </row>
    <row r="44" spans="2:13">
      <c r="B44" s="92" t="s">
        <v>213</v>
      </c>
      <c r="C44" s="69">
        <f>IF(ISNA(CoverpageTables!AA13),"",CoverpageTables!AA13)</f>
        <v>0</v>
      </c>
      <c r="D44" s="69" t="str">
        <f>IF(ISNA(CoverpageTables!AC13),"",CoverpageTables!AC13)</f>
        <v/>
      </c>
      <c r="E44" s="69" t="str">
        <f t="shared" si="2"/>
        <v/>
      </c>
      <c r="F44" s="69" t="str">
        <f t="shared" si="3"/>
        <v/>
      </c>
      <c r="G44" s="69"/>
      <c r="H44" s="69"/>
      <c r="I44" s="69"/>
      <c r="J44" s="69"/>
      <c r="K44" s="89"/>
      <c r="L44" s="89"/>
      <c r="M44" s="90"/>
    </row>
    <row r="45" spans="2:13">
      <c r="B45" s="92" t="s">
        <v>181</v>
      </c>
      <c r="C45" s="69" t="str">
        <f>IF(ISNA(CoverpageTables!AA14),"",CoverpageTables!AA14)</f>
        <v/>
      </c>
      <c r="D45" s="69" t="str">
        <f>IF(ISNA(CoverpageTables!AC14),"",CoverpageTables!AC14)</f>
        <v/>
      </c>
      <c r="E45" s="69" t="str">
        <f t="shared" si="2"/>
        <v/>
      </c>
      <c r="F45" s="69" t="str">
        <f t="shared" si="3"/>
        <v/>
      </c>
      <c r="G45" s="69"/>
      <c r="H45" s="69"/>
      <c r="I45" s="69"/>
      <c r="J45" s="69"/>
      <c r="K45" s="89"/>
      <c r="L45" s="89"/>
      <c r="M45" s="90"/>
    </row>
    <row r="46" spans="2:13">
      <c r="B46" s="92" t="s">
        <v>182</v>
      </c>
      <c r="C46" s="69">
        <f>IF(ISNA(CoverpageTables!AA15),"",CoverpageTables!AA15)</f>
        <v>0</v>
      </c>
      <c r="D46" s="69" t="str">
        <f>IF(ISNA(CoverpageTables!AC15),"",CoverpageTables!AC15)</f>
        <v/>
      </c>
      <c r="E46" s="69" t="str">
        <f t="shared" si="2"/>
        <v/>
      </c>
      <c r="F46" s="69" t="str">
        <f t="shared" si="3"/>
        <v/>
      </c>
      <c r="G46" s="69"/>
      <c r="H46" s="69"/>
      <c r="I46" s="69"/>
      <c r="J46" s="69"/>
      <c r="K46" s="89"/>
      <c r="L46" s="89"/>
      <c r="M46" s="90"/>
    </row>
    <row r="47" spans="2:13">
      <c r="B47" s="92" t="s">
        <v>163</v>
      </c>
      <c r="C47" s="69" t="str">
        <f>IF(ISNA(CoverpageTables!AA16),"",CoverpageTables!AA16)</f>
        <v/>
      </c>
      <c r="D47" s="69" t="str">
        <f>IF(ISNA(CoverpageTables!AC16),"",CoverpageTables!AC16)</f>
        <v/>
      </c>
      <c r="E47" s="69" t="str">
        <f t="shared" si="2"/>
        <v/>
      </c>
      <c r="F47" s="69" t="str">
        <f t="shared" si="3"/>
        <v/>
      </c>
      <c r="G47" s="69"/>
      <c r="H47" s="69"/>
      <c r="I47" s="69"/>
      <c r="J47" s="69"/>
      <c r="K47" s="89"/>
      <c r="L47" s="89"/>
      <c r="M47" s="90"/>
    </row>
    <row r="48" spans="2:13">
      <c r="B48" s="94" t="s">
        <v>183</v>
      </c>
      <c r="C48" s="69">
        <f>IF(ISNA(CoverpageTables!AA17),"",CoverpageTables!AA17)</f>
        <v>4.9351730000999998</v>
      </c>
      <c r="D48" s="69" t="str">
        <f>IF(ISNA(CoverpageTables!AC17),"",CoverpageTables!AC17)</f>
        <v/>
      </c>
      <c r="E48" s="69" t="str">
        <f t="shared" si="2"/>
        <v/>
      </c>
      <c r="F48" s="69" t="str">
        <f t="shared" si="3"/>
        <v/>
      </c>
      <c r="G48" s="69"/>
      <c r="H48" s="69"/>
      <c r="I48" s="69"/>
      <c r="J48" s="69"/>
      <c r="K48" s="89"/>
      <c r="L48" s="89"/>
      <c r="M48" s="90"/>
    </row>
  </sheetData>
  <mergeCells count="3">
    <mergeCell ref="B6:M6"/>
    <mergeCell ref="B13:M13"/>
    <mergeCell ref="B28:M28"/>
  </mergeCell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pDatCAP">
    <tabColor theme="6" tint="0.39997558519241921"/>
  </sheetPr>
  <dimension ref="B6:M48"/>
  <sheetViews>
    <sheetView showGridLines="0" zoomScale="70" zoomScaleNormal="70" workbookViewId="0"/>
  </sheetViews>
  <sheetFormatPr defaultRowHeight="15"/>
  <cols>
    <col min="1" max="1" width="4.28515625" customWidth="1"/>
    <col min="2" max="2" width="18.7109375" bestFit="1" customWidth="1"/>
    <col min="3" max="3" width="10.5703125" bestFit="1" customWidth="1"/>
    <col min="4" max="4" width="11.140625" bestFit="1" customWidth="1"/>
    <col min="5" max="5" width="11.5703125" bestFit="1" customWidth="1"/>
    <col min="6" max="6" width="11.140625" bestFit="1" customWidth="1"/>
    <col min="7" max="7" width="12" bestFit="1" customWidth="1"/>
    <col min="8" max="8" width="13.42578125" bestFit="1" customWidth="1"/>
    <col min="9" max="9" width="11.140625" bestFit="1" customWidth="1"/>
    <col min="10" max="10" width="11.5703125" customWidth="1"/>
    <col min="11" max="11" width="14.85546875" bestFit="1" customWidth="1"/>
    <col min="12" max="12" width="13.85546875" bestFit="1" customWidth="1"/>
    <col min="13" max="13" width="45.7109375" bestFit="1" customWidth="1"/>
  </cols>
  <sheetData>
    <row r="6" spans="2:13" ht="23.25">
      <c r="B6" s="186" t="s">
        <v>203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</row>
    <row r="13" spans="2:13" ht="21">
      <c r="B13" s="188" t="s">
        <v>204</v>
      </c>
      <c r="C13" s="189"/>
      <c r="D13" s="189"/>
      <c r="E13" s="189"/>
      <c r="F13" s="189"/>
      <c r="G13" s="189"/>
      <c r="H13" s="189"/>
      <c r="I13" s="189"/>
      <c r="J13" s="189"/>
      <c r="K13" s="189"/>
      <c r="L13" s="189"/>
      <c r="M13" s="189"/>
    </row>
    <row r="14" spans="2:13" ht="25.5">
      <c r="B14" s="84" t="s">
        <v>187</v>
      </c>
      <c r="C14" s="85" t="s">
        <v>205</v>
      </c>
      <c r="D14" s="85" t="s">
        <v>175</v>
      </c>
      <c r="E14" s="85" t="s">
        <v>176</v>
      </c>
      <c r="F14" s="86" t="s">
        <v>177</v>
      </c>
      <c r="G14" s="95" t="s">
        <v>214</v>
      </c>
      <c r="H14" s="95" t="s">
        <v>215</v>
      </c>
      <c r="I14" s="95" t="s">
        <v>176</v>
      </c>
      <c r="J14" s="95" t="s">
        <v>177</v>
      </c>
      <c r="K14" s="85" t="s">
        <v>208</v>
      </c>
      <c r="L14" s="85" t="s">
        <v>209</v>
      </c>
      <c r="M14" s="85" t="s">
        <v>188</v>
      </c>
    </row>
    <row r="15" spans="2:13">
      <c r="B15" s="88">
        <f>'PERFORMANCE SUMMARY'!B30</f>
        <v>42521</v>
      </c>
      <c r="C15" s="69">
        <f>'PERFORMANCE SUMMARY'!C30</f>
        <v>1.0841984858</v>
      </c>
      <c r="D15" s="69" t="str">
        <f>IF('PERFORMANCE SUMMARY'!D30="","",'PERFORMANCE SUMMARY'!D30)</f>
        <v/>
      </c>
      <c r="E15" s="69" t="str">
        <f>'PERFORMANCE SUMMARY'!E30</f>
        <v/>
      </c>
      <c r="F15" s="69" t="str">
        <f>'PERFORMANCE SUMMARY'!F30</f>
        <v/>
      </c>
      <c r="G15" s="108" t="str">
        <f>IF(ISNA(VLOOKUP(B15,tblReturnsForSelectedFund[#All],5,FALSE)),"",VLOOKUP(B15,tblReturnsForSelectedFund[#All],5,FALSE))</f>
        <v/>
      </c>
      <c r="H15" s="69"/>
      <c r="I15" s="69"/>
      <c r="J15" s="69"/>
      <c r="K15" s="108" t="str">
        <f>IF(ISNA(VLOOKUP(B15,tblReturnsForSelectedFund[#All],7,FALSE)),"",VLOOKUP(B15,tblReturnsForSelectedFund[#All],7,FALSE))</f>
        <v/>
      </c>
      <c r="L15" s="108" t="str">
        <f>IF(ISNA(VLOOKUP(B15,tblReturnsForSelectedFund[#All],9,FALSE)),"",VLOOKUP(B15,tblReturnsForSelectedFund[#All],8,FALSE))</f>
        <v/>
      </c>
      <c r="M15" s="108" t="str">
        <f>IF(ISNA(VLOOKUP(B15,tblReturnsForSelectedFund[#All],9,FALSE)),"",VLOOKUP(B15,tblReturnsForSelectedFund[#All],9,FALSE))</f>
        <v/>
      </c>
    </row>
    <row r="16" spans="2:13">
      <c r="B16" s="88">
        <f>'PERFORMANCE SUMMARY'!B31</f>
        <v>42551</v>
      </c>
      <c r="C16" s="69">
        <f>'PERFORMANCE SUMMARY'!C31</f>
        <v>2.9147057102999998</v>
      </c>
      <c r="D16" s="69" t="str">
        <f>IF('PERFORMANCE SUMMARY'!D31="","",'PERFORMANCE SUMMARY'!D31)</f>
        <v/>
      </c>
      <c r="E16" s="69" t="str">
        <f>'PERFORMANCE SUMMARY'!E31</f>
        <v/>
      </c>
      <c r="F16" s="69" t="str">
        <f>'PERFORMANCE SUMMARY'!F31</f>
        <v/>
      </c>
      <c r="G16" s="108">
        <f>IF(ISNA(VLOOKUP(B16,tblReturnsForSelectedFund[#All],5,FALSE)),"",VLOOKUP(B16,tblReturnsForSelectedFund[#All],5,FALSE))</f>
        <v>0</v>
      </c>
      <c r="H16" s="69"/>
      <c r="I16" s="69"/>
      <c r="J16" s="69"/>
      <c r="K16" s="108">
        <f>IF(ISNA(VLOOKUP(B16,tblReturnsForSelectedFund[#All],7,FALSE)),"",VLOOKUP(B16,tblReturnsForSelectedFund[#All],7,FALSE))</f>
        <v>25807931.739999998</v>
      </c>
      <c r="L16" s="108">
        <f>IF(ISNA(VLOOKUP(B16,tblReturnsForSelectedFund[#All],9,FALSE)),"",VLOOKUP(B16,tblReturnsForSelectedFund[#All],8,FALSE))</f>
        <v>752224.56</v>
      </c>
      <c r="M16" s="108">
        <f>IF(ISNA(VLOOKUP(B16,tblReturnsForSelectedFund[#All],9,FALSE)),"",VLOOKUP(B16,tblReturnsForSelectedFund[#All],9,FALSE))</f>
        <v>0</v>
      </c>
    </row>
    <row r="17" spans="2:13">
      <c r="B17" s="88">
        <f>'PERFORMANCE SUMMARY'!B32</f>
        <v>42582</v>
      </c>
      <c r="C17" s="69">
        <f>'PERFORMANCE SUMMARY'!C32</f>
        <v>2.1804275612000001</v>
      </c>
      <c r="D17" s="69" t="str">
        <f>IF('PERFORMANCE SUMMARY'!D32="","",'PERFORMANCE SUMMARY'!D32)</f>
        <v/>
      </c>
      <c r="E17" s="69" t="str">
        <f>'PERFORMANCE SUMMARY'!E32</f>
        <v/>
      </c>
      <c r="F17" s="69" t="str">
        <f>'PERFORMANCE SUMMARY'!F32</f>
        <v/>
      </c>
      <c r="G17" s="108">
        <f>IF(ISNA(VLOOKUP(B17,tblReturnsForSelectedFund[#All],5,FALSE)),"",VLOOKUP(B17,tblReturnsForSelectedFund[#All],5,FALSE))</f>
        <v>0</v>
      </c>
      <c r="H17" s="69"/>
      <c r="I17" s="69"/>
      <c r="J17" s="69"/>
      <c r="K17" s="108">
        <f>IF(ISNA(VLOOKUP(B17,tblReturnsForSelectedFund[#All],7,FALSE)),"",VLOOKUP(B17,tblReturnsForSelectedFund[#All],7,FALSE))</f>
        <v>26560078.440000001</v>
      </c>
      <c r="L17" s="108">
        <f>IF(ISNA(VLOOKUP(B17,tblReturnsForSelectedFund[#All],9,FALSE)),"",VLOOKUP(B17,tblReturnsForSelectedFund[#All],8,FALSE))</f>
        <v>579122.79</v>
      </c>
      <c r="M17" s="108">
        <f>IF(ISNA(VLOOKUP(B17,tblReturnsForSelectedFund[#All],9,FALSE)),"",VLOOKUP(B17,tblReturnsForSelectedFund[#All],9,FALSE))</f>
        <v>0</v>
      </c>
    </row>
    <row r="18" spans="2:13">
      <c r="B18" s="88">
        <f>'PERFORMANCE SUMMARY'!B33</f>
        <v>42613</v>
      </c>
      <c r="C18" s="69">
        <f>'PERFORMANCE SUMMARY'!C33</f>
        <v>0.77311382719999999</v>
      </c>
      <c r="D18" s="69" t="str">
        <f>IF('PERFORMANCE SUMMARY'!D33="","",'PERFORMANCE SUMMARY'!D33)</f>
        <v/>
      </c>
      <c r="E18" s="69" t="str">
        <f>'PERFORMANCE SUMMARY'!E33</f>
        <v/>
      </c>
      <c r="F18" s="69" t="str">
        <f>'PERFORMANCE SUMMARY'!F33</f>
        <v/>
      </c>
      <c r="G18" s="108">
        <f>IF(ISNA(VLOOKUP(B18,tblReturnsForSelectedFund[#All],5,FALSE)),"",VLOOKUP(B18,tblReturnsForSelectedFund[#All],5,FALSE))</f>
        <v>0</v>
      </c>
      <c r="H18" s="69"/>
      <c r="I18" s="69"/>
      <c r="J18" s="69"/>
      <c r="K18" s="108">
        <f>IF(ISNA(VLOOKUP(B18,tblReturnsForSelectedFund[#All],7,FALSE)),"",VLOOKUP(B18,tblReturnsForSelectedFund[#All],7,FALSE))</f>
        <v>27139048.949999999</v>
      </c>
      <c r="L18" s="108">
        <f>IF(ISNA(VLOOKUP(B18,tblReturnsForSelectedFund[#All],9,FALSE)),"",VLOOKUP(B18,tblReturnsForSelectedFund[#All],8,FALSE))</f>
        <v>209815.74</v>
      </c>
      <c r="M18" s="108">
        <f>IF(ISNA(VLOOKUP(B18,tblReturnsForSelectedFund[#All],9,FALSE)),"",VLOOKUP(B18,tblReturnsForSelectedFund[#All],9,FALSE))</f>
        <v>0</v>
      </c>
    </row>
    <row r="19" spans="2:13">
      <c r="B19" s="88">
        <f>'PERFORMANCE SUMMARY'!B34</f>
        <v>42643</v>
      </c>
      <c r="C19" s="69">
        <f>'PERFORMANCE SUMMARY'!C34</f>
        <v>-0.26207888629999998</v>
      </c>
      <c r="D19" s="69" t="str">
        <f>IF('PERFORMANCE SUMMARY'!D34="","",'PERFORMANCE SUMMARY'!D34)</f>
        <v/>
      </c>
      <c r="E19" s="69" t="str">
        <f>'PERFORMANCE SUMMARY'!E34</f>
        <v/>
      </c>
      <c r="F19" s="69" t="str">
        <f>'PERFORMANCE SUMMARY'!F34</f>
        <v/>
      </c>
      <c r="G19" s="108">
        <f>IF(ISNA(VLOOKUP(B19,tblReturnsForSelectedFund[#All],5,FALSE)),"",VLOOKUP(B19,tblReturnsForSelectedFund[#All],5,FALSE))</f>
        <v>0</v>
      </c>
      <c r="H19" s="69"/>
      <c r="I19" s="69"/>
      <c r="J19" s="69"/>
      <c r="K19" s="108">
        <f>IF(ISNA(VLOOKUP(B19,tblReturnsForSelectedFund[#All],7,FALSE)),"",VLOOKUP(B19,tblReturnsForSelectedFund[#All],7,FALSE))</f>
        <v>27348864.690000001</v>
      </c>
      <c r="L19" s="108">
        <f>IF(ISNA(VLOOKUP(B19,tblReturnsForSelectedFund[#All],9,FALSE)),"",VLOOKUP(B19,tblReturnsForSelectedFund[#All],8,FALSE))</f>
        <v>-71675.600000000006</v>
      </c>
      <c r="M19" s="108">
        <f>IF(ISNA(VLOOKUP(B19,tblReturnsForSelectedFund[#All],9,FALSE)),"",VLOOKUP(B19,tblReturnsForSelectedFund[#All],9,FALSE))</f>
        <v>0</v>
      </c>
    </row>
    <row r="20" spans="2:13">
      <c r="B20" s="88">
        <f>'PERFORMANCE SUMMARY'!B35</f>
        <v>42674</v>
      </c>
      <c r="C20" s="69">
        <f>'PERFORMANCE SUMMARY'!C35</f>
        <v>19.3084136292</v>
      </c>
      <c r="D20" s="69" t="str">
        <f>IF('PERFORMANCE SUMMARY'!D35="","",'PERFORMANCE SUMMARY'!D35)</f>
        <v/>
      </c>
      <c r="E20" s="69" t="str">
        <f>'PERFORMANCE SUMMARY'!E35</f>
        <v/>
      </c>
      <c r="F20" s="69" t="str">
        <f>'PERFORMANCE SUMMARY'!F35</f>
        <v/>
      </c>
      <c r="G20" s="108">
        <f>IF(ISNA(VLOOKUP(B20,tblReturnsForSelectedFund[#All],5,FALSE)),"",VLOOKUP(B20,tblReturnsForSelectedFund[#All],5,FALSE))</f>
        <v>0</v>
      </c>
      <c r="H20" s="69"/>
      <c r="I20" s="69"/>
      <c r="J20" s="69"/>
      <c r="K20" s="108">
        <f>IF(ISNA(VLOOKUP(B20,tblReturnsForSelectedFund[#All],7,FALSE)),"",VLOOKUP(B20,tblReturnsForSelectedFund[#All],7,FALSE))</f>
        <v>27277189.09</v>
      </c>
      <c r="L20" s="108">
        <f>IF(ISNA(VLOOKUP(B20,tblReturnsForSelectedFund[#All],9,FALSE)),"",VLOOKUP(B20,tblReturnsForSelectedFund[#All],8,FALSE))</f>
        <v>31.99</v>
      </c>
      <c r="M20" s="108">
        <f>IF(ISNA(VLOOKUP(B20,tblReturnsForSelectedFund[#All],9,FALSE)),"",VLOOKUP(B20,tblReturnsForSelectedFund[#All],9,FALSE))</f>
        <v>0</v>
      </c>
    </row>
    <row r="21" spans="2:13">
      <c r="B21" s="88">
        <f>'PERFORMANCE SUMMARY'!B36</f>
        <v>42704</v>
      </c>
      <c r="C21" s="69">
        <f>'PERFORMANCE SUMMARY'!C36</f>
        <v>-9.2877619499999994E-2</v>
      </c>
      <c r="D21" s="69" t="str">
        <f>IF('PERFORMANCE SUMMARY'!D36="","",'PERFORMANCE SUMMARY'!D36)</f>
        <v/>
      </c>
      <c r="E21" s="69" t="str">
        <f>'PERFORMANCE SUMMARY'!E36</f>
        <v/>
      </c>
      <c r="F21" s="69" t="str">
        <f>'PERFORMANCE SUMMARY'!F36</f>
        <v/>
      </c>
      <c r="G21" s="108">
        <f>IF(ISNA(VLOOKUP(B21,tblReturnsForSelectedFund[#All],5,FALSE)),"",VLOOKUP(B21,tblReturnsForSelectedFund[#All],5,FALSE))</f>
        <v>0</v>
      </c>
      <c r="H21" s="69"/>
      <c r="I21" s="69"/>
      <c r="J21" s="69"/>
      <c r="K21" s="108">
        <f>IF(ISNA(VLOOKUP(B21,tblReturnsForSelectedFund[#All],7,FALSE)),"",VLOOKUP(B21,tblReturnsForSelectedFund[#All],7,FALSE))</f>
        <v>144.02000000000001</v>
      </c>
      <c r="L21" s="108">
        <f>IF(ISNA(VLOOKUP(B21,tblReturnsForSelectedFund[#All],9,FALSE)),"",VLOOKUP(B21,tblReturnsForSelectedFund[#All],8,FALSE))</f>
        <v>-89372.11</v>
      </c>
      <c r="M21" s="108">
        <f>IF(ISNA(VLOOKUP(B21,tblReturnsForSelectedFund[#All],9,FALSE)),"",VLOOKUP(B21,tblReturnsForSelectedFund[#All],9,FALSE))</f>
        <v>0</v>
      </c>
    </row>
    <row r="22" spans="2:13">
      <c r="B22" s="88">
        <f>'PERFORMANCE SUMMARY'!B37</f>
        <v>42735</v>
      </c>
      <c r="C22" s="69">
        <f>'PERFORMANCE SUMMARY'!C37</f>
        <v>-1.0014259738</v>
      </c>
      <c r="D22" s="69" t="str">
        <f>IF('PERFORMANCE SUMMARY'!D37="","",'PERFORMANCE SUMMARY'!D37)</f>
        <v/>
      </c>
      <c r="E22" s="69" t="str">
        <f>'PERFORMANCE SUMMARY'!E37</f>
        <v/>
      </c>
      <c r="F22" s="69" t="str">
        <f>'PERFORMANCE SUMMARY'!F37</f>
        <v/>
      </c>
      <c r="G22" s="108" t="str">
        <f>IF(ISNA(VLOOKUP(B22,tblReturnsForSelectedFund[#All],5,FALSE)),"",VLOOKUP(B22,tblReturnsForSelectedFund[#All],5,FALSE))</f>
        <v/>
      </c>
      <c r="H22" s="69"/>
      <c r="I22" s="69"/>
      <c r="J22" s="69"/>
      <c r="K22" s="108" t="str">
        <f>IF(ISNA(VLOOKUP(B22,tblReturnsForSelectedFund[#All],7,FALSE)),"",VLOOKUP(B22,tblReturnsForSelectedFund[#All],7,FALSE))</f>
        <v/>
      </c>
      <c r="L22" s="108" t="str">
        <f>IF(ISNA(VLOOKUP(B22,tblReturnsForSelectedFund[#All],9,FALSE)),"",VLOOKUP(B22,tblReturnsForSelectedFund[#All],8,FALSE))</f>
        <v/>
      </c>
      <c r="M22" s="108" t="str">
        <f>IF(ISNA(VLOOKUP(B22,tblReturnsForSelectedFund[#All],9,FALSE)),"",VLOOKUP(B22,tblReturnsForSelectedFund[#All],9,FALSE))</f>
        <v/>
      </c>
    </row>
    <row r="23" spans="2:13">
      <c r="B23" s="88">
        <f>'PERFORMANCE SUMMARY'!B38</f>
        <v>42766</v>
      </c>
      <c r="C23" s="69">
        <f>'PERFORMANCE SUMMARY'!C38</f>
        <v>1.7561093717</v>
      </c>
      <c r="D23" s="69" t="str">
        <f>IF('PERFORMANCE SUMMARY'!D38="","",'PERFORMANCE SUMMARY'!D38)</f>
        <v/>
      </c>
      <c r="E23" s="69" t="str">
        <f>'PERFORMANCE SUMMARY'!E38</f>
        <v/>
      </c>
      <c r="F23" s="69" t="str">
        <f>'PERFORMANCE SUMMARY'!F38</f>
        <v/>
      </c>
      <c r="G23" s="108">
        <f>IF(ISNA(VLOOKUP(B23,tblReturnsForSelectedFund[#All],5,FALSE)),"",VLOOKUP(B23,tblReturnsForSelectedFund[#All],5,FALSE))</f>
        <v>0</v>
      </c>
      <c r="H23" s="69"/>
      <c r="I23" s="69"/>
      <c r="J23" s="69"/>
      <c r="K23" s="108">
        <f>IF(ISNA(VLOOKUP(B23,tblReturnsForSelectedFund[#All],7,FALSE)),"",VLOOKUP(B23,tblReturnsForSelectedFund[#All],7,FALSE))</f>
        <v>94416673.400000006</v>
      </c>
      <c r="L23" s="108">
        <f>IF(ISNA(VLOOKUP(B23,tblReturnsForSelectedFund[#All],9,FALSE)),"",VLOOKUP(B23,tblReturnsForSelectedFund[#All],8,FALSE))</f>
        <v>1658059.97</v>
      </c>
      <c r="M23" s="108">
        <f>IF(ISNA(VLOOKUP(B23,tblReturnsForSelectedFund[#All],9,FALSE)),"",VLOOKUP(B23,tblReturnsForSelectedFund[#All],9,FALSE))</f>
        <v>0</v>
      </c>
    </row>
    <row r="24" spans="2:13">
      <c r="B24" s="88">
        <f>'PERFORMANCE SUMMARY'!B39</f>
        <v>42794</v>
      </c>
      <c r="C24" s="69">
        <f>'PERFORMANCE SUMMARY'!C39</f>
        <v>-0.37919687819999998</v>
      </c>
      <c r="D24" s="69" t="str">
        <f>IF('PERFORMANCE SUMMARY'!D39="","",'PERFORMANCE SUMMARY'!D39)</f>
        <v/>
      </c>
      <c r="E24" s="69" t="str">
        <f>'PERFORMANCE SUMMARY'!E39</f>
        <v/>
      </c>
      <c r="F24" s="69" t="str">
        <f>'PERFORMANCE SUMMARY'!F39</f>
        <v/>
      </c>
      <c r="G24" s="108">
        <f>IF(ISNA(VLOOKUP(B24,tblReturnsForSelectedFund[#All],5,FALSE)),"",VLOOKUP(B24,tblReturnsForSelectedFund[#All],5,FALSE))</f>
        <v>0</v>
      </c>
      <c r="H24" s="69"/>
      <c r="I24" s="69"/>
      <c r="J24" s="69"/>
      <c r="K24" s="108">
        <f>IF(ISNA(VLOOKUP(B24,tblReturnsForSelectedFund[#All],7,FALSE)),"",VLOOKUP(B24,tblReturnsForSelectedFund[#All],7,FALSE))</f>
        <v>96074733.450000003</v>
      </c>
      <c r="L24" s="108">
        <f>IF(ISNA(VLOOKUP(B24,tblReturnsForSelectedFund[#All],9,FALSE)),"",VLOOKUP(B24,tblReturnsForSelectedFund[#All],8,FALSE))</f>
        <v>-364312.48</v>
      </c>
      <c r="M24" s="108">
        <f>IF(ISNA(VLOOKUP(B24,tblReturnsForSelectedFund[#All],9,FALSE)),"",VLOOKUP(B24,tblReturnsForSelectedFund[#All],9,FALSE))</f>
        <v>0</v>
      </c>
    </row>
    <row r="25" spans="2:13">
      <c r="B25" s="88">
        <f>'PERFORMANCE SUMMARY'!B40</f>
        <v>42825</v>
      </c>
      <c r="C25" s="69">
        <f>'PERFORMANCE SUMMARY'!C40</f>
        <v>0.4075291633</v>
      </c>
      <c r="D25" s="69" t="str">
        <f>IF('PERFORMANCE SUMMARY'!D40="","",'PERFORMANCE SUMMARY'!D40)</f>
        <v/>
      </c>
      <c r="E25" s="69" t="str">
        <f>'PERFORMANCE SUMMARY'!E40</f>
        <v/>
      </c>
      <c r="F25" s="69" t="str">
        <f>'PERFORMANCE SUMMARY'!F40</f>
        <v/>
      </c>
      <c r="G25" s="108">
        <f>IF(ISNA(VLOOKUP(B25,tblReturnsForSelectedFund[#All],5,FALSE)),"",VLOOKUP(B25,tblReturnsForSelectedFund[#All],5,FALSE))</f>
        <v>0</v>
      </c>
      <c r="H25" s="69"/>
      <c r="I25" s="69"/>
      <c r="J25" s="69"/>
      <c r="K25" s="108">
        <f>IF(ISNA(VLOOKUP(B25,tblReturnsForSelectedFund[#All],7,FALSE)),"",VLOOKUP(B25,tblReturnsForSelectedFund[#All],7,FALSE))</f>
        <v>95710421.060000002</v>
      </c>
      <c r="L25" s="108">
        <f>IF(ISNA(VLOOKUP(B25,tblReturnsForSelectedFund[#All],9,FALSE)),"",VLOOKUP(B25,tblReturnsForSelectedFund[#All],8,FALSE))</f>
        <v>390050.91</v>
      </c>
      <c r="M25" s="108">
        <f>IF(ISNA(VLOOKUP(B25,tblReturnsForSelectedFund[#All],9,FALSE)),"",VLOOKUP(B25,tblReturnsForSelectedFund[#All],9,FALSE))</f>
        <v>0</v>
      </c>
    </row>
    <row r="26" spans="2:13">
      <c r="B26" s="88">
        <f>'PERFORMANCE SUMMARY'!B41</f>
        <v>42855</v>
      </c>
      <c r="C26" s="69">
        <f>'PERFORMANCE SUMMARY'!C41</f>
        <v>0.32337536290000002</v>
      </c>
      <c r="D26" s="69" t="str">
        <f>IF('PERFORMANCE SUMMARY'!D41="","",'PERFORMANCE SUMMARY'!D41)</f>
        <v/>
      </c>
      <c r="E26" s="69" t="str">
        <f>'PERFORMANCE SUMMARY'!E41</f>
        <v/>
      </c>
      <c r="F26" s="69" t="str">
        <f>'PERFORMANCE SUMMARY'!F41</f>
        <v/>
      </c>
      <c r="G26" s="108">
        <f>IF(ISNA(VLOOKUP(B26,tblReturnsForSelectedFund[#All],5,FALSE)),"",VLOOKUP(B26,tblReturnsForSelectedFund[#All],5,FALSE))</f>
        <v>0</v>
      </c>
      <c r="H26" s="69"/>
      <c r="I26" s="69"/>
      <c r="J26" s="69"/>
      <c r="K26" s="108">
        <f>IF(ISNA(VLOOKUP(B26,tblReturnsForSelectedFund[#All],7,FALSE)),"",VLOOKUP(B26,tblReturnsForSelectedFund[#All],7,FALSE))</f>
        <v>96100471.969999999</v>
      </c>
      <c r="L26" s="108">
        <f>IF(ISNA(VLOOKUP(B26,tblReturnsForSelectedFund[#All],9,FALSE)),"",VLOOKUP(B26,tblReturnsForSelectedFund[#All],8,FALSE))</f>
        <v>310791.07</v>
      </c>
      <c r="M26" s="108">
        <f>IF(ISNA(VLOOKUP(B26,tblReturnsForSelectedFund[#All],9,FALSE)),"",VLOOKUP(B26,tblReturnsForSelectedFund[#All],9,FALSE))</f>
        <v>0</v>
      </c>
    </row>
    <row r="27" spans="2:13" ht="15.75" customHeight="1"/>
    <row r="28" spans="2:13" ht="18.75">
      <c r="B28" s="194" t="s">
        <v>172</v>
      </c>
      <c r="C28" s="195"/>
      <c r="D28" s="195"/>
      <c r="E28" s="195"/>
      <c r="F28" s="195"/>
      <c r="G28" s="195"/>
      <c r="H28" s="195"/>
      <c r="I28" s="195"/>
      <c r="J28" s="195"/>
      <c r="K28" s="195"/>
      <c r="L28" s="195"/>
      <c r="M28" s="195"/>
    </row>
    <row r="29" spans="2:13" ht="25.5">
      <c r="B29" s="91" t="s">
        <v>173</v>
      </c>
      <c r="C29" s="86" t="s">
        <v>174</v>
      </c>
      <c r="D29" s="86" t="s">
        <v>175</v>
      </c>
      <c r="E29" s="86" t="s">
        <v>176</v>
      </c>
      <c r="F29" s="86" t="s">
        <v>177</v>
      </c>
      <c r="G29" s="95" t="s">
        <v>214</v>
      </c>
      <c r="H29" s="95" t="s">
        <v>215</v>
      </c>
      <c r="I29" s="95" t="s">
        <v>176</v>
      </c>
      <c r="J29" s="95" t="s">
        <v>177</v>
      </c>
      <c r="K29" s="85" t="s">
        <v>208</v>
      </c>
      <c r="L29" s="85" t="s">
        <v>209</v>
      </c>
      <c r="M29" s="85" t="s">
        <v>188</v>
      </c>
    </row>
    <row r="30" spans="2:13">
      <c r="B30" s="92" t="s">
        <v>159</v>
      </c>
      <c r="C30" s="69">
        <f>IF(ISNA(CoverpageTables!AA3),"",CoverpageTables!AA3)</f>
        <v>96100471.969999999</v>
      </c>
      <c r="D30" s="69" t="str">
        <f>IF(ISNA(CoverpageTables!AC3),"",CoverpageTables!AC3)</f>
        <v/>
      </c>
      <c r="E30" s="69" t="str">
        <f>IF(OR(NOT(ISNUMBER($C30)),NOT(ISNUMBER($D30))),"",$C30-$D30)</f>
        <v/>
      </c>
      <c r="F30" s="69" t="str">
        <f>IF(OR(NOT(ISNUMBER($C30)),NOT(ISNUMBER($D30))),"",(((($C30/100)+1)/(($D30/100)+1))-1)*100)</f>
        <v/>
      </c>
      <c r="G30" s="69"/>
      <c r="H30" s="69"/>
      <c r="I30" s="69"/>
      <c r="J30" s="69"/>
      <c r="K30" s="89"/>
      <c r="L30" s="89"/>
      <c r="M30" s="90"/>
    </row>
    <row r="31" spans="2:13">
      <c r="B31" s="92" t="s">
        <v>160</v>
      </c>
      <c r="C31" s="69">
        <f>IF(ISNA(CoverpageTables!AA4),"",CoverpageTables!AA4)</f>
        <v>96074733.450000003</v>
      </c>
      <c r="D31" s="69" t="str">
        <f>IF(ISNA(CoverpageTables!AC4),"",CoverpageTables!AC4)</f>
        <v/>
      </c>
      <c r="E31" s="69" t="str">
        <f t="shared" ref="E31:E48" si="0">IF(OR(NOT(ISNUMBER($C31)),NOT(ISNUMBER($D31))),"",$C31-$D31)</f>
        <v/>
      </c>
      <c r="F31" s="69" t="str">
        <f t="shared" ref="F31:F48" si="1">IF(OR(NOT(ISNUMBER($C31)),NOT(ISNUMBER($D31))),"",(((($C31/100)+1)/(($D31/100)+1))-1)*100)</f>
        <v/>
      </c>
      <c r="G31" s="69"/>
      <c r="H31" s="69"/>
      <c r="I31" s="69"/>
      <c r="J31" s="69"/>
      <c r="K31" s="89"/>
      <c r="L31" s="89"/>
      <c r="M31" s="90"/>
    </row>
    <row r="32" spans="2:13">
      <c r="B32" s="92" t="s">
        <v>161</v>
      </c>
      <c r="C32" s="69">
        <f>IF(ISNA(CoverpageTables!AA5),"",CoverpageTables!AA5)</f>
        <v>144.02000000000001</v>
      </c>
      <c r="D32" s="69" t="str">
        <f>IF(ISNA(CoverpageTables!AC5),"",CoverpageTables!AC5)</f>
        <v/>
      </c>
      <c r="E32" s="69" t="str">
        <f t="shared" si="0"/>
        <v/>
      </c>
      <c r="F32" s="69" t="str">
        <f t="shared" si="1"/>
        <v/>
      </c>
      <c r="G32" s="69"/>
      <c r="H32" s="69"/>
      <c r="I32" s="69"/>
      <c r="J32" s="69"/>
      <c r="K32" s="89"/>
      <c r="L32" s="89"/>
      <c r="M32" s="90"/>
    </row>
    <row r="33" spans="2:13">
      <c r="B33" s="93" t="s">
        <v>186</v>
      </c>
      <c r="C33" s="69">
        <f>IF(ISNA(CoverpageTables!AA19),"",CoverpageTables!AA19)</f>
        <v>95710421.060000002</v>
      </c>
      <c r="D33" s="69" t="str">
        <f>IF(ISNA(CoverpageTables!AC19),"",CoverpageTables!AC19)</f>
        <v/>
      </c>
      <c r="E33" s="69" t="str">
        <f t="shared" si="0"/>
        <v/>
      </c>
      <c r="F33" s="69" t="str">
        <f t="shared" si="1"/>
        <v/>
      </c>
      <c r="G33" s="69"/>
      <c r="H33" s="69"/>
      <c r="I33" s="69"/>
      <c r="J33" s="69"/>
      <c r="K33" s="89"/>
      <c r="L33" s="89"/>
      <c r="M33" s="90"/>
    </row>
    <row r="34" spans="2:13">
      <c r="B34" s="92" t="s">
        <v>189</v>
      </c>
      <c r="C34" s="69" t="str">
        <f>IF(ISNA(CoverpageTables!AA20),"",CoverpageTables!AA20)</f>
        <v/>
      </c>
      <c r="D34" s="69" t="str">
        <f>IF(ISNA(CoverpageTables!AC20),"",CoverpageTables!AC20)</f>
        <v/>
      </c>
      <c r="E34" s="69" t="str">
        <f t="shared" si="0"/>
        <v/>
      </c>
      <c r="F34" s="69" t="str">
        <f t="shared" si="1"/>
        <v/>
      </c>
      <c r="G34" s="69"/>
      <c r="H34" s="69"/>
      <c r="I34" s="69"/>
      <c r="J34" s="69"/>
      <c r="K34" s="89"/>
      <c r="L34" s="89"/>
      <c r="M34" s="90"/>
    </row>
    <row r="35" spans="2:13">
      <c r="B35" s="92" t="s">
        <v>190</v>
      </c>
      <c r="C35" s="69" t="str">
        <f>IF(ISNA(CoverpageTables!AA21),"",CoverpageTables!AA21)</f>
        <v/>
      </c>
      <c r="D35" s="69" t="str">
        <f>IF(ISNA(CoverpageTables!AC21),"",CoverpageTables!AC21)</f>
        <v/>
      </c>
      <c r="E35" s="69" t="str">
        <f t="shared" si="0"/>
        <v/>
      </c>
      <c r="F35" s="69" t="str">
        <f t="shared" si="1"/>
        <v/>
      </c>
      <c r="G35" s="69"/>
      <c r="H35" s="69"/>
      <c r="I35" s="69"/>
      <c r="J35" s="69"/>
      <c r="K35" s="89"/>
      <c r="L35" s="89"/>
      <c r="M35" s="90"/>
    </row>
    <row r="36" spans="2:13">
      <c r="B36" s="92" t="s">
        <v>191</v>
      </c>
      <c r="C36" s="69" t="str">
        <f>IF(ISNA(CoverpageTables!AA22),"",CoverpageTables!AA22)</f>
        <v/>
      </c>
      <c r="D36" s="69" t="str">
        <f>IF(ISNA(CoverpageTables!AC22),"",CoverpageTables!AC22)</f>
        <v/>
      </c>
      <c r="E36" s="69" t="str">
        <f t="shared" si="0"/>
        <v/>
      </c>
      <c r="F36" s="69" t="str">
        <f t="shared" si="1"/>
        <v/>
      </c>
      <c r="G36" s="69"/>
      <c r="H36" s="69"/>
      <c r="I36" s="69"/>
      <c r="J36" s="69"/>
      <c r="K36" s="89"/>
      <c r="L36" s="89"/>
      <c r="M36" s="90"/>
    </row>
    <row r="37" spans="2:13">
      <c r="B37" s="92" t="s">
        <v>162</v>
      </c>
      <c r="C37" s="69" t="str">
        <f>IF(ISNA(CoverpageTables!AA6),"",CoverpageTables!AA6)</f>
        <v/>
      </c>
      <c r="D37" s="69" t="str">
        <f>IF(ISNA(CoverpageTables!AC6),"",CoverpageTables!AC6)</f>
        <v/>
      </c>
      <c r="E37" s="69" t="str">
        <f t="shared" si="0"/>
        <v/>
      </c>
      <c r="F37" s="69" t="str">
        <f t="shared" si="1"/>
        <v/>
      </c>
      <c r="G37" s="69"/>
      <c r="H37" s="69"/>
      <c r="I37" s="69"/>
      <c r="J37" s="69"/>
      <c r="K37" s="89"/>
      <c r="L37" s="89"/>
      <c r="M37" s="90"/>
    </row>
    <row r="38" spans="2:13">
      <c r="B38" s="92" t="s">
        <v>178</v>
      </c>
      <c r="C38" s="69" t="str">
        <f>IF(ISNA(CoverpageTables!AA7),"",CoverpageTables!AA7)</f>
        <v/>
      </c>
      <c r="D38" s="69" t="str">
        <f>IF(ISNA(CoverpageTables!AC7),"",CoverpageTables!AC7)</f>
        <v/>
      </c>
      <c r="E38" s="69" t="str">
        <f t="shared" si="0"/>
        <v/>
      </c>
      <c r="F38" s="69" t="str">
        <f t="shared" si="1"/>
        <v/>
      </c>
      <c r="G38" s="69"/>
      <c r="H38" s="69"/>
      <c r="I38" s="69"/>
      <c r="J38" s="69"/>
      <c r="K38" s="89"/>
      <c r="L38" s="89"/>
      <c r="M38" s="90"/>
    </row>
    <row r="39" spans="2:13">
      <c r="B39" s="92" t="s">
        <v>210</v>
      </c>
      <c r="C39" s="69" t="str">
        <f>IF(ISNA(CoverpageTables!AA8),"",CoverpageTables!AA8)</f>
        <v/>
      </c>
      <c r="D39" s="69" t="str">
        <f>IF(ISNA(CoverpageTables!AC8),"",CoverpageTables!AC8)</f>
        <v/>
      </c>
      <c r="E39" s="69" t="str">
        <f t="shared" si="0"/>
        <v/>
      </c>
      <c r="F39" s="69" t="str">
        <f t="shared" si="1"/>
        <v/>
      </c>
      <c r="G39" s="69"/>
      <c r="H39" s="69"/>
      <c r="I39" s="69"/>
      <c r="J39" s="69"/>
      <c r="K39" s="89"/>
      <c r="L39" s="89"/>
      <c r="M39" s="90"/>
    </row>
    <row r="40" spans="2:13">
      <c r="B40" s="92" t="s">
        <v>211</v>
      </c>
      <c r="C40" s="69">
        <f>IF(ISNA(CoverpageTables!AA9),"",CoverpageTables!AA9)</f>
        <v>0</v>
      </c>
      <c r="D40" s="69" t="str">
        <f>IF(ISNA(CoverpageTables!AC9),"",CoverpageTables!AC9)</f>
        <v/>
      </c>
      <c r="E40" s="69" t="str">
        <f t="shared" si="0"/>
        <v/>
      </c>
      <c r="F40" s="69" t="str">
        <f t="shared" si="1"/>
        <v/>
      </c>
      <c r="G40" s="69"/>
      <c r="H40" s="69"/>
      <c r="I40" s="69"/>
      <c r="J40" s="69"/>
      <c r="K40" s="89"/>
      <c r="L40" s="89"/>
      <c r="M40" s="90"/>
    </row>
    <row r="41" spans="2:13">
      <c r="B41" s="92" t="s">
        <v>179</v>
      </c>
      <c r="C41" s="69" t="str">
        <f>IF(ISNA(CoverpageTables!AA10),"",CoverpageTables!AA10)</f>
        <v/>
      </c>
      <c r="D41" s="69" t="str">
        <f>IF(ISNA(CoverpageTables!AC10),"",CoverpageTables!AC10)</f>
        <v/>
      </c>
      <c r="E41" s="69" t="str">
        <f t="shared" si="0"/>
        <v/>
      </c>
      <c r="F41" s="69" t="str">
        <f t="shared" si="1"/>
        <v/>
      </c>
      <c r="G41" s="69"/>
      <c r="H41" s="69"/>
      <c r="I41" s="69"/>
      <c r="J41" s="69"/>
      <c r="K41" s="89"/>
      <c r="L41" s="89"/>
      <c r="M41" s="90"/>
    </row>
    <row r="42" spans="2:13">
      <c r="B42" s="92" t="s">
        <v>180</v>
      </c>
      <c r="C42" s="69">
        <f>IF(ISNA(CoverpageTables!AA11),"",CoverpageTables!AA11)</f>
        <v>0</v>
      </c>
      <c r="D42" s="69" t="str">
        <f>IF(ISNA(CoverpageTables!AC11),"",CoverpageTables!AC11)</f>
        <v/>
      </c>
      <c r="E42" s="69" t="str">
        <f t="shared" si="0"/>
        <v/>
      </c>
      <c r="F42" s="69" t="str">
        <f t="shared" si="1"/>
        <v/>
      </c>
      <c r="G42" s="69"/>
      <c r="H42" s="69"/>
      <c r="I42" s="69"/>
      <c r="J42" s="69"/>
      <c r="K42" s="89"/>
      <c r="L42" s="89"/>
      <c r="M42" s="90"/>
    </row>
    <row r="43" spans="2:13">
      <c r="B43" s="92" t="s">
        <v>212</v>
      </c>
      <c r="C43" s="69" t="str">
        <f>IF(ISNA(CoverpageTables!AA12),"",CoverpageTables!AA12)</f>
        <v/>
      </c>
      <c r="D43" s="69" t="str">
        <f>IF(ISNA(CoverpageTables!AC12),"",CoverpageTables!AC12)</f>
        <v/>
      </c>
      <c r="E43" s="69" t="str">
        <f t="shared" si="0"/>
        <v/>
      </c>
      <c r="F43" s="69" t="str">
        <f t="shared" si="1"/>
        <v/>
      </c>
      <c r="G43" s="69"/>
      <c r="H43" s="69"/>
      <c r="I43" s="69"/>
      <c r="J43" s="69"/>
      <c r="K43" s="89"/>
      <c r="L43" s="89"/>
      <c r="M43" s="90"/>
    </row>
    <row r="44" spans="2:13">
      <c r="B44" s="92" t="s">
        <v>213</v>
      </c>
      <c r="C44" s="69">
        <f>IF(ISNA(CoverpageTables!AA13),"",CoverpageTables!AA13)</f>
        <v>0</v>
      </c>
      <c r="D44" s="69" t="str">
        <f>IF(ISNA(CoverpageTables!AC13),"",CoverpageTables!AC13)</f>
        <v/>
      </c>
      <c r="E44" s="69" t="str">
        <f t="shared" si="0"/>
        <v/>
      </c>
      <c r="F44" s="69" t="str">
        <f t="shared" si="1"/>
        <v/>
      </c>
      <c r="G44" s="69"/>
      <c r="H44" s="69"/>
      <c r="I44" s="69"/>
      <c r="J44" s="69"/>
      <c r="K44" s="89"/>
      <c r="L44" s="89"/>
      <c r="M44" s="90"/>
    </row>
    <row r="45" spans="2:13">
      <c r="B45" s="92" t="s">
        <v>181</v>
      </c>
      <c r="C45" s="69" t="str">
        <f>IF(ISNA(CoverpageTables!AA14),"",CoverpageTables!AA14)</f>
        <v/>
      </c>
      <c r="D45" s="69" t="str">
        <f>IF(ISNA(CoverpageTables!AC14),"",CoverpageTables!AC14)</f>
        <v/>
      </c>
      <c r="E45" s="69" t="str">
        <f t="shared" si="0"/>
        <v/>
      </c>
      <c r="F45" s="69" t="str">
        <f t="shared" si="1"/>
        <v/>
      </c>
      <c r="G45" s="69"/>
      <c r="H45" s="69"/>
      <c r="I45" s="69"/>
      <c r="J45" s="69"/>
      <c r="K45" s="89"/>
      <c r="L45" s="89"/>
      <c r="M45" s="90"/>
    </row>
    <row r="46" spans="2:13">
      <c r="B46" s="92" t="s">
        <v>182</v>
      </c>
      <c r="C46" s="69">
        <f>IF(ISNA(CoverpageTables!AA15),"",CoverpageTables!AA15)</f>
        <v>0</v>
      </c>
      <c r="D46" s="69" t="str">
        <f>IF(ISNA(CoverpageTables!AC15),"",CoverpageTables!AC15)</f>
        <v/>
      </c>
      <c r="E46" s="69" t="str">
        <f t="shared" si="0"/>
        <v/>
      </c>
      <c r="F46" s="69" t="str">
        <f t="shared" si="1"/>
        <v/>
      </c>
      <c r="G46" s="69"/>
      <c r="H46" s="69"/>
      <c r="I46" s="69"/>
      <c r="J46" s="69"/>
      <c r="K46" s="89"/>
      <c r="L46" s="89"/>
      <c r="M46" s="90"/>
    </row>
    <row r="47" spans="2:13">
      <c r="B47" s="92" t="s">
        <v>163</v>
      </c>
      <c r="C47" s="69" t="str">
        <f>IF(ISNA(CoverpageTables!AA16),"",CoverpageTables!AA16)</f>
        <v/>
      </c>
      <c r="D47" s="69" t="str">
        <f>IF(ISNA(CoverpageTables!AC16),"",CoverpageTables!AC16)</f>
        <v/>
      </c>
      <c r="E47" s="69" t="str">
        <f t="shared" si="0"/>
        <v/>
      </c>
      <c r="F47" s="69" t="str">
        <f t="shared" si="1"/>
        <v/>
      </c>
      <c r="G47" s="69"/>
      <c r="H47" s="69"/>
      <c r="I47" s="69"/>
      <c r="J47" s="69"/>
      <c r="K47" s="89"/>
      <c r="L47" s="89"/>
      <c r="M47" s="90"/>
    </row>
    <row r="48" spans="2:13">
      <c r="B48" s="106" t="s">
        <v>183</v>
      </c>
      <c r="C48" s="69">
        <f>IF(ISNA(CoverpageTables!AA17),"",CoverpageTables!AA17)</f>
        <v>4.9351730000999998</v>
      </c>
      <c r="D48" s="69" t="str">
        <f>IF(ISNA(CoverpageTables!AC17),"",CoverpageTables!AC17)</f>
        <v/>
      </c>
      <c r="E48" s="69" t="str">
        <f t="shared" si="0"/>
        <v/>
      </c>
      <c r="F48" s="69" t="str">
        <f t="shared" si="1"/>
        <v/>
      </c>
      <c r="G48" s="69"/>
      <c r="H48" s="69"/>
      <c r="I48" s="69"/>
      <c r="J48" s="69"/>
      <c r="K48" s="89"/>
      <c r="L48" s="89"/>
      <c r="M48" s="90"/>
    </row>
  </sheetData>
  <mergeCells count="3">
    <mergeCell ref="B6:M6"/>
    <mergeCell ref="B13:M13"/>
    <mergeCell ref="B28:M28"/>
  </mergeCell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pDatEXCL">
    <tabColor theme="6" tint="0.39997558519241921"/>
  </sheetPr>
  <dimension ref="B6:N48"/>
  <sheetViews>
    <sheetView showGridLines="0" zoomScale="70" zoomScaleNormal="70" workbookViewId="0"/>
  </sheetViews>
  <sheetFormatPr defaultRowHeight="15"/>
  <cols>
    <col min="1" max="1" width="4.28515625" customWidth="1"/>
    <col min="2" max="2" width="18.7109375" bestFit="1" customWidth="1"/>
    <col min="3" max="3" width="10.5703125" bestFit="1" customWidth="1"/>
    <col min="4" max="4" width="11.140625" bestFit="1" customWidth="1"/>
    <col min="5" max="5" width="11.5703125" bestFit="1" customWidth="1"/>
    <col min="6" max="6" width="11.140625" bestFit="1" customWidth="1"/>
    <col min="7" max="7" width="11.7109375" bestFit="1" customWidth="1"/>
    <col min="8" max="8" width="11.7109375" customWidth="1"/>
    <col min="9" max="9" width="11.140625" bestFit="1" customWidth="1"/>
    <col min="10" max="10" width="11.5703125" customWidth="1"/>
    <col min="11" max="11" width="14.85546875" bestFit="1" customWidth="1"/>
    <col min="12" max="12" width="13.85546875" bestFit="1" customWidth="1"/>
    <col min="13" max="13" width="45.7109375" bestFit="1" customWidth="1"/>
    <col min="14" max="14" width="9.140625" style="48"/>
  </cols>
  <sheetData>
    <row r="6" spans="2:14" ht="23.25">
      <c r="B6" s="186" t="s">
        <v>203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</row>
    <row r="8" spans="2:14">
      <c r="N8"/>
    </row>
    <row r="9" spans="2:14">
      <c r="N9"/>
    </row>
    <row r="10" spans="2:14">
      <c r="N10"/>
    </row>
    <row r="11" spans="2:14">
      <c r="N11"/>
    </row>
    <row r="12" spans="2:14">
      <c r="N12"/>
    </row>
    <row r="13" spans="2:14" ht="21">
      <c r="B13" s="188" t="s">
        <v>204</v>
      </c>
      <c r="C13" s="189"/>
      <c r="D13" s="189"/>
      <c r="E13" s="189"/>
      <c r="F13" s="189"/>
      <c r="G13" s="189"/>
      <c r="H13" s="189"/>
      <c r="I13" s="189"/>
      <c r="J13" s="189"/>
      <c r="K13" s="189"/>
      <c r="L13" s="189"/>
      <c r="M13" s="190"/>
      <c r="N13"/>
    </row>
    <row r="14" spans="2:14" ht="38.25">
      <c r="B14" s="84" t="s">
        <v>187</v>
      </c>
      <c r="C14" s="85" t="s">
        <v>205</v>
      </c>
      <c r="D14" s="85" t="s">
        <v>175</v>
      </c>
      <c r="E14" s="85" t="s">
        <v>176</v>
      </c>
      <c r="F14" s="86" t="s">
        <v>177</v>
      </c>
      <c r="G14" s="96" t="s">
        <v>216</v>
      </c>
      <c r="H14" s="96" t="s">
        <v>175</v>
      </c>
      <c r="I14" s="96" t="s">
        <v>176</v>
      </c>
      <c r="J14" s="96" t="s">
        <v>177</v>
      </c>
      <c r="K14" s="85" t="s">
        <v>208</v>
      </c>
      <c r="L14" s="85" t="s">
        <v>209</v>
      </c>
      <c r="M14" s="85" t="s">
        <v>188</v>
      </c>
      <c r="N14"/>
    </row>
    <row r="15" spans="2:14">
      <c r="B15" s="88">
        <f>'PERFORMANCE SUMMARY'!B30</f>
        <v>42521</v>
      </c>
      <c r="C15" s="69">
        <f>'PERFORMANCE SUMMARY'!C30</f>
        <v>1.0841984858</v>
      </c>
      <c r="D15" s="69">
        <f>'PERFORMANCE SUMMARY'!D30</f>
        <v>0</v>
      </c>
      <c r="E15" s="69" t="str">
        <f>'PERFORMANCE SUMMARY'!E30</f>
        <v/>
      </c>
      <c r="F15" s="69" t="str">
        <f>'PERFORMANCE SUMMARY'!F30</f>
        <v/>
      </c>
      <c r="G15" s="108"/>
      <c r="H15" s="69"/>
      <c r="I15" s="69"/>
      <c r="J15" s="69"/>
      <c r="K15" s="108" t="str">
        <f>IF(ISNA(VLOOKUP(B15,tblReturnsForSelectedFund[#All],7,FALSE)),"",VLOOKUP(B15,tblReturnsForSelectedFund[#All],7,FALSE))</f>
        <v/>
      </c>
      <c r="L15" s="108" t="str">
        <f>IF(ISNA(VLOOKUP(B15,tblReturnsForSelectedFund[#All],9,FALSE)),"",VLOOKUP(B15,tblReturnsForSelectedFund[#All],8,FALSE))</f>
        <v/>
      </c>
      <c r="M15" s="108" t="str">
        <f>IF(ISNA(VLOOKUP(B15,tblReturnsForSelectedFund[#All],9,FALSE)),"",VLOOKUP(B15,tblReturnsForSelectedFund[#All],9,FALSE))</f>
        <v/>
      </c>
      <c r="N15"/>
    </row>
    <row r="16" spans="2:14">
      <c r="B16" s="88">
        <f>'PERFORMANCE SUMMARY'!B31</f>
        <v>42551</v>
      </c>
      <c r="C16" s="69">
        <f>'PERFORMANCE SUMMARY'!C31</f>
        <v>2.9147057102999998</v>
      </c>
      <c r="D16" s="69">
        <f>'PERFORMANCE SUMMARY'!D31</f>
        <v>0</v>
      </c>
      <c r="E16" s="69" t="str">
        <f>'PERFORMANCE SUMMARY'!E31</f>
        <v/>
      </c>
      <c r="F16" s="69" t="str">
        <f>'PERFORMANCE SUMMARY'!F31</f>
        <v/>
      </c>
      <c r="G16" s="108"/>
      <c r="H16" s="69"/>
      <c r="I16" s="69"/>
      <c r="J16" s="69"/>
      <c r="K16" s="108">
        <f>IF(ISNA(VLOOKUP(B16,tblReturnsForSelectedFund[#All],7,FALSE)),"",VLOOKUP(B16,tblReturnsForSelectedFund[#All],7,FALSE))</f>
        <v>25807931.739999998</v>
      </c>
      <c r="L16" s="108">
        <f>IF(ISNA(VLOOKUP(B16,tblReturnsForSelectedFund[#All],9,FALSE)),"",VLOOKUP(B16,tblReturnsForSelectedFund[#All],8,FALSE))</f>
        <v>752224.56</v>
      </c>
      <c r="M16" s="108">
        <f>IF(ISNA(VLOOKUP(B16,tblReturnsForSelectedFund[#All],9,FALSE)),"",VLOOKUP(B16,tblReturnsForSelectedFund[#All],9,FALSE))</f>
        <v>0</v>
      </c>
      <c r="N16"/>
    </row>
    <row r="17" spans="2:14">
      <c r="B17" s="88">
        <f>'PERFORMANCE SUMMARY'!B32</f>
        <v>42582</v>
      </c>
      <c r="C17" s="69">
        <f>'PERFORMANCE SUMMARY'!C32</f>
        <v>2.1804275612000001</v>
      </c>
      <c r="D17" s="69">
        <f>'PERFORMANCE SUMMARY'!D32</f>
        <v>0</v>
      </c>
      <c r="E17" s="69" t="str">
        <f>'PERFORMANCE SUMMARY'!E32</f>
        <v/>
      </c>
      <c r="F17" s="69" t="str">
        <f>'PERFORMANCE SUMMARY'!F32</f>
        <v/>
      </c>
      <c r="G17" s="108"/>
      <c r="H17" s="69"/>
      <c r="I17" s="69"/>
      <c r="J17" s="69"/>
      <c r="K17" s="108">
        <f>IF(ISNA(VLOOKUP(B17,tblReturnsForSelectedFund[#All],7,FALSE)),"",VLOOKUP(B17,tblReturnsForSelectedFund[#All],7,FALSE))</f>
        <v>26560078.440000001</v>
      </c>
      <c r="L17" s="108">
        <f>IF(ISNA(VLOOKUP(B17,tblReturnsForSelectedFund[#All],9,FALSE)),"",VLOOKUP(B17,tblReturnsForSelectedFund[#All],8,FALSE))</f>
        <v>579122.79</v>
      </c>
      <c r="M17" s="108">
        <f>IF(ISNA(VLOOKUP(B17,tblReturnsForSelectedFund[#All],9,FALSE)),"",VLOOKUP(B17,tblReturnsForSelectedFund[#All],9,FALSE))</f>
        <v>0</v>
      </c>
      <c r="N17"/>
    </row>
    <row r="18" spans="2:14">
      <c r="B18" s="88">
        <f>'PERFORMANCE SUMMARY'!B33</f>
        <v>42613</v>
      </c>
      <c r="C18" s="69">
        <f>'PERFORMANCE SUMMARY'!C33</f>
        <v>0.77311382719999999</v>
      </c>
      <c r="D18" s="69">
        <f>'PERFORMANCE SUMMARY'!D33</f>
        <v>0</v>
      </c>
      <c r="E18" s="69" t="str">
        <f>'PERFORMANCE SUMMARY'!E33</f>
        <v/>
      </c>
      <c r="F18" s="69" t="str">
        <f>'PERFORMANCE SUMMARY'!F33</f>
        <v/>
      </c>
      <c r="G18" s="108"/>
      <c r="H18" s="69"/>
      <c r="I18" s="69"/>
      <c r="J18" s="69"/>
      <c r="K18" s="108">
        <f>IF(ISNA(VLOOKUP(B18,tblReturnsForSelectedFund[#All],7,FALSE)),"",VLOOKUP(B18,tblReturnsForSelectedFund[#All],7,FALSE))</f>
        <v>27139048.949999999</v>
      </c>
      <c r="L18" s="108">
        <f>IF(ISNA(VLOOKUP(B18,tblReturnsForSelectedFund[#All],9,FALSE)),"",VLOOKUP(B18,tblReturnsForSelectedFund[#All],8,FALSE))</f>
        <v>209815.74</v>
      </c>
      <c r="M18" s="108">
        <f>IF(ISNA(VLOOKUP(B18,tblReturnsForSelectedFund[#All],9,FALSE)),"",VLOOKUP(B18,tblReturnsForSelectedFund[#All],9,FALSE))</f>
        <v>0</v>
      </c>
      <c r="N18"/>
    </row>
    <row r="19" spans="2:14">
      <c r="B19" s="88">
        <f>'PERFORMANCE SUMMARY'!B34</f>
        <v>42643</v>
      </c>
      <c r="C19" s="69">
        <f>'PERFORMANCE SUMMARY'!C34</f>
        <v>-0.26207888629999998</v>
      </c>
      <c r="D19" s="69">
        <f>'PERFORMANCE SUMMARY'!D34</f>
        <v>0</v>
      </c>
      <c r="E19" s="69" t="str">
        <f>'PERFORMANCE SUMMARY'!E34</f>
        <v/>
      </c>
      <c r="F19" s="69" t="str">
        <f>'PERFORMANCE SUMMARY'!F34</f>
        <v/>
      </c>
      <c r="G19" s="108"/>
      <c r="H19" s="69"/>
      <c r="I19" s="69"/>
      <c r="J19" s="69"/>
      <c r="K19" s="108">
        <f>IF(ISNA(VLOOKUP(B19,tblReturnsForSelectedFund[#All],7,FALSE)),"",VLOOKUP(B19,tblReturnsForSelectedFund[#All],7,FALSE))</f>
        <v>27348864.690000001</v>
      </c>
      <c r="L19" s="108">
        <f>IF(ISNA(VLOOKUP(B19,tblReturnsForSelectedFund[#All],9,FALSE)),"",VLOOKUP(B19,tblReturnsForSelectedFund[#All],8,FALSE))</f>
        <v>-71675.600000000006</v>
      </c>
      <c r="M19" s="108">
        <f>IF(ISNA(VLOOKUP(B19,tblReturnsForSelectedFund[#All],9,FALSE)),"",VLOOKUP(B19,tblReturnsForSelectedFund[#All],9,FALSE))</f>
        <v>0</v>
      </c>
      <c r="N19"/>
    </row>
    <row r="20" spans="2:14">
      <c r="B20" s="88">
        <f>'PERFORMANCE SUMMARY'!B35</f>
        <v>42674</v>
      </c>
      <c r="C20" s="69">
        <f>'PERFORMANCE SUMMARY'!C35</f>
        <v>19.3084136292</v>
      </c>
      <c r="D20" s="69">
        <f>'PERFORMANCE SUMMARY'!D35</f>
        <v>0</v>
      </c>
      <c r="E20" s="69" t="str">
        <f>'PERFORMANCE SUMMARY'!E35</f>
        <v/>
      </c>
      <c r="F20" s="69" t="str">
        <f>'PERFORMANCE SUMMARY'!F35</f>
        <v/>
      </c>
      <c r="G20" s="108"/>
      <c r="H20" s="69"/>
      <c r="I20" s="69"/>
      <c r="J20" s="69"/>
      <c r="K20" s="108">
        <f>IF(ISNA(VLOOKUP(B20,tblReturnsForSelectedFund[#All],7,FALSE)),"",VLOOKUP(B20,tblReturnsForSelectedFund[#All],7,FALSE))</f>
        <v>27277189.09</v>
      </c>
      <c r="L20" s="108">
        <f>IF(ISNA(VLOOKUP(B20,tblReturnsForSelectedFund[#All],9,FALSE)),"",VLOOKUP(B20,tblReturnsForSelectedFund[#All],8,FALSE))</f>
        <v>31.99</v>
      </c>
      <c r="M20" s="108">
        <f>IF(ISNA(VLOOKUP(B20,tblReturnsForSelectedFund[#All],9,FALSE)),"",VLOOKUP(B20,tblReturnsForSelectedFund[#All],9,FALSE))</f>
        <v>0</v>
      </c>
      <c r="N20"/>
    </row>
    <row r="21" spans="2:14">
      <c r="B21" s="88">
        <f>'PERFORMANCE SUMMARY'!B36</f>
        <v>42704</v>
      </c>
      <c r="C21" s="69">
        <f>'PERFORMANCE SUMMARY'!C36</f>
        <v>-9.2877619499999994E-2</v>
      </c>
      <c r="D21" s="69">
        <f>'PERFORMANCE SUMMARY'!D36</f>
        <v>0</v>
      </c>
      <c r="E21" s="69" t="str">
        <f>'PERFORMANCE SUMMARY'!E36</f>
        <v/>
      </c>
      <c r="F21" s="69" t="str">
        <f>'PERFORMANCE SUMMARY'!F36</f>
        <v/>
      </c>
      <c r="G21" s="108"/>
      <c r="H21" s="69"/>
      <c r="I21" s="69"/>
      <c r="J21" s="69"/>
      <c r="K21" s="108">
        <f>IF(ISNA(VLOOKUP(B21,tblReturnsForSelectedFund[#All],7,FALSE)),"",VLOOKUP(B21,tblReturnsForSelectedFund[#All],7,FALSE))</f>
        <v>144.02000000000001</v>
      </c>
      <c r="L21" s="108">
        <f>IF(ISNA(VLOOKUP(B21,tblReturnsForSelectedFund[#All],9,FALSE)),"",VLOOKUP(B21,tblReturnsForSelectedFund[#All],8,FALSE))</f>
        <v>-89372.11</v>
      </c>
      <c r="M21" s="108">
        <f>IF(ISNA(VLOOKUP(B21,tblReturnsForSelectedFund[#All],9,FALSE)),"",VLOOKUP(B21,tblReturnsForSelectedFund[#All],9,FALSE))</f>
        <v>0</v>
      </c>
      <c r="N21"/>
    </row>
    <row r="22" spans="2:14">
      <c r="B22" s="88">
        <f>'PERFORMANCE SUMMARY'!B37</f>
        <v>42735</v>
      </c>
      <c r="C22" s="69">
        <f>'PERFORMANCE SUMMARY'!C37</f>
        <v>-1.0014259738</v>
      </c>
      <c r="D22" s="69">
        <f>'PERFORMANCE SUMMARY'!D37</f>
        <v>0</v>
      </c>
      <c r="E22" s="69" t="str">
        <f>'PERFORMANCE SUMMARY'!E37</f>
        <v/>
      </c>
      <c r="F22" s="69" t="str">
        <f>'PERFORMANCE SUMMARY'!F37</f>
        <v/>
      </c>
      <c r="G22" s="108"/>
      <c r="H22" s="69"/>
      <c r="I22" s="69"/>
      <c r="J22" s="69"/>
      <c r="K22" s="108" t="str">
        <f>IF(ISNA(VLOOKUP(B22,tblReturnsForSelectedFund[#All],7,FALSE)),"",VLOOKUP(B22,tblReturnsForSelectedFund[#All],7,FALSE))</f>
        <v/>
      </c>
      <c r="L22" s="108" t="str">
        <f>IF(ISNA(VLOOKUP(B22,tblReturnsForSelectedFund[#All],9,FALSE)),"",VLOOKUP(B22,tblReturnsForSelectedFund[#All],8,FALSE))</f>
        <v/>
      </c>
      <c r="M22" s="108" t="str">
        <f>IF(ISNA(VLOOKUP(B22,tblReturnsForSelectedFund[#All],9,FALSE)),"",VLOOKUP(B22,tblReturnsForSelectedFund[#All],9,FALSE))</f>
        <v/>
      </c>
      <c r="N22"/>
    </row>
    <row r="23" spans="2:14">
      <c r="B23" s="88">
        <f>'PERFORMANCE SUMMARY'!B38</f>
        <v>42766</v>
      </c>
      <c r="C23" s="69">
        <f>'PERFORMANCE SUMMARY'!C38</f>
        <v>1.7561093717</v>
      </c>
      <c r="D23" s="69">
        <f>'PERFORMANCE SUMMARY'!D38</f>
        <v>0</v>
      </c>
      <c r="E23" s="69" t="str">
        <f>'PERFORMANCE SUMMARY'!E38</f>
        <v/>
      </c>
      <c r="F23" s="69" t="str">
        <f>'PERFORMANCE SUMMARY'!F38</f>
        <v/>
      </c>
      <c r="G23" s="108"/>
      <c r="H23" s="69"/>
      <c r="I23" s="69"/>
      <c r="J23" s="69"/>
      <c r="K23" s="108">
        <f>IF(ISNA(VLOOKUP(B23,tblReturnsForSelectedFund[#All],7,FALSE)),"",VLOOKUP(B23,tblReturnsForSelectedFund[#All],7,FALSE))</f>
        <v>94416673.400000006</v>
      </c>
      <c r="L23" s="108">
        <f>IF(ISNA(VLOOKUP(B23,tblReturnsForSelectedFund[#All],9,FALSE)),"",VLOOKUP(B23,tblReturnsForSelectedFund[#All],8,FALSE))</f>
        <v>1658059.97</v>
      </c>
      <c r="M23" s="108">
        <f>IF(ISNA(VLOOKUP(B23,tblReturnsForSelectedFund[#All],9,FALSE)),"",VLOOKUP(B23,tblReturnsForSelectedFund[#All],9,FALSE))</f>
        <v>0</v>
      </c>
      <c r="N23"/>
    </row>
    <row r="24" spans="2:14">
      <c r="B24" s="88">
        <f>'PERFORMANCE SUMMARY'!B39</f>
        <v>42794</v>
      </c>
      <c r="C24" s="69">
        <f>'PERFORMANCE SUMMARY'!C39</f>
        <v>-0.37919687819999998</v>
      </c>
      <c r="D24" s="69">
        <f>'PERFORMANCE SUMMARY'!D39</f>
        <v>0</v>
      </c>
      <c r="E24" s="69" t="str">
        <f>'PERFORMANCE SUMMARY'!E39</f>
        <v/>
      </c>
      <c r="F24" s="69" t="str">
        <f>'PERFORMANCE SUMMARY'!F39</f>
        <v/>
      </c>
      <c r="G24" s="108"/>
      <c r="H24" s="69"/>
      <c r="I24" s="69"/>
      <c r="J24" s="69"/>
      <c r="K24" s="108">
        <f>IF(ISNA(VLOOKUP(B24,tblReturnsForSelectedFund[#All],7,FALSE)),"",VLOOKUP(B24,tblReturnsForSelectedFund[#All],7,FALSE))</f>
        <v>96074733.450000003</v>
      </c>
      <c r="L24" s="108">
        <f>IF(ISNA(VLOOKUP(B24,tblReturnsForSelectedFund[#All],9,FALSE)),"",VLOOKUP(B24,tblReturnsForSelectedFund[#All],8,FALSE))</f>
        <v>-364312.48</v>
      </c>
      <c r="M24" s="108">
        <f>IF(ISNA(VLOOKUP(B24,tblReturnsForSelectedFund[#All],9,FALSE)),"",VLOOKUP(B24,tblReturnsForSelectedFund[#All],9,FALSE))</f>
        <v>0</v>
      </c>
      <c r="N24"/>
    </row>
    <row r="25" spans="2:14">
      <c r="B25" s="88">
        <f>'PERFORMANCE SUMMARY'!B40</f>
        <v>42825</v>
      </c>
      <c r="C25" s="69">
        <f>'PERFORMANCE SUMMARY'!C40</f>
        <v>0.4075291633</v>
      </c>
      <c r="D25" s="69">
        <f>'PERFORMANCE SUMMARY'!D40</f>
        <v>0</v>
      </c>
      <c r="E25" s="69" t="str">
        <f>'PERFORMANCE SUMMARY'!E40</f>
        <v/>
      </c>
      <c r="F25" s="69" t="str">
        <f>'PERFORMANCE SUMMARY'!F40</f>
        <v/>
      </c>
      <c r="G25" s="108"/>
      <c r="H25" s="69"/>
      <c r="I25" s="69"/>
      <c r="J25" s="69"/>
      <c r="K25" s="108">
        <f>IF(ISNA(VLOOKUP(B25,tblReturnsForSelectedFund[#All],7,FALSE)),"",VLOOKUP(B25,tblReturnsForSelectedFund[#All],7,FALSE))</f>
        <v>95710421.060000002</v>
      </c>
      <c r="L25" s="108">
        <f>IF(ISNA(VLOOKUP(B25,tblReturnsForSelectedFund[#All],9,FALSE)),"",VLOOKUP(B25,tblReturnsForSelectedFund[#All],8,FALSE))</f>
        <v>390050.91</v>
      </c>
      <c r="M25" s="108">
        <f>IF(ISNA(VLOOKUP(B25,tblReturnsForSelectedFund[#All],9,FALSE)),"",VLOOKUP(B25,tblReturnsForSelectedFund[#All],9,FALSE))</f>
        <v>0</v>
      </c>
      <c r="N25"/>
    </row>
    <row r="26" spans="2:14">
      <c r="B26" s="88">
        <f>'PERFORMANCE SUMMARY'!B41</f>
        <v>42855</v>
      </c>
      <c r="C26" s="69">
        <f>'PERFORMANCE SUMMARY'!C41</f>
        <v>0.32337536290000002</v>
      </c>
      <c r="D26" s="69">
        <f>'PERFORMANCE SUMMARY'!D41</f>
        <v>0</v>
      </c>
      <c r="E26" s="69" t="str">
        <f>'PERFORMANCE SUMMARY'!E41</f>
        <v/>
      </c>
      <c r="F26" s="69" t="str">
        <f>'PERFORMANCE SUMMARY'!F41</f>
        <v/>
      </c>
      <c r="G26" s="108"/>
      <c r="H26" s="69"/>
      <c r="I26" s="69"/>
      <c r="J26" s="69"/>
      <c r="K26" s="108">
        <f>IF(ISNA(VLOOKUP(B26,tblReturnsForSelectedFund[#All],7,FALSE)),"",VLOOKUP(B26,tblReturnsForSelectedFund[#All],7,FALSE))</f>
        <v>96100471.969999999</v>
      </c>
      <c r="L26" s="108">
        <f>IF(ISNA(VLOOKUP(B26,tblReturnsForSelectedFund[#All],9,FALSE)),"",VLOOKUP(B26,tblReturnsForSelectedFund[#All],8,FALSE))</f>
        <v>310791.07</v>
      </c>
      <c r="M26" s="108">
        <f>IF(ISNA(VLOOKUP(B26,tblReturnsForSelectedFund[#All],9,FALSE)),"",VLOOKUP(B26,tblReturnsForSelectedFund[#All],9,FALSE))</f>
        <v>0</v>
      </c>
      <c r="N26"/>
    </row>
    <row r="27" spans="2:14" ht="15.75" customHeight="1"/>
    <row r="28" spans="2:14" ht="21">
      <c r="B28" s="192" t="s">
        <v>172</v>
      </c>
      <c r="C28" s="193"/>
      <c r="D28" s="193"/>
      <c r="E28" s="193"/>
      <c r="F28" s="193"/>
      <c r="G28" s="193"/>
      <c r="H28" s="193"/>
      <c r="I28" s="193"/>
      <c r="J28" s="193"/>
      <c r="K28" s="193"/>
      <c r="L28" s="193"/>
      <c r="M28" s="193"/>
    </row>
    <row r="29" spans="2:14" ht="38.25">
      <c r="B29" s="91" t="s">
        <v>173</v>
      </c>
      <c r="C29" s="86" t="s">
        <v>174</v>
      </c>
      <c r="D29" s="86" t="s">
        <v>175</v>
      </c>
      <c r="E29" s="86" t="s">
        <v>176</v>
      </c>
      <c r="F29" s="86" t="s">
        <v>177</v>
      </c>
      <c r="G29" s="96" t="s">
        <v>216</v>
      </c>
      <c r="H29" s="96" t="s">
        <v>175</v>
      </c>
      <c r="I29" s="96" t="s">
        <v>176</v>
      </c>
      <c r="J29" s="96" t="s">
        <v>177</v>
      </c>
      <c r="K29" s="85" t="s">
        <v>208</v>
      </c>
      <c r="L29" s="85" t="s">
        <v>209</v>
      </c>
      <c r="M29" s="85" t="s">
        <v>188</v>
      </c>
    </row>
    <row r="30" spans="2:14">
      <c r="B30" s="92" t="s">
        <v>159</v>
      </c>
      <c r="C30" s="69">
        <f>IF(ISNA(CoverpageTables!AA3),"",CoverpageTables!AA3)</f>
        <v>96100471.969999999</v>
      </c>
      <c r="D30" s="69" t="str">
        <f>IF(ISNA(CoverpageTables!AC3),"",CoverpageTables!AC3)</f>
        <v/>
      </c>
      <c r="E30" s="69" t="str">
        <f>IF(OR(NOT(ISNUMBER($C30)),NOT(ISNUMBER($D30))),"",$C30-$D30)</f>
        <v/>
      </c>
      <c r="F30" s="69" t="str">
        <f>IF(OR(NOT(ISNUMBER($C30)),NOT(ISNUMBER($D30))),"",(((($C30/100)+1)/(($D30/100)+1))-1)*100)</f>
        <v/>
      </c>
      <c r="G30" s="69"/>
      <c r="H30" s="69"/>
      <c r="I30" s="69"/>
      <c r="J30" s="69"/>
      <c r="K30" s="89"/>
      <c r="L30" s="89"/>
      <c r="M30" s="90"/>
    </row>
    <row r="31" spans="2:14">
      <c r="B31" s="92" t="s">
        <v>160</v>
      </c>
      <c r="C31" s="69">
        <f>IF(ISNA(CoverpageTables!AA4),"",CoverpageTables!AA4)</f>
        <v>96074733.450000003</v>
      </c>
      <c r="D31" s="69" t="str">
        <f>IF(ISNA(CoverpageTables!AC4),"",CoverpageTables!AC4)</f>
        <v/>
      </c>
      <c r="E31" s="69" t="str">
        <f t="shared" ref="E31:E48" si="0">IF(OR(NOT(ISNUMBER($C31)),NOT(ISNUMBER($D31))),"",$C31-$D31)</f>
        <v/>
      </c>
      <c r="F31" s="69" t="str">
        <f t="shared" ref="F31:F48" si="1">IF(OR(NOT(ISNUMBER($C31)),NOT(ISNUMBER($D31))),"",(((($C31/100)+1)/(($D31/100)+1))-1)*100)</f>
        <v/>
      </c>
      <c r="G31" s="69"/>
      <c r="H31" s="69"/>
      <c r="I31" s="69"/>
      <c r="J31" s="69"/>
      <c r="K31" s="89"/>
      <c r="L31" s="89"/>
      <c r="M31" s="90"/>
    </row>
    <row r="32" spans="2:14">
      <c r="B32" s="92" t="s">
        <v>161</v>
      </c>
      <c r="C32" s="69">
        <f>IF(ISNA(CoverpageTables!AA5),"",CoverpageTables!AA5)</f>
        <v>144.02000000000001</v>
      </c>
      <c r="D32" s="69" t="str">
        <f>IF(ISNA(CoverpageTables!AC5),"",CoverpageTables!AC5)</f>
        <v/>
      </c>
      <c r="E32" s="69" t="str">
        <f t="shared" si="0"/>
        <v/>
      </c>
      <c r="F32" s="69" t="str">
        <f t="shared" si="1"/>
        <v/>
      </c>
      <c r="G32" s="69"/>
      <c r="H32" s="69"/>
      <c r="I32" s="69"/>
      <c r="J32" s="69"/>
      <c r="K32" s="89"/>
      <c r="L32" s="89"/>
      <c r="M32" s="90"/>
    </row>
    <row r="33" spans="2:13">
      <c r="B33" s="93" t="s">
        <v>186</v>
      </c>
      <c r="C33" s="69">
        <f>IF(ISNA(CoverpageTables!AA19),"",CoverpageTables!AA19)</f>
        <v>95710421.060000002</v>
      </c>
      <c r="D33" s="69" t="str">
        <f>IF(ISNA(CoverpageTables!AC19),"",CoverpageTables!AC19)</f>
        <v/>
      </c>
      <c r="E33" s="69" t="str">
        <f t="shared" si="0"/>
        <v/>
      </c>
      <c r="F33" s="69" t="str">
        <f t="shared" si="1"/>
        <v/>
      </c>
      <c r="G33" s="69"/>
      <c r="H33" s="69"/>
      <c r="I33" s="69"/>
      <c r="J33" s="69"/>
      <c r="K33" s="89"/>
      <c r="L33" s="89"/>
      <c r="M33" s="90"/>
    </row>
    <row r="34" spans="2:13">
      <c r="B34" s="92" t="s">
        <v>189</v>
      </c>
      <c r="C34" s="69" t="str">
        <f>IF(ISNA(CoverpageTables!AA20),"",CoverpageTables!AA20)</f>
        <v/>
      </c>
      <c r="D34" s="69" t="str">
        <f>IF(ISNA(CoverpageTables!AC20),"",CoverpageTables!AC20)</f>
        <v/>
      </c>
      <c r="E34" s="69" t="str">
        <f t="shared" si="0"/>
        <v/>
      </c>
      <c r="F34" s="69" t="str">
        <f t="shared" si="1"/>
        <v/>
      </c>
      <c r="G34" s="69"/>
      <c r="H34" s="69"/>
      <c r="I34" s="69"/>
      <c r="J34" s="69"/>
      <c r="K34" s="89"/>
      <c r="L34" s="89"/>
      <c r="M34" s="90"/>
    </row>
    <row r="35" spans="2:13">
      <c r="B35" s="92" t="s">
        <v>190</v>
      </c>
      <c r="C35" s="69" t="str">
        <f>IF(ISNA(CoverpageTables!AA21),"",CoverpageTables!AA21)</f>
        <v/>
      </c>
      <c r="D35" s="69" t="str">
        <f>IF(ISNA(CoverpageTables!AC21),"",CoverpageTables!AC21)</f>
        <v/>
      </c>
      <c r="E35" s="69" t="str">
        <f t="shared" si="0"/>
        <v/>
      </c>
      <c r="F35" s="69" t="str">
        <f t="shared" si="1"/>
        <v/>
      </c>
      <c r="G35" s="69"/>
      <c r="H35" s="69"/>
      <c r="I35" s="69"/>
      <c r="J35" s="69"/>
      <c r="K35" s="89"/>
      <c r="L35" s="89"/>
      <c r="M35" s="90"/>
    </row>
    <row r="36" spans="2:13">
      <c r="B36" s="92" t="s">
        <v>191</v>
      </c>
      <c r="C36" s="69" t="str">
        <f>IF(ISNA(CoverpageTables!AA22),"",CoverpageTables!AA22)</f>
        <v/>
      </c>
      <c r="D36" s="69" t="str">
        <f>IF(ISNA(CoverpageTables!AC22),"",CoverpageTables!AC22)</f>
        <v/>
      </c>
      <c r="E36" s="69" t="str">
        <f t="shared" si="0"/>
        <v/>
      </c>
      <c r="F36" s="69" t="str">
        <f t="shared" si="1"/>
        <v/>
      </c>
      <c r="G36" s="69"/>
      <c r="H36" s="69"/>
      <c r="I36" s="69"/>
      <c r="J36" s="69"/>
      <c r="K36" s="89"/>
      <c r="L36" s="89"/>
      <c r="M36" s="90"/>
    </row>
    <row r="37" spans="2:13">
      <c r="B37" s="92" t="s">
        <v>162</v>
      </c>
      <c r="C37" s="69" t="str">
        <f>IF(ISNA(CoverpageTables!AA6),"",CoverpageTables!AA6)</f>
        <v/>
      </c>
      <c r="D37" s="69" t="str">
        <f>IF(ISNA(CoverpageTables!AC6),"",CoverpageTables!AC6)</f>
        <v/>
      </c>
      <c r="E37" s="69" t="str">
        <f t="shared" si="0"/>
        <v/>
      </c>
      <c r="F37" s="69" t="str">
        <f t="shared" si="1"/>
        <v/>
      </c>
      <c r="G37" s="69"/>
      <c r="H37" s="69"/>
      <c r="I37" s="69"/>
      <c r="J37" s="69"/>
      <c r="K37" s="89"/>
      <c r="L37" s="89"/>
      <c r="M37" s="90"/>
    </row>
    <row r="38" spans="2:13">
      <c r="B38" s="92" t="s">
        <v>178</v>
      </c>
      <c r="C38" s="69" t="str">
        <f>IF(ISNA(CoverpageTables!AA7),"",CoverpageTables!AA7)</f>
        <v/>
      </c>
      <c r="D38" s="69" t="str">
        <f>IF(ISNA(CoverpageTables!AC7),"",CoverpageTables!AC7)</f>
        <v/>
      </c>
      <c r="E38" s="69" t="str">
        <f t="shared" si="0"/>
        <v/>
      </c>
      <c r="F38" s="69" t="str">
        <f t="shared" si="1"/>
        <v/>
      </c>
      <c r="G38" s="69"/>
      <c r="H38" s="69"/>
      <c r="I38" s="69"/>
      <c r="J38" s="69"/>
      <c r="K38" s="89"/>
      <c r="L38" s="89"/>
      <c r="M38" s="90"/>
    </row>
    <row r="39" spans="2:13">
      <c r="B39" s="92" t="s">
        <v>210</v>
      </c>
      <c r="C39" s="69" t="str">
        <f>IF(ISNA(CoverpageTables!AA8),"",CoverpageTables!AA8)</f>
        <v/>
      </c>
      <c r="D39" s="69" t="str">
        <f>IF(ISNA(CoverpageTables!AC8),"",CoverpageTables!AC8)</f>
        <v/>
      </c>
      <c r="E39" s="69" t="str">
        <f t="shared" si="0"/>
        <v/>
      </c>
      <c r="F39" s="69" t="str">
        <f t="shared" si="1"/>
        <v/>
      </c>
      <c r="G39" s="69"/>
      <c r="H39" s="69"/>
      <c r="I39" s="69"/>
      <c r="J39" s="69"/>
      <c r="K39" s="89"/>
      <c r="L39" s="89"/>
      <c r="M39" s="90"/>
    </row>
    <row r="40" spans="2:13">
      <c r="B40" s="92" t="s">
        <v>211</v>
      </c>
      <c r="C40" s="69">
        <f>IF(ISNA(CoverpageTables!AA9),"",CoverpageTables!AA9)</f>
        <v>0</v>
      </c>
      <c r="D40" s="69" t="str">
        <f>IF(ISNA(CoverpageTables!AC9),"",CoverpageTables!AC9)</f>
        <v/>
      </c>
      <c r="E40" s="69" t="str">
        <f t="shared" si="0"/>
        <v/>
      </c>
      <c r="F40" s="69" t="str">
        <f t="shared" si="1"/>
        <v/>
      </c>
      <c r="G40" s="69"/>
      <c r="H40" s="69"/>
      <c r="I40" s="69"/>
      <c r="J40" s="69"/>
      <c r="K40" s="89"/>
      <c r="L40" s="89"/>
      <c r="M40" s="90"/>
    </row>
    <row r="41" spans="2:13">
      <c r="B41" s="92" t="s">
        <v>179</v>
      </c>
      <c r="C41" s="69" t="str">
        <f>IF(ISNA(CoverpageTables!AA10),"",CoverpageTables!AA10)</f>
        <v/>
      </c>
      <c r="D41" s="69" t="str">
        <f>IF(ISNA(CoverpageTables!AC10),"",CoverpageTables!AC10)</f>
        <v/>
      </c>
      <c r="E41" s="69" t="str">
        <f t="shared" si="0"/>
        <v/>
      </c>
      <c r="F41" s="69" t="str">
        <f t="shared" si="1"/>
        <v/>
      </c>
      <c r="G41" s="69"/>
      <c r="H41" s="69"/>
      <c r="I41" s="69"/>
      <c r="J41" s="69"/>
      <c r="K41" s="89"/>
      <c r="L41" s="89"/>
      <c r="M41" s="90"/>
    </row>
    <row r="42" spans="2:13">
      <c r="B42" s="92" t="s">
        <v>180</v>
      </c>
      <c r="C42" s="69">
        <f>IF(ISNA(CoverpageTables!AA11),"",CoverpageTables!AA11)</f>
        <v>0</v>
      </c>
      <c r="D42" s="69" t="str">
        <f>IF(ISNA(CoverpageTables!AC11),"",CoverpageTables!AC11)</f>
        <v/>
      </c>
      <c r="E42" s="69" t="str">
        <f t="shared" si="0"/>
        <v/>
      </c>
      <c r="F42" s="69" t="str">
        <f t="shared" si="1"/>
        <v/>
      </c>
      <c r="G42" s="69"/>
      <c r="H42" s="69"/>
      <c r="I42" s="69"/>
      <c r="J42" s="69"/>
      <c r="K42" s="89"/>
      <c r="L42" s="89"/>
      <c r="M42" s="90"/>
    </row>
    <row r="43" spans="2:13">
      <c r="B43" s="92" t="s">
        <v>212</v>
      </c>
      <c r="C43" s="69" t="str">
        <f>IF(ISNA(CoverpageTables!AA12),"",CoverpageTables!AA12)</f>
        <v/>
      </c>
      <c r="D43" s="69" t="str">
        <f>IF(ISNA(CoverpageTables!AC12),"",CoverpageTables!AC12)</f>
        <v/>
      </c>
      <c r="E43" s="69" t="str">
        <f t="shared" si="0"/>
        <v/>
      </c>
      <c r="F43" s="69" t="str">
        <f t="shared" si="1"/>
        <v/>
      </c>
      <c r="G43" s="69"/>
      <c r="H43" s="69"/>
      <c r="I43" s="69"/>
      <c r="J43" s="69"/>
      <c r="K43" s="89"/>
      <c r="L43" s="89"/>
      <c r="M43" s="90"/>
    </row>
    <row r="44" spans="2:13">
      <c r="B44" s="92" t="s">
        <v>213</v>
      </c>
      <c r="C44" s="69">
        <f>IF(ISNA(CoverpageTables!AA13),"",CoverpageTables!AA13)</f>
        <v>0</v>
      </c>
      <c r="D44" s="69" t="str">
        <f>IF(ISNA(CoverpageTables!AC13),"",CoverpageTables!AC13)</f>
        <v/>
      </c>
      <c r="E44" s="69" t="str">
        <f t="shared" si="0"/>
        <v/>
      </c>
      <c r="F44" s="69" t="str">
        <f t="shared" si="1"/>
        <v/>
      </c>
      <c r="G44" s="69"/>
      <c r="H44" s="69"/>
      <c r="I44" s="69"/>
      <c r="J44" s="69"/>
      <c r="K44" s="89"/>
      <c r="L44" s="89"/>
      <c r="M44" s="90"/>
    </row>
    <row r="45" spans="2:13">
      <c r="B45" s="92" t="s">
        <v>181</v>
      </c>
      <c r="C45" s="69" t="str">
        <f>IF(ISNA(CoverpageTables!AA14),"",CoverpageTables!AA14)</f>
        <v/>
      </c>
      <c r="D45" s="69" t="str">
        <f>IF(ISNA(CoverpageTables!AC14),"",CoverpageTables!AC14)</f>
        <v/>
      </c>
      <c r="E45" s="69" t="str">
        <f t="shared" si="0"/>
        <v/>
      </c>
      <c r="F45" s="69" t="str">
        <f t="shared" si="1"/>
        <v/>
      </c>
      <c r="G45" s="69"/>
      <c r="H45" s="69"/>
      <c r="I45" s="69"/>
      <c r="J45" s="69"/>
      <c r="K45" s="89"/>
      <c r="L45" s="89"/>
      <c r="M45" s="90"/>
    </row>
    <row r="46" spans="2:13">
      <c r="B46" s="92" t="s">
        <v>182</v>
      </c>
      <c r="C46" s="69">
        <f>IF(ISNA(CoverpageTables!AA15),"",CoverpageTables!AA15)</f>
        <v>0</v>
      </c>
      <c r="D46" s="69" t="str">
        <f>IF(ISNA(CoverpageTables!AC15),"",CoverpageTables!AC15)</f>
        <v/>
      </c>
      <c r="E46" s="69" t="str">
        <f t="shared" si="0"/>
        <v/>
      </c>
      <c r="F46" s="69" t="str">
        <f t="shared" si="1"/>
        <v/>
      </c>
      <c r="G46" s="69"/>
      <c r="H46" s="69"/>
      <c r="I46" s="69"/>
      <c r="J46" s="69"/>
      <c r="K46" s="89"/>
      <c r="L46" s="89"/>
      <c r="M46" s="90"/>
    </row>
    <row r="47" spans="2:13">
      <c r="B47" s="92" t="s">
        <v>163</v>
      </c>
      <c r="C47" s="69" t="str">
        <f>IF(ISNA(CoverpageTables!AA16),"",CoverpageTables!AA16)</f>
        <v/>
      </c>
      <c r="D47" s="69" t="str">
        <f>IF(ISNA(CoverpageTables!AC16),"",CoverpageTables!AC16)</f>
        <v/>
      </c>
      <c r="E47" s="69" t="str">
        <f t="shared" si="0"/>
        <v/>
      </c>
      <c r="F47" s="69" t="str">
        <f t="shared" si="1"/>
        <v/>
      </c>
      <c r="G47" s="69"/>
      <c r="H47" s="69"/>
      <c r="I47" s="69"/>
      <c r="J47" s="69"/>
      <c r="K47" s="89"/>
      <c r="L47" s="89"/>
      <c r="M47" s="90"/>
    </row>
    <row r="48" spans="2:13">
      <c r="B48" s="106" t="s">
        <v>183</v>
      </c>
      <c r="C48" s="69">
        <f>IF(ISNA(CoverpageTables!AA17),"",CoverpageTables!AA17)</f>
        <v>4.9351730000999998</v>
      </c>
      <c r="D48" s="69" t="str">
        <f>IF(ISNA(CoverpageTables!AC17),"",CoverpageTables!AC17)</f>
        <v/>
      </c>
      <c r="E48" s="69" t="str">
        <f t="shared" si="0"/>
        <v/>
      </c>
      <c r="F48" s="69" t="str">
        <f t="shared" si="1"/>
        <v/>
      </c>
      <c r="G48" s="69"/>
      <c r="H48" s="69"/>
      <c r="I48" s="69"/>
      <c r="J48" s="69"/>
      <c r="K48" s="89"/>
      <c r="L48" s="89"/>
      <c r="M48" s="90"/>
    </row>
  </sheetData>
  <mergeCells count="3">
    <mergeCell ref="B6:M6"/>
    <mergeCell ref="B13:M13"/>
    <mergeCell ref="B28:M28"/>
  </mergeCell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istoricalData">
    <tabColor theme="0" tint="-0.499984740745262"/>
  </sheetPr>
  <dimension ref="B4:J18"/>
  <sheetViews>
    <sheetView showGridLines="0" zoomScale="70" zoomScaleNormal="70" workbookViewId="0"/>
  </sheetViews>
  <sheetFormatPr defaultRowHeight="15"/>
  <cols>
    <col min="1" max="1" width="2.5703125" customWidth="1"/>
    <col min="2" max="2" width="13.140625" bestFit="1" customWidth="1"/>
    <col min="3" max="3" width="14.7109375" customWidth="1"/>
    <col min="4" max="4" width="15.140625" customWidth="1"/>
    <col min="5" max="5" width="16.28515625" customWidth="1"/>
    <col min="6" max="6" width="15.5703125" customWidth="1"/>
    <col min="7" max="7" width="10.140625" customWidth="1"/>
    <col min="8" max="8" width="38.7109375" bestFit="1" customWidth="1"/>
    <col min="10" max="10" width="22.140625" bestFit="1" customWidth="1"/>
    <col min="13" max="13" width="11.140625" bestFit="1" customWidth="1"/>
    <col min="14" max="14" width="13.42578125" customWidth="1"/>
  </cols>
  <sheetData>
    <row r="4" spans="2:10" ht="15.75">
      <c r="B4" s="196" t="s">
        <v>204</v>
      </c>
      <c r="C4" s="197"/>
      <c r="D4" s="197"/>
      <c r="E4" s="197"/>
      <c r="F4" s="197"/>
      <c r="G4" s="197"/>
      <c r="H4" s="198"/>
      <c r="J4" s="97" t="s">
        <v>173</v>
      </c>
    </row>
    <row r="5" spans="2:10" ht="25.5" customHeight="1">
      <c r="B5" s="98" t="s">
        <v>187</v>
      </c>
      <c r="C5" s="85" t="s">
        <v>205</v>
      </c>
      <c r="D5" s="85" t="s">
        <v>175</v>
      </c>
      <c r="E5" s="85" t="s">
        <v>176</v>
      </c>
      <c r="F5" s="86" t="s">
        <v>177</v>
      </c>
      <c r="G5" s="85" t="s">
        <v>44</v>
      </c>
      <c r="H5" s="99" t="s">
        <v>188</v>
      </c>
      <c r="J5" s="100" t="s">
        <v>195</v>
      </c>
    </row>
    <row r="6" spans="2:10">
      <c r="B6" s="112">
        <v>42521</v>
      </c>
      <c r="C6" s="113">
        <v>1.0841984858</v>
      </c>
      <c r="D6" s="113" t="e">
        <f>VLOOKUP(tblCoverpageHist[[#This Row],[Date]],tblBenchmarksForSelectedFund[#Data],2,FALSE)</f>
        <v>#N/A</v>
      </c>
      <c r="E6" s="113" t="str">
        <f>IF(OR(NOT(ISNUMBER(tblCoverpageHist[[#This Row],[Total Fund]])),NOT(ISNUMBER(tblCoverpageHist[[#This Row],[Benchmark]]))),"",tblCoverpageHist[[#This Row],[Total Fund]]-tblCoverpageHist[[#This Row],[Benchmark]])</f>
        <v/>
      </c>
      <c r="F6" s="113" t="str">
        <f>IF(OR(NOT(ISNUMBER(tblCoverpageHist[[#This Row],[Total Fund]])),NOT(ISNUMBER(tblCoverpageHist[[#This Row],[Benchmark]]))),"",((((tblCoverpageHist[[#This Row],[Total Fund]]/100)+1)/((tblCoverpageHist[[#This Row],[Benchmark]]/100)+1))-1)*100)</f>
        <v/>
      </c>
      <c r="G6" s="113"/>
      <c r="H6" s="114"/>
      <c r="J6" s="100" t="s">
        <v>219</v>
      </c>
    </row>
    <row r="7" spans="2:10">
      <c r="B7" s="112">
        <v>42551</v>
      </c>
      <c r="C7" s="113">
        <v>2.9147057102999998</v>
      </c>
      <c r="D7" s="113" t="e">
        <f>VLOOKUP(tblCoverpageHist[[#This Row],[Date]],tblBenchmarksForSelectedFund[#Data],2,FALSE)</f>
        <v>#N/A</v>
      </c>
      <c r="E7" s="113" t="str">
        <f>IF(OR(NOT(ISNUMBER(tblCoverpageHist[[#This Row],[Total Fund]])),NOT(ISNUMBER(tblCoverpageHist[[#This Row],[Benchmark]]))),"",tblCoverpageHist[[#This Row],[Total Fund]]-tblCoverpageHist[[#This Row],[Benchmark]])</f>
        <v/>
      </c>
      <c r="F7" s="113" t="str">
        <f>IF(OR(NOT(ISNUMBER(tblCoverpageHist[[#This Row],[Total Fund]])),NOT(ISNUMBER(tblCoverpageHist[[#This Row],[Benchmark]]))),"",((((tblCoverpageHist[[#This Row],[Total Fund]]/100)+1)/((tblCoverpageHist[[#This Row],[Benchmark]]/100)+1))-1)*100)</f>
        <v/>
      </c>
      <c r="G7" s="113"/>
      <c r="H7" s="114"/>
      <c r="J7" s="100" t="s">
        <v>196</v>
      </c>
    </row>
    <row r="8" spans="2:10">
      <c r="B8" s="112">
        <v>42582</v>
      </c>
      <c r="C8" s="113">
        <v>2.1804275612000001</v>
      </c>
      <c r="D8" s="113" t="e">
        <f>VLOOKUP(tblCoverpageHist[[#This Row],[Date]],tblBenchmarksForSelectedFund[#Data],2,FALSE)</f>
        <v>#N/A</v>
      </c>
      <c r="E8" s="113" t="str">
        <f>IF(OR(NOT(ISNUMBER(tblCoverpageHist[[#This Row],[Total Fund]])),NOT(ISNUMBER(tblCoverpageHist[[#This Row],[Benchmark]]))),"",tblCoverpageHist[[#This Row],[Total Fund]]-tblCoverpageHist[[#This Row],[Benchmark]])</f>
        <v/>
      </c>
      <c r="F8" s="113" t="str">
        <f>IF(OR(NOT(ISNUMBER(tblCoverpageHist[[#This Row],[Total Fund]])),NOT(ISNUMBER(tblCoverpageHist[[#This Row],[Benchmark]]))),"",((((tblCoverpageHist[[#This Row],[Total Fund]]/100)+1)/((tblCoverpageHist[[#This Row],[Benchmark]]/100)+1))-1)*100)</f>
        <v/>
      </c>
      <c r="G8" s="113"/>
      <c r="H8" s="114"/>
      <c r="J8" s="100" t="s">
        <v>197</v>
      </c>
    </row>
    <row r="9" spans="2:10">
      <c r="B9" s="112">
        <v>42613</v>
      </c>
      <c r="C9" s="113">
        <v>0.77311382719999999</v>
      </c>
      <c r="D9" s="113" t="e">
        <f>VLOOKUP(tblCoverpageHist[[#This Row],[Date]],tblBenchmarksForSelectedFund[#Data],2,FALSE)</f>
        <v>#N/A</v>
      </c>
      <c r="E9" s="113" t="str">
        <f>IF(OR(NOT(ISNUMBER(tblCoverpageHist[[#This Row],[Total Fund]])),NOT(ISNUMBER(tblCoverpageHist[[#This Row],[Benchmark]]))),"",tblCoverpageHist[[#This Row],[Total Fund]]-tblCoverpageHist[[#This Row],[Benchmark]])</f>
        <v/>
      </c>
      <c r="F9" s="113" t="str">
        <f>IF(OR(NOT(ISNUMBER(tblCoverpageHist[[#This Row],[Total Fund]])),NOT(ISNUMBER(tblCoverpageHist[[#This Row],[Benchmark]]))),"",((((tblCoverpageHist[[#This Row],[Total Fund]]/100)+1)/((tblCoverpageHist[[#This Row],[Benchmark]]/100)+1))-1)*100)</f>
        <v/>
      </c>
      <c r="G9" s="113"/>
      <c r="H9" s="114"/>
      <c r="J9" s="100" t="s">
        <v>220</v>
      </c>
    </row>
    <row r="10" spans="2:10">
      <c r="B10" s="112">
        <v>42643</v>
      </c>
      <c r="C10" s="113">
        <v>-0.26207888629999998</v>
      </c>
      <c r="D10" s="113" t="e">
        <f>VLOOKUP(tblCoverpageHist[[#This Row],[Date]],tblBenchmarksForSelectedFund[#Data],2,FALSE)</f>
        <v>#N/A</v>
      </c>
      <c r="E10" s="113" t="str">
        <f>IF(OR(NOT(ISNUMBER(tblCoverpageHist[[#This Row],[Total Fund]])),NOT(ISNUMBER(tblCoverpageHist[[#This Row],[Benchmark]]))),"",tblCoverpageHist[[#This Row],[Total Fund]]-tblCoverpageHist[[#This Row],[Benchmark]])</f>
        <v/>
      </c>
      <c r="F10" s="113" t="str">
        <f>IF(OR(NOT(ISNUMBER(tblCoverpageHist[[#This Row],[Total Fund]])),NOT(ISNUMBER(tblCoverpageHist[[#This Row],[Benchmark]]))),"",((((tblCoverpageHist[[#This Row],[Total Fund]]/100)+1)/((tblCoverpageHist[[#This Row],[Benchmark]]/100)+1))-1)*100)</f>
        <v/>
      </c>
      <c r="G10" s="113"/>
      <c r="H10" s="114"/>
      <c r="J10" s="100" t="s">
        <v>200</v>
      </c>
    </row>
    <row r="11" spans="2:10">
      <c r="B11" s="112">
        <v>42674</v>
      </c>
      <c r="C11" s="113">
        <v>19.3084136292</v>
      </c>
      <c r="D11" s="113" t="e">
        <f>VLOOKUP(tblCoverpageHist[[#This Row],[Date]],tblBenchmarksForSelectedFund[#Data],2,FALSE)</f>
        <v>#N/A</v>
      </c>
      <c r="E11" s="113" t="str">
        <f>IF(OR(NOT(ISNUMBER(tblCoverpageHist[[#This Row],[Total Fund]])),NOT(ISNUMBER(tblCoverpageHist[[#This Row],[Benchmark]]))),"",tblCoverpageHist[[#This Row],[Total Fund]]-tblCoverpageHist[[#This Row],[Benchmark]])</f>
        <v/>
      </c>
      <c r="F11" s="113" t="str">
        <f>IF(OR(NOT(ISNUMBER(tblCoverpageHist[[#This Row],[Total Fund]])),NOT(ISNUMBER(tblCoverpageHist[[#This Row],[Benchmark]]))),"",((((tblCoverpageHist[[#This Row],[Total Fund]]/100)+1)/((tblCoverpageHist[[#This Row],[Benchmark]]/100)+1))-1)*100)</f>
        <v/>
      </c>
      <c r="G11" s="113"/>
      <c r="H11" s="114"/>
      <c r="J11" s="100" t="s">
        <v>201</v>
      </c>
    </row>
    <row r="12" spans="2:10">
      <c r="B12" s="112">
        <v>42704</v>
      </c>
      <c r="C12" s="113">
        <v>-9.2877619499999994E-2</v>
      </c>
      <c r="D12" s="113" t="e">
        <f>VLOOKUP(tblCoverpageHist[[#This Row],[Date]],tblBenchmarksForSelectedFund[#Data],2,FALSE)</f>
        <v>#N/A</v>
      </c>
      <c r="E12" s="113" t="str">
        <f>IF(OR(NOT(ISNUMBER(tblCoverpageHist[[#This Row],[Total Fund]])),NOT(ISNUMBER(tblCoverpageHist[[#This Row],[Benchmark]]))),"",tblCoverpageHist[[#This Row],[Total Fund]]-tblCoverpageHist[[#This Row],[Benchmark]])</f>
        <v/>
      </c>
      <c r="F12" s="113" t="str">
        <f>IF(OR(NOT(ISNUMBER(tblCoverpageHist[[#This Row],[Total Fund]])),NOT(ISNUMBER(tblCoverpageHist[[#This Row],[Benchmark]]))),"",((((tblCoverpageHist[[#This Row],[Total Fund]]/100)+1)/((tblCoverpageHist[[#This Row],[Benchmark]]/100)+1))-1)*100)</f>
        <v/>
      </c>
      <c r="G12" s="113"/>
      <c r="H12" s="114"/>
      <c r="J12" s="100" t="s">
        <v>221</v>
      </c>
    </row>
    <row r="13" spans="2:10">
      <c r="B13" s="112">
        <v>42735</v>
      </c>
      <c r="C13" s="113">
        <v>-1.0014259738</v>
      </c>
      <c r="D13" s="113" t="e">
        <f>VLOOKUP(tblCoverpageHist[[#This Row],[Date]],tblBenchmarksForSelectedFund[#Data],2,FALSE)</f>
        <v>#N/A</v>
      </c>
      <c r="E13" s="113" t="str">
        <f>IF(OR(NOT(ISNUMBER(tblCoverpageHist[[#This Row],[Total Fund]])),NOT(ISNUMBER(tblCoverpageHist[[#This Row],[Benchmark]]))),"",tblCoverpageHist[[#This Row],[Total Fund]]-tblCoverpageHist[[#This Row],[Benchmark]])</f>
        <v/>
      </c>
      <c r="F13" s="113" t="str">
        <f>IF(OR(NOT(ISNUMBER(tblCoverpageHist[[#This Row],[Total Fund]])),NOT(ISNUMBER(tblCoverpageHist[[#This Row],[Benchmark]]))),"",((((tblCoverpageHist[[#This Row],[Total Fund]]/100)+1)/((tblCoverpageHist[[#This Row],[Benchmark]]/100)+1))-1)*100)</f>
        <v/>
      </c>
      <c r="G13" s="113"/>
      <c r="H13" s="114"/>
      <c r="J13" s="100" t="s">
        <v>222</v>
      </c>
    </row>
    <row r="14" spans="2:10">
      <c r="B14" s="112">
        <v>42766</v>
      </c>
      <c r="C14" s="113">
        <v>1.7561093717</v>
      </c>
      <c r="D14" s="113" t="e">
        <f>VLOOKUP(tblCoverpageHist[[#This Row],[Date]],tblBenchmarksForSelectedFund[#Data],2,FALSE)</f>
        <v>#N/A</v>
      </c>
      <c r="E14" s="113" t="str">
        <f>IF(OR(NOT(ISNUMBER(tblCoverpageHist[[#This Row],[Total Fund]])),NOT(ISNUMBER(tblCoverpageHist[[#This Row],[Benchmark]]))),"",tblCoverpageHist[[#This Row],[Total Fund]]-tblCoverpageHist[[#This Row],[Benchmark]])</f>
        <v/>
      </c>
      <c r="F14" s="113" t="str">
        <f>IF(OR(NOT(ISNUMBER(tblCoverpageHist[[#This Row],[Total Fund]])),NOT(ISNUMBER(tblCoverpageHist[[#This Row],[Benchmark]]))),"",((((tblCoverpageHist[[#This Row],[Total Fund]]/100)+1)/((tblCoverpageHist[[#This Row],[Benchmark]]/100)+1))-1)*100)</f>
        <v/>
      </c>
      <c r="G14" s="113"/>
      <c r="H14" s="114"/>
      <c r="J14" s="100" t="s">
        <v>223</v>
      </c>
    </row>
    <row r="15" spans="2:10">
      <c r="B15" s="112">
        <v>42794</v>
      </c>
      <c r="C15" s="113">
        <v>-0.37919687819999998</v>
      </c>
      <c r="D15" s="113" t="e">
        <f>VLOOKUP(tblCoverpageHist[[#This Row],[Date]],tblBenchmarksForSelectedFund[#Data],2,FALSE)</f>
        <v>#N/A</v>
      </c>
      <c r="E15" s="113" t="str">
        <f>IF(OR(NOT(ISNUMBER(tblCoverpageHist[[#This Row],[Total Fund]])),NOT(ISNUMBER(tblCoverpageHist[[#This Row],[Benchmark]]))),"",tblCoverpageHist[[#This Row],[Total Fund]]-tblCoverpageHist[[#This Row],[Benchmark]])</f>
        <v/>
      </c>
      <c r="F15" s="113" t="str">
        <f>IF(OR(NOT(ISNUMBER(tblCoverpageHist[[#This Row],[Total Fund]])),NOT(ISNUMBER(tblCoverpageHist[[#This Row],[Benchmark]]))),"",((((tblCoverpageHist[[#This Row],[Total Fund]]/100)+1)/((tblCoverpageHist[[#This Row],[Benchmark]]/100)+1))-1)*100)</f>
        <v/>
      </c>
      <c r="G15" s="113"/>
      <c r="H15" s="114"/>
    </row>
    <row r="16" spans="2:10">
      <c r="B16" s="112">
        <v>42825</v>
      </c>
      <c r="C16" s="113">
        <v>0.4075291633</v>
      </c>
      <c r="D16" s="113" t="e">
        <f>VLOOKUP(tblCoverpageHist[[#This Row],[Date]],tblBenchmarksForSelectedFund[#Data],2,FALSE)</f>
        <v>#N/A</v>
      </c>
      <c r="E16" s="113" t="str">
        <f>IF(OR(NOT(ISNUMBER(tblCoverpageHist[[#This Row],[Total Fund]])),NOT(ISNUMBER(tblCoverpageHist[[#This Row],[Benchmark]]))),"",tblCoverpageHist[[#This Row],[Total Fund]]-tblCoverpageHist[[#This Row],[Benchmark]])</f>
        <v/>
      </c>
      <c r="F16" s="113" t="str">
        <f>IF(OR(NOT(ISNUMBER(tblCoverpageHist[[#This Row],[Total Fund]])),NOT(ISNUMBER(tblCoverpageHist[[#This Row],[Benchmark]]))),"",((((tblCoverpageHist[[#This Row],[Total Fund]]/100)+1)/((tblCoverpageHist[[#This Row],[Benchmark]]/100)+1))-1)*100)</f>
        <v/>
      </c>
      <c r="G16" s="113"/>
      <c r="H16" s="114"/>
    </row>
    <row r="17" spans="2:8">
      <c r="B17" s="112">
        <v>42855</v>
      </c>
      <c r="C17" s="113">
        <v>0.32337536290000002</v>
      </c>
      <c r="D17" s="113" t="e">
        <f>VLOOKUP(tblCoverpageHist[[#This Row],[Date]],tblBenchmarksForSelectedFund[#Data],2,FALSE)</f>
        <v>#N/A</v>
      </c>
      <c r="E17" s="113" t="str">
        <f>IF(OR(NOT(ISNUMBER(tblCoverpageHist[[#This Row],[Total Fund]])),NOT(ISNUMBER(tblCoverpageHist[[#This Row],[Benchmark]]))),"",tblCoverpageHist[[#This Row],[Total Fund]]-tblCoverpageHist[[#This Row],[Benchmark]])</f>
        <v/>
      </c>
      <c r="F17" s="113" t="str">
        <f>IF(OR(NOT(ISNUMBER(tblCoverpageHist[[#This Row],[Total Fund]])),NOT(ISNUMBER(tblCoverpageHist[[#This Row],[Benchmark]]))),"",((((tblCoverpageHist[[#This Row],[Total Fund]]/100)+1)/((tblCoverpageHist[[#This Row],[Benchmark]]/100)+1))-1)*100)</f>
        <v/>
      </c>
      <c r="G17" s="113"/>
      <c r="H17" s="114"/>
    </row>
    <row r="18" spans="2:8">
      <c r="B18" s="112">
        <v>42886</v>
      </c>
      <c r="C18" s="113">
        <v>4.9351730000999998</v>
      </c>
      <c r="D18" s="113" t="e">
        <f>VLOOKUP(tblCoverpageHist[[#This Row],[Date]],tblBenchmarksForSelectedFund[#Data],2,FALSE)</f>
        <v>#N/A</v>
      </c>
      <c r="E18" s="113" t="str">
        <f>IF(OR(NOT(ISNUMBER(tblCoverpageHist[[#This Row],[Total Fund]])),NOT(ISNUMBER(tblCoverpageHist[[#This Row],[Benchmark]]))),"",tblCoverpageHist[[#This Row],[Total Fund]]-tblCoverpageHist[[#This Row],[Benchmark]])</f>
        <v/>
      </c>
      <c r="F18" s="113" t="str">
        <f>IF(OR(NOT(ISNUMBER(tblCoverpageHist[[#This Row],[Total Fund]])),NOT(ISNUMBER(tblCoverpageHist[[#This Row],[Benchmark]]))),"",((((tblCoverpageHist[[#This Row],[Total Fund]]/100)+1)/((tblCoverpageHist[[#This Row],[Benchmark]]/100)+1))-1)*100)</f>
        <v/>
      </c>
      <c r="G18" s="113"/>
      <c r="H18" s="114"/>
    </row>
  </sheetData>
  <mergeCells count="1">
    <mergeCell ref="B4:H4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verpageTables"/>
  <dimension ref="B1:EP23"/>
  <sheetViews>
    <sheetView zoomScaleNormal="100" workbookViewId="0"/>
  </sheetViews>
  <sheetFormatPr defaultRowHeight="15"/>
  <cols>
    <col min="2" max="2" width="12.140625" bestFit="1" customWidth="1"/>
    <col min="5" max="5" width="9.140625" customWidth="1"/>
    <col min="6" max="6" width="12.140625" customWidth="1"/>
    <col min="7" max="8" width="9.140625" customWidth="1"/>
    <col min="9" max="9" width="9.7109375" bestFit="1" customWidth="1"/>
    <col min="10" max="11" width="9.140625" customWidth="1"/>
    <col min="12" max="12" width="12" customWidth="1"/>
    <col min="13" max="13" width="12.7109375" customWidth="1"/>
    <col min="14" max="22" width="9.140625" customWidth="1"/>
    <col min="24" max="24" width="16.42578125" bestFit="1" customWidth="1"/>
    <col min="25" max="26" width="18" bestFit="1" customWidth="1"/>
    <col min="27" max="28" width="21.28515625" customWidth="1"/>
    <col min="29" max="29" width="10.85546875" bestFit="1" customWidth="1"/>
    <col min="30" max="30" width="21.28515625" customWidth="1"/>
    <col min="33" max="34" width="23.7109375" bestFit="1" customWidth="1"/>
    <col min="45" max="45" width="24.140625" bestFit="1" customWidth="1"/>
    <col min="49" max="49" width="17.42578125" bestFit="1" customWidth="1"/>
    <col min="51" max="51" width="14.140625" bestFit="1" customWidth="1"/>
    <col min="53" max="53" width="26.5703125" bestFit="1" customWidth="1"/>
    <col min="64" max="64" width="27" bestFit="1" customWidth="1"/>
    <col min="67" max="67" width="12" bestFit="1" customWidth="1"/>
    <col min="68" max="68" width="17.5703125" bestFit="1" customWidth="1"/>
    <col min="69" max="69" width="5.5703125" bestFit="1" customWidth="1"/>
    <col min="70" max="70" width="14.42578125" bestFit="1" customWidth="1"/>
    <col min="72" max="72" width="23.7109375" bestFit="1" customWidth="1"/>
    <col min="83" max="83" width="24.140625" bestFit="1" customWidth="1"/>
    <col min="87" max="87" width="17.5703125" bestFit="1" customWidth="1"/>
    <col min="89" max="89" width="14.42578125" bestFit="1" customWidth="1"/>
    <col min="91" max="91" width="23.7109375" bestFit="1" customWidth="1"/>
    <col min="102" max="102" width="24.140625" bestFit="1" customWidth="1"/>
    <col min="106" max="106" width="17.5703125" bestFit="1" customWidth="1"/>
    <col min="108" max="108" width="14.42578125" bestFit="1" customWidth="1"/>
    <col min="110" max="110" width="23.7109375" bestFit="1" customWidth="1"/>
    <col min="121" max="121" width="24.140625" bestFit="1" customWidth="1"/>
    <col min="125" max="125" width="17.5703125" bestFit="1" customWidth="1"/>
    <col min="127" max="127" width="14.42578125" bestFit="1" customWidth="1"/>
    <col min="129" max="129" width="24.42578125" bestFit="1" customWidth="1"/>
    <col min="140" max="140" width="24.85546875" bestFit="1" customWidth="1"/>
    <col min="144" max="144" width="17.5703125" bestFit="1" customWidth="1"/>
    <col min="146" max="146" width="14.42578125" bestFit="1" customWidth="1"/>
  </cols>
  <sheetData>
    <row r="1" spans="2:146" ht="15.75" thickBot="1">
      <c r="B1" s="116" t="s">
        <v>257</v>
      </c>
      <c r="C1" s="115"/>
      <c r="D1" s="115"/>
      <c r="F1" s="116" t="s">
        <v>258</v>
      </c>
      <c r="G1" s="115"/>
      <c r="H1" s="115"/>
      <c r="X1" s="116" t="s">
        <v>259</v>
      </c>
      <c r="Y1" s="116"/>
      <c r="AH1" s="116" t="s">
        <v>260</v>
      </c>
      <c r="AS1" s="116" t="s">
        <v>264</v>
      </c>
      <c r="BA1" s="116" t="s">
        <v>265</v>
      </c>
      <c r="BL1" s="116" t="s">
        <v>266</v>
      </c>
      <c r="BT1" s="116" t="s">
        <v>267</v>
      </c>
      <c r="CE1" s="116" t="s">
        <v>268</v>
      </c>
      <c r="CM1" s="116" t="s">
        <v>269</v>
      </c>
      <c r="CX1" s="116" t="s">
        <v>270</v>
      </c>
      <c r="DF1" s="116" t="s">
        <v>271</v>
      </c>
      <c r="DQ1" s="116" t="s">
        <v>272</v>
      </c>
      <c r="DY1" s="116" t="s">
        <v>273</v>
      </c>
      <c r="EJ1" s="116" t="s">
        <v>274</v>
      </c>
    </row>
    <row r="2" spans="2:146">
      <c r="B2" t="s">
        <v>187</v>
      </c>
      <c r="C2" t="s">
        <v>263</v>
      </c>
      <c r="D2" t="s">
        <v>224</v>
      </c>
      <c r="F2" t="s">
        <v>187</v>
      </c>
      <c r="G2" t="s">
        <v>225</v>
      </c>
      <c r="H2" t="s">
        <v>226</v>
      </c>
      <c r="I2" t="s">
        <v>227</v>
      </c>
      <c r="J2" t="s">
        <v>228</v>
      </c>
      <c r="K2" t="s">
        <v>206</v>
      </c>
      <c r="L2" t="s">
        <v>208</v>
      </c>
      <c r="M2" t="s">
        <v>229</v>
      </c>
      <c r="N2" t="s">
        <v>75</v>
      </c>
      <c r="O2" t="s">
        <v>44</v>
      </c>
      <c r="X2" s="123">
        <f>'PERFORMANCE SUMMARY'!J5</f>
        <v>42886</v>
      </c>
      <c r="Y2" s="124" t="s">
        <v>230</v>
      </c>
      <c r="Z2" s="124" t="s">
        <v>231</v>
      </c>
      <c r="AA2" s="124" t="s">
        <v>233</v>
      </c>
      <c r="AB2" s="124" t="s">
        <v>261</v>
      </c>
      <c r="AC2" s="124" t="s">
        <v>175</v>
      </c>
      <c r="AD2" s="127" t="s">
        <v>262</v>
      </c>
      <c r="AH2" t="s">
        <v>187</v>
      </c>
      <c r="AI2" t="s">
        <v>225</v>
      </c>
      <c r="AJ2" t="s">
        <v>226</v>
      </c>
      <c r="AK2" t="s">
        <v>227</v>
      </c>
      <c r="AL2" t="s">
        <v>228</v>
      </c>
      <c r="AM2" t="s">
        <v>206</v>
      </c>
      <c r="AN2" t="s">
        <v>208</v>
      </c>
      <c r="AO2" t="s">
        <v>229</v>
      </c>
      <c r="AP2" t="s">
        <v>75</v>
      </c>
      <c r="AQ2" t="s">
        <v>44</v>
      </c>
      <c r="AS2" t="s">
        <v>187</v>
      </c>
      <c r="AT2" t="s">
        <v>263</v>
      </c>
      <c r="AU2" t="s">
        <v>224</v>
      </c>
      <c r="AV2" s="128" t="s">
        <v>233</v>
      </c>
      <c r="AW2" s="124" t="s">
        <v>275</v>
      </c>
      <c r="AX2" s="124" t="s">
        <v>250</v>
      </c>
      <c r="AY2" s="127" t="s">
        <v>276</v>
      </c>
      <c r="BA2" t="s">
        <v>187</v>
      </c>
      <c r="BB2" t="s">
        <v>225</v>
      </c>
      <c r="BC2" t="s">
        <v>226</v>
      </c>
      <c r="BD2" t="s">
        <v>227</v>
      </c>
      <c r="BE2" t="s">
        <v>228</v>
      </c>
      <c r="BF2" t="s">
        <v>206</v>
      </c>
      <c r="BG2" t="s">
        <v>208</v>
      </c>
      <c r="BH2" t="s">
        <v>229</v>
      </c>
      <c r="BI2" t="s">
        <v>75</v>
      </c>
      <c r="BJ2" t="s">
        <v>44</v>
      </c>
      <c r="BL2" t="s">
        <v>187</v>
      </c>
      <c r="BM2" t="s">
        <v>263</v>
      </c>
      <c r="BN2" t="s">
        <v>224</v>
      </c>
      <c r="BO2" s="128" t="s">
        <v>233</v>
      </c>
      <c r="BP2" s="124" t="s">
        <v>275</v>
      </c>
      <c r="BQ2" s="124" t="s">
        <v>250</v>
      </c>
      <c r="BR2" s="127" t="s">
        <v>276</v>
      </c>
      <c r="BT2" t="s">
        <v>187</v>
      </c>
      <c r="BU2" t="s">
        <v>225</v>
      </c>
      <c r="BV2" t="s">
        <v>226</v>
      </c>
      <c r="BW2" t="s">
        <v>227</v>
      </c>
      <c r="BX2" t="s">
        <v>228</v>
      </c>
      <c r="BY2" t="s">
        <v>206</v>
      </c>
      <c r="BZ2" t="s">
        <v>208</v>
      </c>
      <c r="CA2" t="s">
        <v>229</v>
      </c>
      <c r="CB2" t="s">
        <v>75</v>
      </c>
      <c r="CC2" t="s">
        <v>44</v>
      </c>
      <c r="CE2" t="s">
        <v>187</v>
      </c>
      <c r="CF2" t="s">
        <v>263</v>
      </c>
      <c r="CG2" t="s">
        <v>224</v>
      </c>
      <c r="CH2" s="128" t="s">
        <v>233</v>
      </c>
      <c r="CI2" s="124" t="s">
        <v>275</v>
      </c>
      <c r="CJ2" s="124" t="s">
        <v>250</v>
      </c>
      <c r="CK2" s="127" t="s">
        <v>276</v>
      </c>
      <c r="CM2" t="s">
        <v>187</v>
      </c>
      <c r="CN2" t="s">
        <v>225</v>
      </c>
      <c r="CO2" t="s">
        <v>226</v>
      </c>
      <c r="CP2" t="s">
        <v>227</v>
      </c>
      <c r="CQ2" t="s">
        <v>228</v>
      </c>
      <c r="CR2" t="s">
        <v>206</v>
      </c>
      <c r="CS2" t="s">
        <v>208</v>
      </c>
      <c r="CT2" t="s">
        <v>229</v>
      </c>
      <c r="CU2" t="s">
        <v>75</v>
      </c>
      <c r="CV2" t="s">
        <v>44</v>
      </c>
      <c r="CX2" t="s">
        <v>187</v>
      </c>
      <c r="CY2" t="s">
        <v>263</v>
      </c>
      <c r="CZ2" t="s">
        <v>224</v>
      </c>
      <c r="DA2" s="131" t="s">
        <v>233</v>
      </c>
      <c r="DB2" s="132" t="s">
        <v>275</v>
      </c>
      <c r="DC2" s="132" t="s">
        <v>250</v>
      </c>
      <c r="DD2" s="133" t="s">
        <v>276</v>
      </c>
      <c r="DF2" t="s">
        <v>187</v>
      </c>
      <c r="DG2" t="s">
        <v>225</v>
      </c>
      <c r="DH2" t="s">
        <v>226</v>
      </c>
      <c r="DI2" t="s">
        <v>227</v>
      </c>
      <c r="DJ2" t="s">
        <v>228</v>
      </c>
      <c r="DK2" t="s">
        <v>206</v>
      </c>
      <c r="DL2" t="s">
        <v>208</v>
      </c>
      <c r="DM2" t="s">
        <v>229</v>
      </c>
      <c r="DN2" t="s">
        <v>75</v>
      </c>
      <c r="DO2" t="s">
        <v>44</v>
      </c>
      <c r="DQ2" t="s">
        <v>187</v>
      </c>
      <c r="DR2" t="s">
        <v>263</v>
      </c>
      <c r="DS2" t="s">
        <v>224</v>
      </c>
      <c r="DT2" s="131" t="s">
        <v>233</v>
      </c>
      <c r="DU2" s="132" t="s">
        <v>275</v>
      </c>
      <c r="DV2" s="132" t="s">
        <v>250</v>
      </c>
      <c r="DW2" s="133" t="s">
        <v>276</v>
      </c>
      <c r="DY2" t="s">
        <v>187</v>
      </c>
      <c r="DZ2" t="s">
        <v>225</v>
      </c>
      <c r="EA2" t="s">
        <v>226</v>
      </c>
      <c r="EB2" t="s">
        <v>227</v>
      </c>
      <c r="EC2" t="s">
        <v>228</v>
      </c>
      <c r="ED2" t="s">
        <v>206</v>
      </c>
      <c r="EE2" t="s">
        <v>208</v>
      </c>
      <c r="EF2" t="s">
        <v>229</v>
      </c>
      <c r="EG2" t="s">
        <v>75</v>
      </c>
      <c r="EH2" t="s">
        <v>44</v>
      </c>
      <c r="EJ2" t="s">
        <v>187</v>
      </c>
      <c r="EK2" t="s">
        <v>263</v>
      </c>
      <c r="EL2" t="s">
        <v>224</v>
      </c>
      <c r="EM2" s="131" t="s">
        <v>233</v>
      </c>
      <c r="EN2" s="132" t="s">
        <v>275</v>
      </c>
      <c r="EO2" s="132" t="s">
        <v>250</v>
      </c>
      <c r="EP2" s="133" t="s">
        <v>276</v>
      </c>
    </row>
    <row r="3" spans="2:146">
      <c r="B3" s="101"/>
      <c r="F3" s="104">
        <v>42400</v>
      </c>
      <c r="G3">
        <v>2.8569699631000001</v>
      </c>
      <c r="H3">
        <v>2.8569699631000001</v>
      </c>
      <c r="L3">
        <v>24791896.98</v>
      </c>
      <c r="M3">
        <v>708297.05</v>
      </c>
      <c r="O3" t="s">
        <v>158</v>
      </c>
      <c r="V3" s="102"/>
      <c r="X3" s="60" t="s">
        <v>159</v>
      </c>
      <c r="Y3" s="125">
        <v>-1</v>
      </c>
      <c r="Z3" s="117">
        <f>EOMONTH($X$2,$Y3)</f>
        <v>42855</v>
      </c>
      <c r="AA3" s="125">
        <f>VLOOKUP($Z3,tblReturnsForSelectedFund[#All],7,FALSE)</f>
        <v>96100471.969999999</v>
      </c>
      <c r="AB3" s="125">
        <f>(VLOOKUP($X$2,tblReturnsForSelectedFund[[#All],[Date]:[NAV]],7,FALSE)-AA3)/VLOOKUP($X$2,tblReturnsForSelectedFund[[#All],[Date]:[NAV]],7,FALSE)%</f>
        <v>-83.092340998102102</v>
      </c>
      <c r="AC3" s="125" t="e">
        <f>VLOOKUP(Z3,tblBenchmarksForSelectedFund[#All],3,FALSE)</f>
        <v>#N/A</v>
      </c>
      <c r="AD3" s="119" t="e">
        <f>(VLOOKUP($X$2,tblBenchmarksForSelectedFund[[#All],[Date]:[BMValue]],3,FALSE)-AC3)/VLOOKUP($X$2,tblBenchmarksForSelectedFund[[#All],[Date]:[BMValue]],3,FALSE)%</f>
        <v>#N/A</v>
      </c>
      <c r="AH3" s="104">
        <v>42521</v>
      </c>
      <c r="AI3">
        <v>-9.2705579891000003</v>
      </c>
      <c r="AJ3">
        <v>-9.2705579891000003</v>
      </c>
      <c r="AN3">
        <v>37944414.479999997</v>
      </c>
      <c r="AO3">
        <v>-4505837.68</v>
      </c>
      <c r="AP3" t="s">
        <v>234</v>
      </c>
      <c r="AQ3" t="s">
        <v>158</v>
      </c>
      <c r="AS3" s="101"/>
      <c r="AV3" s="118">
        <f>VLOOKUP($Z3,tblSubFund1[#All],7,FALSE)</f>
        <v>16221368.970000001</v>
      </c>
      <c r="AW3" s="125">
        <f>(VLOOKUP($X$2,tblSubFund1[[#All],[Date]:[NAV]],7,FALSE)-AV3)/VLOOKUP($X$2,tblSubFund1[[#All],[Date]:[NAV]],7,FALSE)%</f>
        <v>8.4110847484586273</v>
      </c>
      <c r="AX3" s="125" t="e">
        <f>VLOOKUP($Z3,tblBenchmarkSub1[#All],2,FALSE)</f>
        <v>#N/A</v>
      </c>
      <c r="AY3" s="119" t="e">
        <f>(VLOOKUP($X$2,tblBenchmarkSub1[[#All],[Date]:[BMValue]],3,FALSE)-AX3)/VLOOKUP($X$2,tblBenchmarkSub1[[#All],[Date]:[BMValue]],3,FALSE)%</f>
        <v>#N/A</v>
      </c>
      <c r="BA3" s="104">
        <v>42521</v>
      </c>
      <c r="BB3">
        <v>3.80163689E-2</v>
      </c>
      <c r="BC3">
        <v>3.80163689E-2</v>
      </c>
      <c r="BG3">
        <v>31711654.120000001</v>
      </c>
      <c r="BI3" t="s">
        <v>234</v>
      </c>
      <c r="BJ3" t="s">
        <v>158</v>
      </c>
      <c r="BL3" s="101"/>
      <c r="BO3" s="118">
        <f>VLOOKUP($Z3,tblSubFund2[#All],7,FALSE)</f>
        <v>31787937.510000002</v>
      </c>
      <c r="BP3" s="125">
        <f>(VLOOKUP($X$2,tblSubFund2[[#All],[Date]:[NAV]],7,FALSE)-BO3)/VLOOKUP($X$2,tblSubFund2[[#All],[Date]:[NAV]],7,FALSE)%</f>
        <v>9.6943729811647048E-3</v>
      </c>
      <c r="BQ3" s="125" t="e">
        <f>VLOOKUP($Z3,tblBenchmarkSub2[#All],3,FALSE)</f>
        <v>#N/A</v>
      </c>
      <c r="BR3" s="119" t="e">
        <f>(VLOOKUP($X$2,tblBenchmarkSub2[[#All],[Date]:[BMValue]],3,FALSE)-BQ3)/VLOOKUP($X$2,tblBenchmarkSub2[[#All],[Date]:[BMValue]],3,FALSE)%</f>
        <v>#N/A</v>
      </c>
      <c r="BT3" s="104"/>
      <c r="CE3" s="101"/>
      <c r="CH3" s="118" t="e">
        <f>VLOOKUP($Z3,tblSubFund3[#All],2,FALSE)</f>
        <v>#N/A</v>
      </c>
      <c r="CI3" s="125" t="e">
        <f>(VLOOKUP($X$2,tblSubFund3[[#All],[Date]:[NAV]],7,FALSE)-CH3)/VLOOKUP($X$2,tblSubFund3[[#All],[Date]:[NAV]],7,FALSE)%</f>
        <v>#N/A</v>
      </c>
      <c r="CJ3" s="125" t="e">
        <f>VLOOKUP($Z3,tblBenchmarkSub3[#All],2,FALSE)</f>
        <v>#N/A</v>
      </c>
      <c r="CK3" s="119" t="e">
        <f>(VLOOKUP($X$2,tblBenchmarkSub3[[#All],[Date]:[BMValue]],3,FALSE)-CJ3)/VLOOKUP($X$2,tblBenchmarkSub3[[#All],[Date]:[BMValue]],3,FALSE)%</f>
        <v>#N/A</v>
      </c>
      <c r="CM3" s="104"/>
      <c r="CX3" s="101"/>
      <c r="DA3" s="134" t="e">
        <f>VLOOKUP($Z3,tblSubFund4[#All],2,FALSE)</f>
        <v>#N/A</v>
      </c>
      <c r="DB3" s="125" t="e">
        <f>(VLOOKUP($X$2,tblSubFund4[[#All],[Date]:[NAV]],7,FALSE)-DA3)/VLOOKUP($X$2,tblSubFund4[[#All],[Date]:[NAV]],7,FALSE)%</f>
        <v>#N/A</v>
      </c>
      <c r="DC3" s="125" t="e">
        <f>VLOOKUP($Z3,tblBenchmarkSub4[#All],2,FALSE)</f>
        <v>#N/A</v>
      </c>
      <c r="DD3" s="135" t="e">
        <f>(VLOOKUP($X$2,tblBenchmarkSub4[[#All],[Date]:[BMValue]],3,FALSE)-DC3)/VLOOKUP($X$2,tblBenchmarkSub4[[#All],[Date]:[BMValue]],3,FALSE)%</f>
        <v>#N/A</v>
      </c>
      <c r="DF3" s="104"/>
      <c r="DQ3" s="101"/>
      <c r="DT3" s="134" t="e">
        <f>VLOOKUP($Z3,tblSubFund5[#All],2,FALSE)</f>
        <v>#N/A</v>
      </c>
      <c r="DU3" s="125" t="e">
        <f>(VLOOKUP($X$2,tblSubFund5[[#All],[Date]:[NAV]],7,FALSE)-DT3)/VLOOKUP($X$2,tblSubFund5[[#All],[Date]:[NAV]],7,FALSE)%</f>
        <v>#N/A</v>
      </c>
      <c r="DV3" s="125" t="e">
        <f>VLOOKUP($Z3,tblBenchmarkSub5[#All],2,FALSE)</f>
        <v>#N/A</v>
      </c>
      <c r="DW3" s="135" t="e">
        <f>(VLOOKUP($X$2,tblBenchmarkSub5[[#All],[Date]:[BMValue]],3,FALSE)-DV3)/VLOOKUP($X$2,tblBenchmarkSub5[[#All],[Date]:[BMValue]],3,FALSE)%</f>
        <v>#N/A</v>
      </c>
      <c r="DY3" s="104"/>
      <c r="EJ3" s="101"/>
      <c r="EM3" s="134" t="e">
        <f>VLOOKUP($Z3,tblSubFund6[#All],2,FALSE)</f>
        <v>#N/A</v>
      </c>
      <c r="EN3" s="125" t="e">
        <f>(VLOOKUP($X$2,tblSubFund6[[#All],[Date]:[NAV]],7,FALSE)-EM3)/VLOOKUP($X$2,tblSubFund6[[#All],[Date]:[NAV]],7,FALSE)%</f>
        <v>#N/A</v>
      </c>
      <c r="EO3" s="125" t="e">
        <f>VLOOKUP($Z3,tblBenchmarkSub6[#All],2,FALSE)</f>
        <v>#N/A</v>
      </c>
      <c r="EP3" s="135" t="e">
        <f>(VLOOKUP($X$2,tblBenchmarkSub6[[#All],[Date]:[BMValue]],3,FALSE)-EO3)/VLOOKUP($X$2,tblBenchmarkSub6[[#All],[Date]:[BMValue]],3,FALSE)%</f>
        <v>#N/A</v>
      </c>
    </row>
    <row r="4" spans="2:146">
      <c r="F4" s="104">
        <v>42429</v>
      </c>
      <c r="G4">
        <v>1.6664372794</v>
      </c>
      <c r="H4">
        <v>1.6664372794</v>
      </c>
      <c r="L4">
        <v>25500194.030000001</v>
      </c>
      <c r="M4">
        <v>424941.72</v>
      </c>
      <c r="O4" t="s">
        <v>158</v>
      </c>
      <c r="X4" s="60" t="s">
        <v>160</v>
      </c>
      <c r="Y4" s="125">
        <v>-3</v>
      </c>
      <c r="Z4" s="117">
        <f t="shared" ref="Z4:Z17" si="0">EOMONTH($X$2,$Y4)</f>
        <v>42794</v>
      </c>
      <c r="AA4" s="125">
        <f>VLOOKUP($Z4,tblReturnsForSelectedFund[#All],7,FALSE)</f>
        <v>96074733.450000003</v>
      </c>
      <c r="AB4" s="125">
        <f>(VLOOKUP($X$2,tblReturnsForSelectedFund[[#All],[Date]:[NAV]],7,FALSE)-AA4)/VLOOKUP($X$2,tblReturnsForSelectedFund[[#All],[Date]:[NAV]],7,FALSE)%</f>
        <v>-83.04330350864943</v>
      </c>
      <c r="AC4" s="125" t="e">
        <f>VLOOKUP(Z4,tblBenchmarksForSelectedFund[#All],3,FALSE)</f>
        <v>#N/A</v>
      </c>
      <c r="AD4" s="119" t="e">
        <f>(VLOOKUP($X$2,tblBenchmarksForSelectedFund[[#All],[Date]:[BMValue]],3,FALSE)-AC4)/VLOOKUP($X$2,tblBenchmarksForSelectedFund[[#All],[Date]:[BMValue]],3,FALSE)%</f>
        <v>#N/A</v>
      </c>
      <c r="AH4" s="104">
        <v>42551</v>
      </c>
      <c r="AI4">
        <v>-2.5760802265999998</v>
      </c>
      <c r="AJ4">
        <v>-2.5760802265999998</v>
      </c>
      <c r="AN4">
        <v>40940429.490000002</v>
      </c>
      <c r="AO4">
        <v>-10334457.01</v>
      </c>
      <c r="AP4" t="s">
        <v>234</v>
      </c>
      <c r="AQ4" t="s">
        <v>158</v>
      </c>
      <c r="AV4" s="118">
        <f>VLOOKUP($Z4,tblSubFund1[#All],7,FALSE)</f>
        <v>22181745.690000001</v>
      </c>
      <c r="AW4" s="125">
        <f>(VLOOKUP($X$2,tblSubFund1[[#All],[Date]:[NAV]],7,FALSE)-AV4)/VLOOKUP($X$2,tblSubFund1[[#All],[Date]:[NAV]],7,FALSE)%</f>
        <v>-25.242328800357296</v>
      </c>
      <c r="AX4" s="125" t="e">
        <f>VLOOKUP($Z4,tblBenchmarkSub1[#All],2,FALSE)</f>
        <v>#N/A</v>
      </c>
      <c r="AY4" s="119" t="e">
        <f>(VLOOKUP($X$2,tblBenchmarkSub1[[#All],[Date]:[BMValue]],3,FALSE)-AX4)/VLOOKUP($X$2,tblBenchmarkSub1[[#All],[Date]:[BMValue]],3,FALSE)%</f>
        <v>#N/A</v>
      </c>
      <c r="BA4" s="104">
        <v>42551</v>
      </c>
      <c r="BB4">
        <v>4.4738897499999999E-2</v>
      </c>
      <c r="BC4">
        <v>4.4738897499999999E-2</v>
      </c>
      <c r="BG4">
        <v>31723663.77</v>
      </c>
      <c r="BI4" t="s">
        <v>234</v>
      </c>
      <c r="BJ4" t="s">
        <v>158</v>
      </c>
      <c r="BO4" s="118">
        <f>VLOOKUP($Z4,tblSubFund2[#All],7,FALSE)</f>
        <v>31814939.920000002</v>
      </c>
      <c r="BP4" s="125">
        <f>(VLOOKUP($X$2,tblSubFund2[[#All],[Date]:[NAV]],7,FALSE)-BO4)/VLOOKUP($X$2,tblSubFund2[[#All],[Date]:[NAV]],7,FALSE)%</f>
        <v>-7.5242852899460991E-2</v>
      </c>
      <c r="BQ4" s="125" t="e">
        <f>VLOOKUP($Z4,tblBenchmarkSub2[#All],3,FALSE)</f>
        <v>#N/A</v>
      </c>
      <c r="BR4" s="119" t="e">
        <f>(VLOOKUP($X$2,tblBenchmarkSub2[[#All],[Date]:[BMValue]],3,FALSE)-BQ4)/VLOOKUP($X$2,tblBenchmarkSub2[[#All],[Date]:[BMValue]],3,FALSE)%</f>
        <v>#N/A</v>
      </c>
      <c r="CH4" s="118" t="e">
        <f>VLOOKUP($Z4,tblSubFund3[#All],2,FALSE)</f>
        <v>#N/A</v>
      </c>
      <c r="CI4" s="125" t="e">
        <f>(VLOOKUP($X$2,tblSubFund3[[#All],[Date]:[NAV]],7,FALSE)-CH4)/VLOOKUP($X$2,tblSubFund3[[#All],[Date]:[NAV]],7,FALSE)%</f>
        <v>#N/A</v>
      </c>
      <c r="CJ4" s="125" t="e">
        <f>VLOOKUP($Z4,tblBenchmarkSub3[#All],2,FALSE)</f>
        <v>#N/A</v>
      </c>
      <c r="CK4" s="119" t="e">
        <f>(VLOOKUP($X$2,tblBenchmarkSub3[[#All],[Date]:[BMValue]],3,FALSE)-CJ4)/VLOOKUP($X$2,tblBenchmarkSub3[[#All],[Date]:[BMValue]],3,FALSE)%</f>
        <v>#N/A</v>
      </c>
      <c r="DA4" s="134" t="e">
        <f>VLOOKUP($Z4,tblSubFund4[#All],2,FALSE)</f>
        <v>#N/A</v>
      </c>
      <c r="DB4" s="125" t="e">
        <f>(VLOOKUP($X$2,tblSubFund4[[#All],[Date]:[NAV]],7,FALSE)-DA4)/VLOOKUP($X$2,tblSubFund4[[#All],[Date]:[NAV]],7,FALSE)%</f>
        <v>#N/A</v>
      </c>
      <c r="DC4" s="125" t="e">
        <f>VLOOKUP($Z4,tblBenchmarkSub4[#All],2,FALSE)</f>
        <v>#N/A</v>
      </c>
      <c r="DD4" s="135" t="e">
        <f>(VLOOKUP($X$2,tblBenchmarkSub4[[#All],[Date]:[BMValue]],3,FALSE)-DC4)/VLOOKUP($X$2,tblBenchmarkSub4[[#All],[Date]:[BMValue]],3,FALSE)%</f>
        <v>#N/A</v>
      </c>
      <c r="DT4" s="134" t="e">
        <f>VLOOKUP($Z4,tblSubFund5[#All],2,FALSE)</f>
        <v>#N/A</v>
      </c>
      <c r="DU4" s="125" t="e">
        <f>(VLOOKUP($X$2,tblSubFund5[[#All],[Date]:[NAV]],7,FALSE)-DT4)/VLOOKUP($X$2,tblSubFund5[[#All],[Date]:[NAV]],7,FALSE)%</f>
        <v>#N/A</v>
      </c>
      <c r="DV4" s="125" t="e">
        <f>VLOOKUP($Z4,tblBenchmarkSub5[#All],2,FALSE)</f>
        <v>#N/A</v>
      </c>
      <c r="DW4" s="135" t="e">
        <f>(VLOOKUP($X$2,tblBenchmarkSub5[[#All],[Date]:[BMValue]],3,FALSE)-DV4)/VLOOKUP($X$2,tblBenchmarkSub5[[#All],[Date]:[BMValue]],3,FALSE)%</f>
        <v>#N/A</v>
      </c>
      <c r="EM4" s="134" t="e">
        <f>VLOOKUP($Z4,tblSubFund6[#All],2,FALSE)</f>
        <v>#N/A</v>
      </c>
      <c r="EN4" s="125" t="e">
        <f>(VLOOKUP($X$2,tblSubFund6[[#All],[Date]:[NAV]],7,FALSE)-EM4)/VLOOKUP($X$2,tblSubFund6[[#All],[Date]:[NAV]],7,FALSE)%</f>
        <v>#N/A</v>
      </c>
      <c r="EO4" s="125" t="e">
        <f>VLOOKUP($Z4,tblBenchmarkSub6[#All],2,FALSE)</f>
        <v>#N/A</v>
      </c>
      <c r="EP4" s="135" t="e">
        <f>(VLOOKUP($X$2,tblBenchmarkSub6[[#All],[Date]:[BMValue]],3,FALSE)-EO4)/VLOOKUP($X$2,tblBenchmarkSub6[[#All],[Date]:[BMValue]],3,FALSE)%</f>
        <v>#N/A</v>
      </c>
    </row>
    <row r="5" spans="2:146">
      <c r="F5" s="104">
        <v>42460</v>
      </c>
      <c r="G5">
        <v>-0.58142947089999997</v>
      </c>
      <c r="H5">
        <v>-0.58142947089999997</v>
      </c>
      <c r="L5">
        <v>25924908.789999999</v>
      </c>
      <c r="M5">
        <v>-150735.06</v>
      </c>
      <c r="O5" t="s">
        <v>158</v>
      </c>
      <c r="X5" s="60" t="s">
        <v>161</v>
      </c>
      <c r="Y5" s="125">
        <v>-6</v>
      </c>
      <c r="Z5" s="117">
        <f t="shared" si="0"/>
        <v>42704</v>
      </c>
      <c r="AA5" s="125">
        <f>VLOOKUP($Z5,tblReturnsForSelectedFund[#All],7,FALSE)</f>
        <v>144.02000000000001</v>
      </c>
      <c r="AB5" s="125">
        <f>(VLOOKUP($X$2,tblReturnsForSelectedFund[[#All],[Date]:[NAV]],7,FALSE)-AA5)/VLOOKUP($X$2,tblReturnsForSelectedFund[[#All],[Date]:[NAV]],7,FALSE)%</f>
        <v>99.999725610515625</v>
      </c>
      <c r="AC5" s="125" t="e">
        <f>VLOOKUP(Z5,tblBenchmarksForSelectedFund[#All],3,FALSE)</f>
        <v>#N/A</v>
      </c>
      <c r="AD5" s="119" t="e">
        <f>(VLOOKUP($X$2,tblBenchmarksForSelectedFund[[#All],[Date]:[BMValue]],3,FALSE)-AC5)/VLOOKUP($X$2,tblBenchmarksForSelectedFund[[#All],[Date]:[BMValue]],3,FALSE)%</f>
        <v>#N/A</v>
      </c>
      <c r="AH5" s="104">
        <v>42582</v>
      </c>
      <c r="AI5">
        <v>-39.279541479400002</v>
      </c>
      <c r="AJ5">
        <v>-39.279541479400002</v>
      </c>
      <c r="AN5">
        <v>63606264.149999999</v>
      </c>
      <c r="AO5">
        <v>-28284586.870000001</v>
      </c>
      <c r="AP5" t="s">
        <v>234</v>
      </c>
      <c r="AQ5" t="s">
        <v>158</v>
      </c>
      <c r="AV5" s="118">
        <f>VLOOKUP($Z5,tblSubFund1[#All],7,FALSE)</f>
        <v>36410000.159999996</v>
      </c>
      <c r="AW5" s="125">
        <f>(VLOOKUP($X$2,tblSubFund1[[#All],[Date]:[NAV]],7,FALSE)-AV5)/VLOOKUP($X$2,tblSubFund1[[#All],[Date]:[NAV]],7,FALSE)%</f>
        <v>-105.57774286067838</v>
      </c>
      <c r="AX5" s="125" t="e">
        <f>VLOOKUP($Z5,tblBenchmarkSub1[#All],2,FALSE)</f>
        <v>#N/A</v>
      </c>
      <c r="AY5" s="119" t="e">
        <f>(VLOOKUP($X$2,tblBenchmarkSub1[[#All],[Date]:[BMValue]],3,FALSE)-AX5)/VLOOKUP($X$2,tblBenchmarkSub1[[#All],[Date]:[BMValue]],3,FALSE)%</f>
        <v>#N/A</v>
      </c>
      <c r="BA5" s="104">
        <v>42582</v>
      </c>
      <c r="BB5">
        <v>4.04091231E-2</v>
      </c>
      <c r="BC5">
        <v>4.04091231E-2</v>
      </c>
      <c r="BG5">
        <v>31737810.800000001</v>
      </c>
      <c r="BI5" t="s">
        <v>234</v>
      </c>
      <c r="BJ5" t="s">
        <v>158</v>
      </c>
      <c r="BO5" s="118">
        <f>VLOOKUP($Z5,tblSubFund2[#All],7,FALSE)</f>
        <v>31766631</v>
      </c>
      <c r="BP5" s="125">
        <f>(VLOOKUP($X$2,tblSubFund2[[#All],[Date]:[NAV]],7,FALSE)-BO5)/VLOOKUP($X$2,tblSubFund2[[#All],[Date]:[NAV]],7,FALSE)%</f>
        <v>7.6714903837408255E-2</v>
      </c>
      <c r="BQ5" s="125" t="e">
        <f>VLOOKUP($Z5,tblBenchmarkSub2[#All],3,FALSE)</f>
        <v>#N/A</v>
      </c>
      <c r="BR5" s="119" t="e">
        <f>(VLOOKUP($X$2,tblBenchmarkSub2[[#All],[Date]:[BMValue]],3,FALSE)-BQ5)/VLOOKUP($X$2,tblBenchmarkSub2[[#All],[Date]:[BMValue]],3,FALSE)%</f>
        <v>#N/A</v>
      </c>
      <c r="CH5" s="118" t="e">
        <f>VLOOKUP($Z5,tblSubFund3[#All],2,FALSE)</f>
        <v>#N/A</v>
      </c>
      <c r="CI5" s="125" t="e">
        <f>(VLOOKUP($X$2,tblSubFund3[[#All],[Date]:[NAV]],7,FALSE)-CH5)/VLOOKUP($X$2,tblSubFund3[[#All],[Date]:[NAV]],7,FALSE)%</f>
        <v>#N/A</v>
      </c>
      <c r="CJ5" s="125" t="e">
        <f>VLOOKUP($Z5,tblBenchmarkSub3[#All],2,FALSE)</f>
        <v>#N/A</v>
      </c>
      <c r="CK5" s="119" t="e">
        <f>(VLOOKUP($X$2,tblBenchmarkSub3[[#All],[Date]:[BMValue]],3,FALSE)-CJ5)/VLOOKUP($X$2,tblBenchmarkSub3[[#All],[Date]:[BMValue]],3,FALSE)%</f>
        <v>#N/A</v>
      </c>
      <c r="DA5" s="134" t="e">
        <f>VLOOKUP($Z5,tblSubFund4[#All],2,FALSE)</f>
        <v>#N/A</v>
      </c>
      <c r="DB5" s="125" t="e">
        <f>(VLOOKUP($X$2,tblSubFund4[[#All],[Date]:[NAV]],7,FALSE)-DA5)/VLOOKUP($X$2,tblSubFund4[[#All],[Date]:[NAV]],7,FALSE)%</f>
        <v>#N/A</v>
      </c>
      <c r="DC5" s="125" t="e">
        <f>VLOOKUP($Z5,tblBenchmarkSub4[#All],2,FALSE)</f>
        <v>#N/A</v>
      </c>
      <c r="DD5" s="135" t="e">
        <f>(VLOOKUP($X$2,tblBenchmarkSub4[[#All],[Date]:[BMValue]],3,FALSE)-DC5)/VLOOKUP($X$2,tblBenchmarkSub4[[#All],[Date]:[BMValue]],3,FALSE)%</f>
        <v>#N/A</v>
      </c>
      <c r="DT5" s="134" t="e">
        <f>VLOOKUP($Z5,tblSubFund5[#All],2,FALSE)</f>
        <v>#N/A</v>
      </c>
      <c r="DU5" s="125" t="e">
        <f>(VLOOKUP($X$2,tblSubFund5[[#All],[Date]:[NAV]],7,FALSE)-DT5)/VLOOKUP($X$2,tblSubFund5[[#All],[Date]:[NAV]],7,FALSE)%</f>
        <v>#N/A</v>
      </c>
      <c r="DV5" s="125" t="e">
        <f>VLOOKUP($Z5,tblBenchmarkSub5[#All],2,FALSE)</f>
        <v>#N/A</v>
      </c>
      <c r="DW5" s="135" t="e">
        <f>(VLOOKUP($X$2,tblBenchmarkSub5[[#All],[Date]:[BMValue]],3,FALSE)-DV5)/VLOOKUP($X$2,tblBenchmarkSub5[[#All],[Date]:[BMValue]],3,FALSE)%</f>
        <v>#N/A</v>
      </c>
      <c r="EM5" s="134" t="e">
        <f>VLOOKUP($Z5,tblSubFund6[#All],2,FALSE)</f>
        <v>#N/A</v>
      </c>
      <c r="EN5" s="125" t="e">
        <f>(VLOOKUP($X$2,tblSubFund6[[#All],[Date]:[NAV]],7,FALSE)-EM5)/VLOOKUP($X$2,tblSubFund6[[#All],[Date]:[NAV]],7,FALSE)%</f>
        <v>#N/A</v>
      </c>
      <c r="EO5" s="125" t="e">
        <f>VLOOKUP($Z5,tblBenchmarkSub6[#All],2,FALSE)</f>
        <v>#N/A</v>
      </c>
      <c r="EP5" s="135" t="e">
        <f>(VLOOKUP($X$2,tblBenchmarkSub6[[#All],[Date]:[BMValue]],3,FALSE)-EO5)/VLOOKUP($X$2,tblBenchmarkSub6[[#All],[Date]:[BMValue]],3,FALSE)%</f>
        <v>#N/A</v>
      </c>
    </row>
    <row r="6" spans="2:146">
      <c r="F6" s="104">
        <v>42490</v>
      </c>
      <c r="G6">
        <v>-0.94241777469999999</v>
      </c>
      <c r="H6">
        <v>-0.94241777469999999</v>
      </c>
      <c r="L6">
        <v>25774173.73</v>
      </c>
      <c r="M6">
        <v>-242899.5</v>
      </c>
      <c r="O6" t="s">
        <v>158</v>
      </c>
      <c r="X6" s="60" t="s">
        <v>162</v>
      </c>
      <c r="Y6" s="125" t="s">
        <v>232</v>
      </c>
      <c r="Z6" s="103">
        <f>DATE(YEAR(X2)-1,12,31)</f>
        <v>42735</v>
      </c>
      <c r="AA6" s="125" t="e">
        <f>VLOOKUP($Z6,tblReturnsForSelectedFund[#All],7,FALSE)</f>
        <v>#N/A</v>
      </c>
      <c r="AB6" s="125" t="e">
        <f>(VLOOKUP($X$2,tblReturnsForSelectedFund[[#All],[Date]:[NAV]],7,FALSE)-AA6)/VLOOKUP($X$2,tblReturnsForSelectedFund[[#All],[Date]:[NAV]],7,FALSE)%</f>
        <v>#N/A</v>
      </c>
      <c r="AC6" s="125" t="e">
        <f>VLOOKUP(Z6,tblBenchmarksForSelectedFund[#All],3,FALSE)</f>
        <v>#N/A</v>
      </c>
      <c r="AD6" s="119" t="e">
        <f>(VLOOKUP($X$2,tblBenchmarksForSelectedFund[[#All],[Date]:[BMValue]],3,FALSE)-AC6)/VLOOKUP($X$2,tblBenchmarksForSelectedFund[[#All],[Date]:[BMValue]],3,FALSE)%</f>
        <v>#N/A</v>
      </c>
      <c r="AH6" s="104">
        <v>42613</v>
      </c>
      <c r="AI6">
        <v>-16.909865338900001</v>
      </c>
      <c r="AJ6">
        <v>-16.909865338900001</v>
      </c>
      <c r="AN6">
        <v>56530677.32</v>
      </c>
      <c r="AO6">
        <v>-9559717.75</v>
      </c>
      <c r="AP6" t="s">
        <v>234</v>
      </c>
      <c r="AQ6" t="s">
        <v>158</v>
      </c>
      <c r="AV6" s="118">
        <f>VLOOKUP($Z6,tblSubFund1[#All],7,FALSE)</f>
        <v>34807820</v>
      </c>
      <c r="AW6" s="125">
        <f>(VLOOKUP($X$2,tblSubFund1[[#All],[Date]:[NAV]],7,FALSE)-AV6)/VLOOKUP($X$2,tblSubFund1[[#All],[Date]:[NAV]],7,FALSE)%</f>
        <v>-96.531530844705685</v>
      </c>
      <c r="AX6" s="125" t="e">
        <f>VLOOKUP($Z6,tblBenchmarkSub1[#All],2,FALSE)</f>
        <v>#N/A</v>
      </c>
      <c r="AY6" s="119" t="e">
        <f>(VLOOKUP($X$2,tblBenchmarkSub1[[#All],[Date]:[BMValue]],3,FALSE)-AX6)/VLOOKUP($X$2,tblBenchmarkSub1[[#All],[Date]:[BMValue]],3,FALSE)%</f>
        <v>#N/A</v>
      </c>
      <c r="BA6" s="104">
        <v>42613</v>
      </c>
      <c r="BB6">
        <v>2.6038067500000001E-2</v>
      </c>
      <c r="BC6">
        <v>2.6038067500000001E-2</v>
      </c>
      <c r="BG6">
        <v>31750551.350000001</v>
      </c>
      <c r="BI6" t="s">
        <v>234</v>
      </c>
      <c r="BJ6" t="s">
        <v>158</v>
      </c>
      <c r="BO6" s="118">
        <f>VLOOKUP($Z6,tblSubFund2[#All],7,FALSE)</f>
        <v>31779871.48</v>
      </c>
      <c r="BP6" s="125">
        <f>(VLOOKUP($X$2,tblSubFund2[[#All],[Date]:[NAV]],7,FALSE)-BO6)/VLOOKUP($X$2,tblSubFund2[[#All],[Date]:[NAV]],7,FALSE)%</f>
        <v>3.5066412442457263E-2</v>
      </c>
      <c r="BQ6" s="125" t="e">
        <f>VLOOKUP($Z6,tblBenchmarkSub2[#All],3,FALSE)</f>
        <v>#N/A</v>
      </c>
      <c r="BR6" s="119" t="e">
        <f>(VLOOKUP($X$2,tblBenchmarkSub2[[#All],[Date]:[BMValue]],3,FALSE)-BQ6)/VLOOKUP($X$2,tblBenchmarkSub2[[#All],[Date]:[BMValue]],3,FALSE)%</f>
        <v>#N/A</v>
      </c>
      <c r="CH6" s="118" t="e">
        <f>VLOOKUP($Z6,tblSubFund3[#All],2,FALSE)</f>
        <v>#N/A</v>
      </c>
      <c r="CI6" s="125" t="e">
        <f>(VLOOKUP($X$2,tblSubFund3[[#All],[Date]:[NAV]],7,FALSE)-CH6)/VLOOKUP($X$2,tblSubFund3[[#All],[Date]:[NAV]],7,FALSE)%</f>
        <v>#N/A</v>
      </c>
      <c r="CJ6" s="125" t="e">
        <f>VLOOKUP($Z6,tblBenchmarkSub3[#All],2,FALSE)</f>
        <v>#N/A</v>
      </c>
      <c r="CK6" s="119" t="e">
        <f>(VLOOKUP($X$2,tblBenchmarkSub3[[#All],[Date]:[BMValue]],3,FALSE)-CJ6)/VLOOKUP($X$2,tblBenchmarkSub3[[#All],[Date]:[BMValue]],3,FALSE)%</f>
        <v>#N/A</v>
      </c>
      <c r="DA6" s="134" t="e">
        <f>VLOOKUP($Z6,tblSubFund4[#All],2,FALSE)</f>
        <v>#N/A</v>
      </c>
      <c r="DB6" s="125" t="e">
        <f>(VLOOKUP($X$2,tblSubFund4[[#All],[Date]:[NAV]],7,FALSE)-DA6)/VLOOKUP($X$2,tblSubFund4[[#All],[Date]:[NAV]],7,FALSE)%</f>
        <v>#N/A</v>
      </c>
      <c r="DC6" s="125" t="e">
        <f>VLOOKUP($Z6,tblBenchmarkSub4[#All],2,FALSE)</f>
        <v>#N/A</v>
      </c>
      <c r="DD6" s="135" t="e">
        <f>(VLOOKUP($X$2,tblBenchmarkSub4[[#All],[Date]:[BMValue]],3,FALSE)-DC6)/VLOOKUP($X$2,tblBenchmarkSub4[[#All],[Date]:[BMValue]],3,FALSE)%</f>
        <v>#N/A</v>
      </c>
      <c r="DT6" s="134" t="e">
        <f>VLOOKUP($Z6,tblSubFund5[#All],2,FALSE)</f>
        <v>#N/A</v>
      </c>
      <c r="DU6" s="125" t="e">
        <f>(VLOOKUP($X$2,tblSubFund5[[#All],[Date]:[NAV]],7,FALSE)-DT6)/VLOOKUP($X$2,tblSubFund5[[#All],[Date]:[NAV]],7,FALSE)%</f>
        <v>#N/A</v>
      </c>
      <c r="DV6" s="125" t="e">
        <f>VLOOKUP($Z6,tblBenchmarkSub5[#All],2,FALSE)</f>
        <v>#N/A</v>
      </c>
      <c r="DW6" s="135" t="e">
        <f>(VLOOKUP($X$2,tblBenchmarkSub5[[#All],[Date]:[BMValue]],3,FALSE)-DV6)/VLOOKUP($X$2,tblBenchmarkSub5[[#All],[Date]:[BMValue]],3,FALSE)%</f>
        <v>#N/A</v>
      </c>
      <c r="EM6" s="134" t="e">
        <f>VLOOKUP($Z6,tblSubFund6[#All],2,FALSE)</f>
        <v>#N/A</v>
      </c>
      <c r="EN6" s="125" t="e">
        <f>(VLOOKUP($X$2,tblSubFund6[[#All],[Date]:[NAV]],7,FALSE)-EM6)/VLOOKUP($X$2,tblSubFund6[[#All],[Date]:[NAV]],7,FALSE)%</f>
        <v>#N/A</v>
      </c>
      <c r="EO6" s="125" t="e">
        <f>VLOOKUP($Z6,tblBenchmarkSub6[#All],2,FALSE)</f>
        <v>#N/A</v>
      </c>
      <c r="EP6" s="135" t="e">
        <f>(VLOOKUP($X$2,tblBenchmarkSub6[[#All],[Date]:[BMValue]],3,FALSE)-EO6)/VLOOKUP($X$2,tblBenchmarkSub6[[#All],[Date]:[BMValue]],3,FALSE)%</f>
        <v>#N/A</v>
      </c>
    </row>
    <row r="7" spans="2:146">
      <c r="F7" s="104">
        <v>42551</v>
      </c>
      <c r="G7">
        <v>2.9147057102999998</v>
      </c>
      <c r="H7">
        <v>2.9147057102999998</v>
      </c>
      <c r="L7">
        <v>25807931.739999998</v>
      </c>
      <c r="M7">
        <v>752224.56</v>
      </c>
      <c r="O7" t="s">
        <v>158</v>
      </c>
      <c r="X7" s="60" t="s">
        <v>178</v>
      </c>
      <c r="Y7" s="125">
        <v>-12</v>
      </c>
      <c r="Z7" s="117">
        <f t="shared" si="0"/>
        <v>42521</v>
      </c>
      <c r="AA7" s="125" t="e">
        <f>VLOOKUP($Z7,tblReturnsForSelectedFund[#All],7,FALSE)</f>
        <v>#N/A</v>
      </c>
      <c r="AB7" s="125" t="e">
        <f>(VLOOKUP($X$2,tblReturnsForSelectedFund[[#All],[Date]:[NAV]],7,FALSE)-AA7)/VLOOKUP($X$2,tblReturnsForSelectedFund[[#All],[Date]:[NAV]],7,FALSE)%</f>
        <v>#N/A</v>
      </c>
      <c r="AC7" s="125" t="e">
        <f>VLOOKUP(Z7,tblBenchmarksForSelectedFund[#All],3,FALSE)</f>
        <v>#N/A</v>
      </c>
      <c r="AD7" s="119" t="e">
        <f>(VLOOKUP($X$2,tblBenchmarksForSelectedFund[[#All],[Date]:[BMValue]],3,FALSE)-AC7)/VLOOKUP($X$2,tblBenchmarksForSelectedFund[[#All],[Date]:[BMValue]],3,FALSE)%</f>
        <v>#N/A</v>
      </c>
      <c r="AH7" s="104">
        <v>42643</v>
      </c>
      <c r="AI7">
        <v>-19.769323953499999</v>
      </c>
      <c r="AJ7">
        <v>-19.769323953499999</v>
      </c>
      <c r="AN7">
        <v>46971415.909999996</v>
      </c>
      <c r="AO7">
        <v>-10533861.76</v>
      </c>
      <c r="AP7" t="s">
        <v>234</v>
      </c>
      <c r="AQ7" t="s">
        <v>158</v>
      </c>
      <c r="AV7" s="118">
        <f>VLOOKUP($Z7,tblSubFund1[#All],7,FALSE)</f>
        <v>37944414.479999997</v>
      </c>
      <c r="AW7" s="125">
        <f>(VLOOKUP($X$2,tblSubFund1[[#All],[Date]:[NAV]],7,FALSE)-AV7)/VLOOKUP($X$2,tblSubFund1[[#All],[Date]:[NAV]],7,FALSE)%</f>
        <v>-114.24133613539763</v>
      </c>
      <c r="AX7" s="125" t="e">
        <f>VLOOKUP($Z7,tblBenchmarkSub1[#All],2,FALSE)</f>
        <v>#N/A</v>
      </c>
      <c r="AY7" s="119" t="e">
        <f>(VLOOKUP($X$2,tblBenchmarkSub1[[#All],[Date]:[BMValue]],3,FALSE)-AX7)/VLOOKUP($X$2,tblBenchmarkSub1[[#All],[Date]:[BMValue]],3,FALSE)%</f>
        <v>#N/A</v>
      </c>
      <c r="BA7" s="104">
        <v>42643</v>
      </c>
      <c r="BB7">
        <v>1.5163410400000001E-2</v>
      </c>
      <c r="BC7">
        <v>1.5163410400000001E-2</v>
      </c>
      <c r="BG7">
        <v>31758818.579999998</v>
      </c>
      <c r="BI7" t="s">
        <v>234</v>
      </c>
      <c r="BJ7" t="s">
        <v>158</v>
      </c>
      <c r="BO7" s="118">
        <f>VLOOKUP($Z7,tblSubFund2[#All],7,FALSE)</f>
        <v>31711654.120000001</v>
      </c>
      <c r="BP7" s="125">
        <f>(VLOOKUP($X$2,tblSubFund2[[#All],[Date]:[NAV]],7,FALSE)-BO7)/VLOOKUP($X$2,tblSubFund2[[#All],[Date]:[NAV]],7,FALSE)%</f>
        <v>0.24964701155564301</v>
      </c>
      <c r="BQ7" s="125" t="e">
        <f>VLOOKUP($Z7,tblBenchmarkSub2[#All],3,FALSE)</f>
        <v>#N/A</v>
      </c>
      <c r="BR7" s="119" t="e">
        <f>(VLOOKUP($X$2,tblBenchmarkSub2[[#All],[Date]:[BMValue]],3,FALSE)-BQ7)/VLOOKUP($X$2,tblBenchmarkSub2[[#All],[Date]:[BMValue]],3,FALSE)%</f>
        <v>#N/A</v>
      </c>
      <c r="CH7" s="118" t="e">
        <f>VLOOKUP($Z7,tblSubFund3[#All],2,FALSE)</f>
        <v>#N/A</v>
      </c>
      <c r="CI7" s="125" t="e">
        <f>(VLOOKUP($X$2,tblSubFund3[[#All],[Date]:[NAV]],7,FALSE)-CH7)/VLOOKUP($X$2,tblSubFund3[[#All],[Date]:[NAV]],7,FALSE)%</f>
        <v>#N/A</v>
      </c>
      <c r="CJ7" s="125" t="e">
        <f>VLOOKUP($Z7,tblBenchmarkSub3[#All],2,FALSE)</f>
        <v>#N/A</v>
      </c>
      <c r="CK7" s="119" t="e">
        <f>(VLOOKUP($X$2,tblBenchmarkSub3[[#All],[Date]:[BMValue]],3,FALSE)-CJ7)/VLOOKUP($X$2,tblBenchmarkSub3[[#All],[Date]:[BMValue]],3,FALSE)%</f>
        <v>#N/A</v>
      </c>
      <c r="DA7" s="134" t="e">
        <f>VLOOKUP($Z7,tblSubFund4[#All],2,FALSE)</f>
        <v>#N/A</v>
      </c>
      <c r="DB7" s="125" t="e">
        <f>(VLOOKUP($X$2,tblSubFund4[[#All],[Date]:[NAV]],7,FALSE)-DA7)/VLOOKUP($X$2,tblSubFund4[[#All],[Date]:[NAV]],7,FALSE)%</f>
        <v>#N/A</v>
      </c>
      <c r="DC7" s="125" t="e">
        <f>VLOOKUP($Z7,tblBenchmarkSub4[#All],2,FALSE)</f>
        <v>#N/A</v>
      </c>
      <c r="DD7" s="135" t="e">
        <f>(VLOOKUP($X$2,tblBenchmarkSub4[[#All],[Date]:[BMValue]],3,FALSE)-DC7)/VLOOKUP($X$2,tblBenchmarkSub4[[#All],[Date]:[BMValue]],3,FALSE)%</f>
        <v>#N/A</v>
      </c>
      <c r="DT7" s="134" t="e">
        <f>VLOOKUP($Z7,tblSubFund5[#All],2,FALSE)</f>
        <v>#N/A</v>
      </c>
      <c r="DU7" s="125" t="e">
        <f>(VLOOKUP($X$2,tblSubFund5[[#All],[Date]:[NAV]],7,FALSE)-DT7)/VLOOKUP($X$2,tblSubFund5[[#All],[Date]:[NAV]],7,FALSE)%</f>
        <v>#N/A</v>
      </c>
      <c r="DV7" s="125" t="e">
        <f>VLOOKUP($Z7,tblBenchmarkSub5[#All],2,FALSE)</f>
        <v>#N/A</v>
      </c>
      <c r="DW7" s="135" t="e">
        <f>(VLOOKUP($X$2,tblBenchmarkSub5[[#All],[Date]:[BMValue]],3,FALSE)-DV7)/VLOOKUP($X$2,tblBenchmarkSub5[[#All],[Date]:[BMValue]],3,FALSE)%</f>
        <v>#N/A</v>
      </c>
      <c r="EM7" s="134" t="e">
        <f>VLOOKUP($Z7,tblSubFund6[#All],2,FALSE)</f>
        <v>#N/A</v>
      </c>
      <c r="EN7" s="125" t="e">
        <f>(VLOOKUP($X$2,tblSubFund6[[#All],[Date]:[NAV]],7,FALSE)-EM7)/VLOOKUP($X$2,tblSubFund6[[#All],[Date]:[NAV]],7,FALSE)%</f>
        <v>#N/A</v>
      </c>
      <c r="EO7" s="125" t="e">
        <f>VLOOKUP($Z7,tblBenchmarkSub6[#All],2,FALSE)</f>
        <v>#N/A</v>
      </c>
      <c r="EP7" s="135" t="e">
        <f>(VLOOKUP($X$2,tblBenchmarkSub6[[#All],[Date]:[BMValue]],3,FALSE)-EO7)/VLOOKUP($X$2,tblBenchmarkSub6[[#All],[Date]:[BMValue]],3,FALSE)%</f>
        <v>#N/A</v>
      </c>
    </row>
    <row r="8" spans="2:146">
      <c r="F8" s="104">
        <v>42582</v>
      </c>
      <c r="G8">
        <v>2.1804275612000001</v>
      </c>
      <c r="H8">
        <v>2.1804275612000001</v>
      </c>
      <c r="L8">
        <v>26560078.440000001</v>
      </c>
      <c r="M8">
        <v>579122.79</v>
      </c>
      <c r="O8" t="s">
        <v>158</v>
      </c>
      <c r="X8" s="60" t="s">
        <v>237</v>
      </c>
      <c r="Y8" s="125">
        <v>-24</v>
      </c>
      <c r="Z8" s="117">
        <f t="shared" si="0"/>
        <v>42155</v>
      </c>
      <c r="AA8" s="125" t="e">
        <f>VLOOKUP($Z8,tblReturnsForSelectedFund[#All],7,FALSE)</f>
        <v>#N/A</v>
      </c>
      <c r="AB8" s="125" t="e">
        <f>(AA8/VLOOKUP($X$2,tblReturnsForSelectedFund[[#All],[Date]:[NAV]],7,FALSE))/AA8%</f>
        <v>#N/A</v>
      </c>
      <c r="AC8" s="125" t="e">
        <f>VLOOKUP(Z8,tblBenchmarksForSelectedFund[#All],3,FALSE)</f>
        <v>#N/A</v>
      </c>
      <c r="AD8" s="119" t="e">
        <f>(VLOOKUP($X$2,tblBenchmarksForSelectedFund[[#All],[Date]:[BMValue]],3,FALSE)-AC8)/VLOOKUP($X$2,tblBenchmarksForSelectedFund[[#All],[Date]:[BMValue]],3,FALSE)%</f>
        <v>#N/A</v>
      </c>
      <c r="AH8" s="104">
        <v>42674</v>
      </c>
      <c r="AI8">
        <v>-17.035538033200002</v>
      </c>
      <c r="AJ8">
        <v>-17.035538033200002</v>
      </c>
      <c r="AN8">
        <v>46437554.130000003</v>
      </c>
      <c r="AO8">
        <v>-8027526.9800000004</v>
      </c>
      <c r="AP8" t="s">
        <v>234</v>
      </c>
      <c r="AQ8" t="s">
        <v>158</v>
      </c>
      <c r="AV8" s="118" t="e">
        <f>VLOOKUP($Z8,tblSubFund1[#All],7,FALSE)</f>
        <v>#N/A</v>
      </c>
      <c r="AW8" s="125" t="e">
        <f>(VLOOKUP($X$2,tblSubFund1[[#All],[Date]:[NAV]],7,FALSE)-AV8)/VLOOKUP($X$2,tblSubFund1[[#All],[Date]:[NAV]],7,FALSE)%</f>
        <v>#N/A</v>
      </c>
      <c r="AX8" s="125" t="e">
        <f>VLOOKUP($Z8,tblBenchmarkSub1[#All],2,FALSE)</f>
        <v>#N/A</v>
      </c>
      <c r="AY8" s="119" t="e">
        <f>(VLOOKUP($X$2,tblBenchmarkSub1[[#All],[Date]:[BMValue]],3,FALSE)-AX8)/VLOOKUP($X$2,tblBenchmarkSub1[[#All],[Date]:[BMValue]],3,FALSE)%</f>
        <v>#N/A</v>
      </c>
      <c r="BA8" s="104">
        <v>42674</v>
      </c>
      <c r="BB8">
        <v>9.5651942999999996E-3</v>
      </c>
      <c r="BC8">
        <v>9.5651942999999996E-3</v>
      </c>
      <c r="BG8">
        <v>31763634.300000001</v>
      </c>
      <c r="BI8" t="s">
        <v>234</v>
      </c>
      <c r="BJ8" t="s">
        <v>158</v>
      </c>
      <c r="BO8" s="118" t="e">
        <f>VLOOKUP($Z8,tblSubFund2[#All],7,FALSE)</f>
        <v>#N/A</v>
      </c>
      <c r="BP8" s="125" t="e">
        <f>(VLOOKUP($X$2,tblSubFund2[[#All],[Date]:[NAV]],7,FALSE)-BO8)/VLOOKUP($X$2,tblSubFund2[[#All],[Date]:[NAV]],7,FALSE)%</f>
        <v>#N/A</v>
      </c>
      <c r="BQ8" s="125" t="e">
        <f>VLOOKUP($Z8,tblBenchmarkSub2[#All],3,FALSE)</f>
        <v>#N/A</v>
      </c>
      <c r="BR8" s="119" t="e">
        <f>(VLOOKUP($X$2,tblBenchmarkSub2[[#All],[Date]:[BMValue]],3,FALSE)-BQ8)/VLOOKUP($X$2,tblBenchmarkSub2[[#All],[Date]:[BMValue]],3,FALSE)%</f>
        <v>#N/A</v>
      </c>
      <c r="CH8" s="118" t="e">
        <f>VLOOKUP($Z8,tblSubFund3[#All],2,FALSE)</f>
        <v>#N/A</v>
      </c>
      <c r="CI8" s="125" t="e">
        <f>(VLOOKUP($X$2,tblSubFund3[[#All],[Date]:[NAV]],7,FALSE)-CH8)/VLOOKUP($X$2,tblSubFund3[[#All],[Date]:[NAV]],7,FALSE)%</f>
        <v>#N/A</v>
      </c>
      <c r="CJ8" s="125" t="e">
        <f>VLOOKUP($Z8,tblBenchmarkSub3[#All],2,FALSE)</f>
        <v>#N/A</v>
      </c>
      <c r="CK8" s="119" t="e">
        <f>(VLOOKUP($X$2,tblBenchmarkSub3[[#All],[Date]:[BMValue]],3,FALSE)-CJ8)/VLOOKUP($X$2,tblBenchmarkSub3[[#All],[Date]:[BMValue]],3,FALSE)%</f>
        <v>#N/A</v>
      </c>
      <c r="DA8" s="134" t="e">
        <f>VLOOKUP($Z8,tblSubFund4[#All],2,FALSE)</f>
        <v>#N/A</v>
      </c>
      <c r="DB8" s="125" t="e">
        <f>(VLOOKUP($X$2,tblSubFund4[[#All],[Date]:[NAV]],7,FALSE)-DA8)/VLOOKUP($X$2,tblSubFund4[[#All],[Date]:[NAV]],7,FALSE)%</f>
        <v>#N/A</v>
      </c>
      <c r="DC8" s="125" t="e">
        <f>VLOOKUP($Z8,tblBenchmarkSub4[#All],2,FALSE)</f>
        <v>#N/A</v>
      </c>
      <c r="DD8" s="135" t="e">
        <f>(VLOOKUP($X$2,tblBenchmarkSub4[[#All],[Date]:[BMValue]],3,FALSE)-DC8)/VLOOKUP($X$2,tblBenchmarkSub4[[#All],[Date]:[BMValue]],3,FALSE)%</f>
        <v>#N/A</v>
      </c>
      <c r="DT8" s="134" t="e">
        <f>VLOOKUP($Z8,tblSubFund5[#All],2,FALSE)</f>
        <v>#N/A</v>
      </c>
      <c r="DU8" s="125" t="e">
        <f>(VLOOKUP($X$2,tblSubFund5[[#All],[Date]:[NAV]],7,FALSE)-DT8)/VLOOKUP($X$2,tblSubFund5[[#All],[Date]:[NAV]],7,FALSE)%</f>
        <v>#N/A</v>
      </c>
      <c r="DV8" s="125" t="e">
        <f>VLOOKUP($Z8,tblBenchmarkSub5[#All],2,FALSE)</f>
        <v>#N/A</v>
      </c>
      <c r="DW8" s="135" t="e">
        <f>(VLOOKUP($X$2,tblBenchmarkSub5[[#All],[Date]:[BMValue]],3,FALSE)-DV8)/VLOOKUP($X$2,tblBenchmarkSub5[[#All],[Date]:[BMValue]],3,FALSE)%</f>
        <v>#N/A</v>
      </c>
      <c r="EM8" s="134" t="e">
        <f>VLOOKUP($Z8,tblSubFund6[#All],2,FALSE)</f>
        <v>#N/A</v>
      </c>
      <c r="EN8" s="125" t="e">
        <f>(VLOOKUP($X$2,tblSubFund6[[#All],[Date]:[NAV]],7,FALSE)-EM8)/VLOOKUP($X$2,tblSubFund6[[#All],[Date]:[NAV]],7,FALSE)%</f>
        <v>#N/A</v>
      </c>
      <c r="EO8" s="125" t="e">
        <f>VLOOKUP($Z8,tblBenchmarkSub6[#All],2,FALSE)</f>
        <v>#N/A</v>
      </c>
      <c r="EP8" s="135" t="e">
        <f>(VLOOKUP($X$2,tblBenchmarkSub6[[#All],[Date]:[BMValue]],3,FALSE)-EO8)/VLOOKUP($X$2,tblBenchmarkSub6[[#All],[Date]:[BMValue]],3,FALSE)%</f>
        <v>#N/A</v>
      </c>
    </row>
    <row r="9" spans="2:146">
      <c r="F9" s="104">
        <v>42613</v>
      </c>
      <c r="G9">
        <v>0.77311382719999999</v>
      </c>
      <c r="H9">
        <v>0.77311382719999999</v>
      </c>
      <c r="L9">
        <v>27139048.949999999</v>
      </c>
      <c r="M9">
        <v>209815.74</v>
      </c>
      <c r="O9" t="s">
        <v>158</v>
      </c>
      <c r="X9" s="60" t="s">
        <v>238</v>
      </c>
      <c r="Y9" s="125"/>
      <c r="Z9" s="117"/>
      <c r="AA9" s="117"/>
      <c r="AB9" s="110" t="e">
        <f>((((AB$8/100)+1)^0.5)-1)*100</f>
        <v>#N/A</v>
      </c>
      <c r="AC9" s="103" t="e">
        <f>((((AC8/100)+1)^0.5)-1)*100</f>
        <v>#N/A</v>
      </c>
      <c r="AD9" s="126" t="e">
        <f>((((AD$8/100)+1)^0.5)-1)*100</f>
        <v>#N/A</v>
      </c>
      <c r="AE9" s="117"/>
      <c r="AH9" s="104">
        <v>42704</v>
      </c>
      <c r="AI9">
        <v>-4.4003691208999998</v>
      </c>
      <c r="AJ9">
        <v>-4.4003691208999998</v>
      </c>
      <c r="AN9">
        <v>36410000.159999996</v>
      </c>
      <c r="AO9">
        <v>-1602174.16</v>
      </c>
      <c r="AP9" t="s">
        <v>234</v>
      </c>
      <c r="AQ9" t="s">
        <v>158</v>
      </c>
      <c r="AV9" s="129" t="e">
        <f>((((AV8/100)+1)^0.5)-1)*100</f>
        <v>#N/A</v>
      </c>
      <c r="AW9" s="129" t="e">
        <f>((((AW8/100)+1)^0.5)-1)*100</f>
        <v>#N/A</v>
      </c>
      <c r="AX9" s="129" t="e">
        <f>((((AX8/100)+1)^0.5)-1)*100</f>
        <v>#N/A</v>
      </c>
      <c r="AY9" s="130" t="e">
        <f>((((AY8/100)+1)^0.5)-1)*100</f>
        <v>#N/A</v>
      </c>
      <c r="BA9" s="104">
        <v>42704</v>
      </c>
      <c r="BB9">
        <v>4.2076888200000002E-2</v>
      </c>
      <c r="BC9">
        <v>4.2076888200000002E-2</v>
      </c>
      <c r="BG9">
        <v>31766631</v>
      </c>
      <c r="BI9" t="s">
        <v>234</v>
      </c>
      <c r="BJ9" t="s">
        <v>158</v>
      </c>
      <c r="BO9" s="129" t="e">
        <f>((((BO8/100)+1)^0.5)-1)*100</f>
        <v>#N/A</v>
      </c>
      <c r="BP9" s="110" t="e">
        <f>((((BP8/100)+1)^0.5)-1)*100</f>
        <v>#N/A</v>
      </c>
      <c r="BQ9" s="110" t="e">
        <f>((((BQ8/100)+1)^0.5)-1)*100</f>
        <v>#N/A</v>
      </c>
      <c r="BR9" s="126" t="e">
        <f>((((BR8/100)+1)^0.5)-1)*100</f>
        <v>#N/A</v>
      </c>
      <c r="CH9" s="129" t="e">
        <f>((((CH8/100)+1)^0.5)-1)*100</f>
        <v>#N/A</v>
      </c>
      <c r="CI9" s="110" t="e">
        <f t="shared" ref="CI9:CK9" si="1">((((CI8/100)+1)^0.5)-1)*100</f>
        <v>#N/A</v>
      </c>
      <c r="CJ9" s="110" t="e">
        <f t="shared" si="1"/>
        <v>#N/A</v>
      </c>
      <c r="CK9" s="126" t="e">
        <f t="shared" si="1"/>
        <v>#N/A</v>
      </c>
      <c r="DA9" s="136" t="e">
        <f>((((DA8/100)+1)^0.5)-1)*100</f>
        <v>#N/A</v>
      </c>
      <c r="DB9" s="110" t="e">
        <f t="shared" ref="DB9:DD9" si="2">((((DB8/100)+1)^0.5)-1)*100</f>
        <v>#N/A</v>
      </c>
      <c r="DC9" s="110" t="e">
        <f t="shared" si="2"/>
        <v>#N/A</v>
      </c>
      <c r="DD9" s="137" t="e">
        <f t="shared" si="2"/>
        <v>#N/A</v>
      </c>
      <c r="DT9" s="136" t="e">
        <f>((((DT8/100)+1)^0.5)-1)*100</f>
        <v>#N/A</v>
      </c>
      <c r="DU9" s="110" t="e">
        <f t="shared" ref="DU9:DW9" si="3">((((DU8/100)+1)^0.5)-1)*100</f>
        <v>#N/A</v>
      </c>
      <c r="DV9" s="110" t="e">
        <f t="shared" si="3"/>
        <v>#N/A</v>
      </c>
      <c r="DW9" s="137" t="e">
        <f t="shared" si="3"/>
        <v>#N/A</v>
      </c>
      <c r="EM9" s="136" t="e">
        <f>((((EM8/100)+1)^0.5)-1)*100</f>
        <v>#N/A</v>
      </c>
      <c r="EN9" s="110" t="e">
        <f t="shared" ref="EN9:EP9" si="4">((((EN8/100)+1)^0.5)-1)*100</f>
        <v>#N/A</v>
      </c>
      <c r="EO9" s="110" t="e">
        <f t="shared" si="4"/>
        <v>#N/A</v>
      </c>
      <c r="EP9" s="137" t="e">
        <f t="shared" si="4"/>
        <v>#N/A</v>
      </c>
    </row>
    <row r="10" spans="2:146">
      <c r="F10" s="104">
        <v>42643</v>
      </c>
      <c r="G10">
        <v>-0.26207888629999998</v>
      </c>
      <c r="H10">
        <v>-0.26207888629999998</v>
      </c>
      <c r="L10">
        <v>27348864.690000001</v>
      </c>
      <c r="M10">
        <v>-71675.600000000006</v>
      </c>
      <c r="O10" t="s">
        <v>158</v>
      </c>
      <c r="X10" s="60" t="s">
        <v>179</v>
      </c>
      <c r="Y10" s="125">
        <v>-36</v>
      </c>
      <c r="Z10" s="117">
        <f t="shared" si="0"/>
        <v>41790</v>
      </c>
      <c r="AA10" s="125" t="e">
        <f>VLOOKUP($Z10,tblReturnsForSelectedFund[#All],7,FALSE)</f>
        <v>#N/A</v>
      </c>
      <c r="AB10" s="125" t="e">
        <f>(AA10/VLOOKUP($X$2,tblReturnsForSelectedFund[[#All],[Date]:[NAV]],7,FALSE))/AA10%</f>
        <v>#N/A</v>
      </c>
      <c r="AC10" s="125" t="e">
        <f>VLOOKUP(Z10,tblBenchmarksForSelectedFund[#All],3,FALSE)</f>
        <v>#N/A</v>
      </c>
      <c r="AD10" s="119" t="e">
        <f>(VLOOKUP($X$2,tblBenchmarksForSelectedFund[[#All],[Date]:[BMValue]],3,FALSE)-AC10)/VLOOKUP($X$2,tblBenchmarksForSelectedFund[[#All],[Date]:[BMValue]],3,FALSE)%</f>
        <v>#N/A</v>
      </c>
      <c r="AH10" s="104">
        <v>42735</v>
      </c>
      <c r="AI10">
        <v>-34.391352400300001</v>
      </c>
      <c r="AJ10">
        <v>-34.391352400300001</v>
      </c>
      <c r="AN10">
        <v>34807820</v>
      </c>
      <c r="AO10">
        <v>-8684964.6899999995</v>
      </c>
      <c r="AP10" t="s">
        <v>234</v>
      </c>
      <c r="AQ10" t="s">
        <v>158</v>
      </c>
      <c r="AV10" s="118" t="e">
        <f>VLOOKUP($Z10,tblSubFund1[#All],7,FALSE)</f>
        <v>#N/A</v>
      </c>
      <c r="AW10" s="125" t="e">
        <f>(VLOOKUP($X$2,tblSubFund1[[#All],[Date]:[NAV]],7,FALSE)-AV10)/VLOOKUP($X$2,tblSubFund1[[#All],[Date]:[NAV]],7,FALSE)%</f>
        <v>#N/A</v>
      </c>
      <c r="AX10" s="125" t="e">
        <f>VLOOKUP($Z10,tblBenchmarkSub1[#All],2,FALSE)</f>
        <v>#N/A</v>
      </c>
      <c r="AY10" s="119" t="e">
        <f>(VLOOKUP($X$2,tblBenchmarkSub1[[#All],[Date]:[BMValue]],3,FALSE)-AX10)/VLOOKUP($X$2,tblBenchmarkSub1[[#All],[Date]:[BMValue]],3,FALSE)%</f>
        <v>#N/A</v>
      </c>
      <c r="BA10" s="104">
        <v>42735</v>
      </c>
      <c r="BB10">
        <v>8.2709085999999998E-3</v>
      </c>
      <c r="BC10">
        <v>8.2709085999999998E-3</v>
      </c>
      <c r="BG10">
        <v>31779871.48</v>
      </c>
      <c r="BI10" t="s">
        <v>234</v>
      </c>
      <c r="BJ10" t="s">
        <v>158</v>
      </c>
      <c r="BO10" s="118" t="e">
        <f>VLOOKUP($Z10,tblSubFund2[#All],7,FALSE)</f>
        <v>#N/A</v>
      </c>
      <c r="BP10" s="125" t="e">
        <f>(VLOOKUP($X$2,tblSubFund2[[#All],[Date]:[NAV]],7,FALSE)-BO10)/VLOOKUP($X$2,tblSubFund2[[#All],[Date]:[NAV]],7,FALSE)%</f>
        <v>#N/A</v>
      </c>
      <c r="BQ10" s="125" t="e">
        <f>VLOOKUP($Z10,tblBenchmarkSub2[#All],3,FALSE)</f>
        <v>#N/A</v>
      </c>
      <c r="BR10" s="119" t="e">
        <f>(VLOOKUP($X$2,tblBenchmarkSub2[[#All],[Date]:[BMValue]],3,FALSE)-BQ10)/VLOOKUP($X$2,tblBenchmarkSub2[[#All],[Date]:[BMValue]],3,FALSE)%</f>
        <v>#N/A</v>
      </c>
      <c r="CH10" s="118" t="e">
        <f>VLOOKUP($Z10,tblSubFund3[#All],2,FALSE)</f>
        <v>#N/A</v>
      </c>
      <c r="CI10" s="125" t="e">
        <f>(VLOOKUP($X$2,tblSubFund3[[#All],[Date]:[NAV]],7,FALSE)-CH10)/VLOOKUP($X$2,tblSubFund3[[#All],[Date]:[NAV]],7,FALSE)%</f>
        <v>#N/A</v>
      </c>
      <c r="CJ10" s="125" t="e">
        <f>VLOOKUP($Z10,tblBenchmarkSub3[#All],2,FALSE)</f>
        <v>#N/A</v>
      </c>
      <c r="CK10" s="119" t="e">
        <f>(VLOOKUP($X$2,tblBenchmarkSub3[[#All],[Date]:[BMValue]],3,FALSE)-CJ10)/VLOOKUP($X$2,tblBenchmarkSub3[[#All],[Date]:[BMValue]],3,FALSE)%</f>
        <v>#N/A</v>
      </c>
      <c r="DA10" s="134" t="e">
        <f>VLOOKUP($Z10,tblSubFund4[#All],2,FALSE)</f>
        <v>#N/A</v>
      </c>
      <c r="DB10" s="125" t="e">
        <f>(VLOOKUP($X$2,tblSubFund4[[#All],[Date]:[NAV]],7,FALSE)-DA10)/VLOOKUP($X$2,tblSubFund4[[#All],[Date]:[NAV]],7,FALSE)%</f>
        <v>#N/A</v>
      </c>
      <c r="DC10" s="125" t="e">
        <f>VLOOKUP($Z10,tblBenchmarkSub4[#All],2,FALSE)</f>
        <v>#N/A</v>
      </c>
      <c r="DD10" s="135" t="e">
        <f>(VLOOKUP($X$2,tblBenchmarkSub4[[#All],[Date]:[BMValue]],3,FALSE)-DC10)/VLOOKUP($X$2,tblBenchmarkSub4[[#All],[Date]:[BMValue]],3,FALSE)%</f>
        <v>#N/A</v>
      </c>
      <c r="DT10" s="134" t="e">
        <f>VLOOKUP($Z10,tblSubFund5[#All],2,FALSE)</f>
        <v>#N/A</v>
      </c>
      <c r="DU10" s="125" t="e">
        <f>(VLOOKUP($X$2,tblSubFund5[[#All],[Date]:[NAV]],7,FALSE)-DT10)/VLOOKUP($X$2,tblSubFund5[[#All],[Date]:[NAV]],7,FALSE)%</f>
        <v>#N/A</v>
      </c>
      <c r="DV10" s="125" t="e">
        <f>VLOOKUP($Z10,tblBenchmarkSub5[#All],2,FALSE)</f>
        <v>#N/A</v>
      </c>
      <c r="DW10" s="135" t="e">
        <f>(VLOOKUP($X$2,tblBenchmarkSub5[[#All],[Date]:[BMValue]],3,FALSE)-DV10)/VLOOKUP($X$2,tblBenchmarkSub5[[#All],[Date]:[BMValue]],3,FALSE)%</f>
        <v>#N/A</v>
      </c>
      <c r="EM10" s="134" t="e">
        <f>VLOOKUP($Z10,tblSubFund6[#All],2,FALSE)</f>
        <v>#N/A</v>
      </c>
      <c r="EN10" s="125" t="e">
        <f>(VLOOKUP($X$2,tblSubFund6[[#All],[Date]:[NAV]],7,FALSE)-EM10)/VLOOKUP($X$2,tblSubFund6[[#All],[Date]:[NAV]],7,FALSE)%</f>
        <v>#N/A</v>
      </c>
      <c r="EO10" s="125" t="e">
        <f>VLOOKUP($Z10,tblBenchmarkSub6[#All],2,FALSE)</f>
        <v>#N/A</v>
      </c>
      <c r="EP10" s="135" t="e">
        <f>(VLOOKUP($X$2,tblBenchmarkSub6[[#All],[Date]:[BMValue]],3,FALSE)-EO10)/VLOOKUP($X$2,tblBenchmarkSub6[[#All],[Date]:[BMValue]],3,FALSE)%</f>
        <v>#N/A</v>
      </c>
    </row>
    <row r="11" spans="2:146">
      <c r="F11" s="104">
        <v>42674</v>
      </c>
      <c r="G11">
        <v>19.3084136292</v>
      </c>
      <c r="H11">
        <v>19.3084136292</v>
      </c>
      <c r="L11">
        <v>27277189.09</v>
      </c>
      <c r="M11">
        <v>31.99</v>
      </c>
      <c r="O11" t="s">
        <v>158</v>
      </c>
      <c r="X11" s="60" t="s">
        <v>180</v>
      </c>
      <c r="Y11" s="125"/>
      <c r="Z11" s="117"/>
      <c r="AA11" s="117"/>
      <c r="AB11" s="110" t="e">
        <f>((((AB10/100)+1)^0.5)-1)*100</f>
        <v>#N/A</v>
      </c>
      <c r="AC11" s="103" t="e">
        <f>((((AC10/100)+1)^0.5)-1)*100</f>
        <v>#N/A</v>
      </c>
      <c r="AD11" s="126" t="e">
        <f>((((AD10/100)+1)^0.5)-1)*100</f>
        <v>#N/A</v>
      </c>
      <c r="AE11" s="117"/>
      <c r="AH11" s="104">
        <v>42766</v>
      </c>
      <c r="AI11">
        <v>-25.772298086100001</v>
      </c>
      <c r="AJ11">
        <v>-25.772298086100001</v>
      </c>
      <c r="AN11">
        <v>24767353.309999999</v>
      </c>
      <c r="AO11">
        <v>-6585613.5</v>
      </c>
      <c r="AP11" t="s">
        <v>234</v>
      </c>
      <c r="AQ11" t="s">
        <v>158</v>
      </c>
      <c r="AV11" s="129" t="e">
        <f>((((AV10/100)+1)^0.5)-1)*100</f>
        <v>#N/A</v>
      </c>
      <c r="AW11" s="129" t="e">
        <f>((((AW10/100)+1)^0.5)-1)*100</f>
        <v>#N/A</v>
      </c>
      <c r="AX11" s="129" t="e">
        <f>((((AX10/100)+1)^0.5)-1)*100</f>
        <v>#N/A</v>
      </c>
      <c r="AY11" s="130" t="e">
        <f>((((AY10/100)+1)^0.5)-1)*100</f>
        <v>#N/A</v>
      </c>
      <c r="BA11" s="104">
        <v>42766</v>
      </c>
      <c r="BB11">
        <v>1.7251056599999998E-2</v>
      </c>
      <c r="BC11">
        <v>1.7251056599999998E-2</v>
      </c>
      <c r="BG11">
        <v>31782455.379999999</v>
      </c>
      <c r="BI11" t="s">
        <v>234</v>
      </c>
      <c r="BJ11" t="s">
        <v>158</v>
      </c>
      <c r="BO11" s="129" t="e">
        <f>((((BO10/100)+1)^0.5)-1)*100</f>
        <v>#N/A</v>
      </c>
      <c r="BP11" s="110" t="e">
        <f t="shared" ref="BP11:BR11" si="5">((((BP10/100)+1)^0.5)-1)*100</f>
        <v>#N/A</v>
      </c>
      <c r="BQ11" s="110" t="e">
        <f t="shared" si="5"/>
        <v>#N/A</v>
      </c>
      <c r="BR11" s="126" t="e">
        <f t="shared" si="5"/>
        <v>#N/A</v>
      </c>
      <c r="CH11" s="129" t="e">
        <f>((((CH10/100)+1)^0.5)-1)*100</f>
        <v>#N/A</v>
      </c>
      <c r="CI11" s="110" t="e">
        <f t="shared" ref="CI11:CK11" si="6">((((CI10/100)+1)^0.5)-1)*100</f>
        <v>#N/A</v>
      </c>
      <c r="CJ11" s="110" t="e">
        <f t="shared" si="6"/>
        <v>#N/A</v>
      </c>
      <c r="CK11" s="126" t="e">
        <f t="shared" si="6"/>
        <v>#N/A</v>
      </c>
      <c r="DA11" s="136" t="e">
        <f>((((DA10/100)+1)^0.5)-1)*100</f>
        <v>#N/A</v>
      </c>
      <c r="DB11" s="110" t="e">
        <f t="shared" ref="DB11:DD11" si="7">((((DB10/100)+1)^0.5)-1)*100</f>
        <v>#N/A</v>
      </c>
      <c r="DC11" s="110" t="e">
        <f t="shared" si="7"/>
        <v>#N/A</v>
      </c>
      <c r="DD11" s="137" t="e">
        <f t="shared" si="7"/>
        <v>#N/A</v>
      </c>
      <c r="DT11" s="136" t="e">
        <f>((((DT10/100)+1)^0.5)-1)*100</f>
        <v>#N/A</v>
      </c>
      <c r="DU11" s="110" t="e">
        <f t="shared" ref="DU11:DW11" si="8">((((DU10/100)+1)^0.5)-1)*100</f>
        <v>#N/A</v>
      </c>
      <c r="DV11" s="110" t="e">
        <f t="shared" si="8"/>
        <v>#N/A</v>
      </c>
      <c r="DW11" s="137" t="e">
        <f t="shared" si="8"/>
        <v>#N/A</v>
      </c>
      <c r="EM11" s="136" t="e">
        <f>((((EM10/100)+1)^0.5)-1)*100</f>
        <v>#N/A</v>
      </c>
      <c r="EN11" s="110" t="e">
        <f t="shared" ref="EN11:EP11" si="9">((((EN10/100)+1)^0.5)-1)*100</f>
        <v>#N/A</v>
      </c>
      <c r="EO11" s="110" t="e">
        <f t="shared" si="9"/>
        <v>#N/A</v>
      </c>
      <c r="EP11" s="137" t="e">
        <f t="shared" si="9"/>
        <v>#N/A</v>
      </c>
    </row>
    <row r="12" spans="2:146">
      <c r="F12" s="104">
        <v>42704</v>
      </c>
      <c r="G12">
        <v>-9.2877619499999994E-2</v>
      </c>
      <c r="H12">
        <v>-9.2877619499999994E-2</v>
      </c>
      <c r="L12">
        <v>144.02000000000001</v>
      </c>
      <c r="M12">
        <v>-89372.11</v>
      </c>
      <c r="O12" t="s">
        <v>158</v>
      </c>
      <c r="X12" s="60" t="s">
        <v>239</v>
      </c>
      <c r="Y12" s="125">
        <v>-48</v>
      </c>
      <c r="Z12" s="117">
        <f t="shared" si="0"/>
        <v>41425</v>
      </c>
      <c r="AA12" s="125" t="e">
        <f>VLOOKUP($Z12,tblReturnsForSelectedFund[#All],7,FALSE)</f>
        <v>#N/A</v>
      </c>
      <c r="AB12" s="125" t="e">
        <f>(AA12/VLOOKUP($X$2,tblReturnsForSelectedFund[[#All],[Date]:[NAV]],7,FALSE))/AA12%</f>
        <v>#N/A</v>
      </c>
      <c r="AC12" s="125" t="e">
        <f>VLOOKUP(Z12,tblBenchmarksForSelectedFund[#All],3,FALSE)</f>
        <v>#N/A</v>
      </c>
      <c r="AD12" s="119" t="e">
        <f>(VLOOKUP($X$2,tblBenchmarksForSelectedFund[[#All],[Date]:[BMValue]],3,FALSE)-AC12)/VLOOKUP($X$2,tblBenchmarksForSelectedFund[[#All],[Date]:[BMValue]],3,FALSE)%</f>
        <v>#N/A</v>
      </c>
      <c r="AH12" s="104">
        <v>42794</v>
      </c>
      <c r="AI12">
        <v>-26.386222821899999</v>
      </c>
      <c r="AJ12">
        <v>-26.386222821899999</v>
      </c>
      <c r="AN12">
        <v>22181745.690000001</v>
      </c>
      <c r="AO12">
        <v>-6017763.3300000001</v>
      </c>
      <c r="AP12" t="s">
        <v>234</v>
      </c>
      <c r="AQ12" t="s">
        <v>158</v>
      </c>
      <c r="AV12" s="118" t="e">
        <f>VLOOKUP($Z12,tblSubFund1[#All],7,FALSE)</f>
        <v>#N/A</v>
      </c>
      <c r="AW12" s="125" t="e">
        <f>(VLOOKUP($X$2,tblSubFund1[[#All],[Date]:[NAV]],7,FALSE)-AV12)/VLOOKUP($X$2,tblSubFund1[[#All],[Date]:[NAV]],7,FALSE)%</f>
        <v>#N/A</v>
      </c>
      <c r="AX12" s="125" t="e">
        <f>VLOOKUP($Z12,tblBenchmarkSub1[#All],2,FALSE)</f>
        <v>#N/A</v>
      </c>
      <c r="AY12" s="119" t="e">
        <f>(VLOOKUP($X$2,tblBenchmarkSub1[[#All],[Date]:[BMValue]],3,FALSE)-AX12)/VLOOKUP($X$2,tblBenchmarkSub1[[#All],[Date]:[BMValue]],3,FALSE)%</f>
        <v>#N/A</v>
      </c>
      <c r="BA12" s="104">
        <v>42794</v>
      </c>
      <c r="BB12">
        <v>9.1149999999999998E-7</v>
      </c>
      <c r="BC12">
        <v>9.1149999999999998E-7</v>
      </c>
      <c r="BG12">
        <v>31814939.920000002</v>
      </c>
      <c r="BI12" t="s">
        <v>234</v>
      </c>
      <c r="BJ12" t="s">
        <v>158</v>
      </c>
      <c r="BO12" s="118" t="e">
        <f>VLOOKUP($Z12,tblSubFund2[#All],7,FALSE)</f>
        <v>#N/A</v>
      </c>
      <c r="BP12" s="125" t="e">
        <f>(VLOOKUP($X$2,tblSubFund2[[#All],[Date]:[NAV]],7,FALSE)-BO12)/VLOOKUP($X$2,tblSubFund2[[#All],[Date]:[NAV]],7,FALSE)%</f>
        <v>#N/A</v>
      </c>
      <c r="BQ12" s="125" t="e">
        <f>VLOOKUP($Z12,tblBenchmarkSub2[#All],3,FALSE)</f>
        <v>#N/A</v>
      </c>
      <c r="BR12" s="119" t="e">
        <f>(VLOOKUP($X$2,tblBenchmarkSub2[[#All],[Date]:[BMValue]],3,FALSE)-BQ12)/VLOOKUP($X$2,tblBenchmarkSub2[[#All],[Date]:[BMValue]],3,FALSE)%</f>
        <v>#N/A</v>
      </c>
      <c r="CH12" s="118" t="e">
        <f>VLOOKUP($Z12,tblSubFund3[#All],2,FALSE)</f>
        <v>#N/A</v>
      </c>
      <c r="CI12" s="125" t="e">
        <f>(VLOOKUP($X$2,tblSubFund3[[#All],[Date]:[NAV]],7,FALSE)-CH12)/VLOOKUP($X$2,tblSubFund3[[#All],[Date]:[NAV]],7,FALSE)%</f>
        <v>#N/A</v>
      </c>
      <c r="CJ12" s="125" t="e">
        <f>VLOOKUP($Z12,tblBenchmarkSub3[#All],2,FALSE)</f>
        <v>#N/A</v>
      </c>
      <c r="CK12" s="119" t="e">
        <f>(VLOOKUP($X$2,tblBenchmarkSub3[[#All],[Date]:[BMValue]],3,FALSE)-CJ12)/VLOOKUP($X$2,tblBenchmarkSub3[[#All],[Date]:[BMValue]],3,FALSE)%</f>
        <v>#N/A</v>
      </c>
      <c r="DA12" s="134" t="e">
        <f>VLOOKUP($Z12,tblSubFund4[#All],2,FALSE)</f>
        <v>#N/A</v>
      </c>
      <c r="DB12" s="125" t="e">
        <f>(VLOOKUP($X$2,tblSubFund4[[#All],[Date]:[NAV]],7,FALSE)-DA12)/VLOOKUP($X$2,tblSubFund4[[#All],[Date]:[NAV]],7,FALSE)%</f>
        <v>#N/A</v>
      </c>
      <c r="DC12" s="125" t="e">
        <f>VLOOKUP($Z12,tblBenchmarkSub4[#All],2,FALSE)</f>
        <v>#N/A</v>
      </c>
      <c r="DD12" s="135" t="e">
        <f>(VLOOKUP($X$2,tblBenchmarkSub4[[#All],[Date]:[BMValue]],3,FALSE)-DC12)/VLOOKUP($X$2,tblBenchmarkSub4[[#All],[Date]:[BMValue]],3,FALSE)%</f>
        <v>#N/A</v>
      </c>
      <c r="DT12" s="134" t="e">
        <f>VLOOKUP($Z12,tblSubFund5[#All],2,FALSE)</f>
        <v>#N/A</v>
      </c>
      <c r="DU12" s="125" t="e">
        <f>(VLOOKUP($X$2,tblSubFund5[[#All],[Date]:[NAV]],7,FALSE)-DT12)/VLOOKUP($X$2,tblSubFund5[[#All],[Date]:[NAV]],7,FALSE)%</f>
        <v>#N/A</v>
      </c>
      <c r="DV12" s="125" t="e">
        <f>VLOOKUP($Z12,tblBenchmarkSub5[#All],2,FALSE)</f>
        <v>#N/A</v>
      </c>
      <c r="DW12" s="135" t="e">
        <f>(VLOOKUP($X$2,tblBenchmarkSub5[[#All],[Date]:[BMValue]],3,FALSE)-DV12)/VLOOKUP($X$2,tblBenchmarkSub5[[#All],[Date]:[BMValue]],3,FALSE)%</f>
        <v>#N/A</v>
      </c>
      <c r="EM12" s="134" t="e">
        <f>VLOOKUP($Z12,tblSubFund6[#All],2,FALSE)</f>
        <v>#N/A</v>
      </c>
      <c r="EN12" s="125" t="e">
        <f>(VLOOKUP($X$2,tblSubFund6[[#All],[Date]:[NAV]],7,FALSE)-EM12)/VLOOKUP($X$2,tblSubFund6[[#All],[Date]:[NAV]],7,FALSE)%</f>
        <v>#N/A</v>
      </c>
      <c r="EO12" s="125" t="e">
        <f>VLOOKUP($Z12,tblBenchmarkSub6[#All],2,FALSE)</f>
        <v>#N/A</v>
      </c>
      <c r="EP12" s="135" t="e">
        <f>(VLOOKUP($X$2,tblBenchmarkSub6[[#All],[Date]:[BMValue]],3,FALSE)-EO12)/VLOOKUP($X$2,tblBenchmarkSub6[[#All],[Date]:[BMValue]],3,FALSE)%</f>
        <v>#N/A</v>
      </c>
    </row>
    <row r="13" spans="2:146">
      <c r="F13" s="104">
        <v>42766</v>
      </c>
      <c r="G13">
        <v>1.7561093717</v>
      </c>
      <c r="H13">
        <v>1.7561093717</v>
      </c>
      <c r="L13">
        <v>94416673.400000006</v>
      </c>
      <c r="M13">
        <v>1658059.97</v>
      </c>
      <c r="O13" t="s">
        <v>158</v>
      </c>
      <c r="X13" s="60" t="s">
        <v>213</v>
      </c>
      <c r="Y13" s="125"/>
      <c r="Z13" s="117"/>
      <c r="AA13" s="117"/>
      <c r="AB13" s="110" t="e">
        <f>((((AB12/100)+1)^0.5)-1)*100</f>
        <v>#N/A</v>
      </c>
      <c r="AC13" s="103" t="e">
        <f>((((AC12/100)+1)^0.5)-1)*100</f>
        <v>#N/A</v>
      </c>
      <c r="AD13" s="126" t="e">
        <f>((((AD12/100)+1)^0.5)-1)*100</f>
        <v>#N/A</v>
      </c>
      <c r="AE13" s="117"/>
      <c r="AH13" s="104">
        <v>42825</v>
      </c>
      <c r="AI13">
        <v>-43.715676578999997</v>
      </c>
      <c r="AJ13">
        <v>-43.715676578999997</v>
      </c>
      <c r="AN13">
        <v>11163982.359999999</v>
      </c>
      <c r="AO13">
        <v>7490524.5800000001</v>
      </c>
      <c r="AP13" t="s">
        <v>234</v>
      </c>
      <c r="AQ13" t="s">
        <v>158</v>
      </c>
      <c r="AV13" s="129" t="e">
        <f>((((AV12/100)+1)^0.5)-1)*100</f>
        <v>#N/A</v>
      </c>
      <c r="AW13" s="129" t="e">
        <f>((((AW12/100)+1)^0.5)-1)*100</f>
        <v>#N/A</v>
      </c>
      <c r="AX13" s="129" t="e">
        <f>((((AX12/100)+1)^0.5)-1)*100</f>
        <v>#N/A</v>
      </c>
      <c r="AY13" s="130" t="e">
        <f>((((AY12/100)+1)^0.5)-1)*100</f>
        <v>#N/A</v>
      </c>
      <c r="BA13" s="104">
        <v>42825</v>
      </c>
      <c r="BB13">
        <v>-1.6985899999999999E-5</v>
      </c>
      <c r="BC13">
        <v>-1.6985899999999999E-5</v>
      </c>
      <c r="BG13">
        <v>31814940.210000001</v>
      </c>
      <c r="BI13" t="s">
        <v>234</v>
      </c>
      <c r="BJ13" t="s">
        <v>158</v>
      </c>
      <c r="BO13" s="129" t="e">
        <f>((((BO12/100)+1)^0.5)-1)*100</f>
        <v>#N/A</v>
      </c>
      <c r="BP13" s="110" t="e">
        <f t="shared" ref="BP13:BR13" si="10">((((BP12/100)+1)^0.5)-1)*100</f>
        <v>#N/A</v>
      </c>
      <c r="BQ13" s="110" t="e">
        <f t="shared" si="10"/>
        <v>#N/A</v>
      </c>
      <c r="BR13" s="126" t="e">
        <f t="shared" si="10"/>
        <v>#N/A</v>
      </c>
      <c r="CH13" s="129" t="e">
        <f>((((CH12/100)+1)^0.5)-1)*100</f>
        <v>#N/A</v>
      </c>
      <c r="CI13" s="110" t="e">
        <f t="shared" ref="CI13:CK13" si="11">((((CI12/100)+1)^0.5)-1)*100</f>
        <v>#N/A</v>
      </c>
      <c r="CJ13" s="110" t="e">
        <f t="shared" si="11"/>
        <v>#N/A</v>
      </c>
      <c r="CK13" s="126" t="e">
        <f t="shared" si="11"/>
        <v>#N/A</v>
      </c>
      <c r="DA13" s="136" t="e">
        <f>((((DA12/100)+1)^0.5)-1)*100</f>
        <v>#N/A</v>
      </c>
      <c r="DB13" s="110" t="e">
        <f t="shared" ref="DB13:DD13" si="12">((((DB12/100)+1)^0.5)-1)*100</f>
        <v>#N/A</v>
      </c>
      <c r="DC13" s="110" t="e">
        <f t="shared" si="12"/>
        <v>#N/A</v>
      </c>
      <c r="DD13" s="137" t="e">
        <f t="shared" si="12"/>
        <v>#N/A</v>
      </c>
      <c r="DT13" s="136" t="e">
        <f>((((DT12/100)+1)^0.5)-1)*100</f>
        <v>#N/A</v>
      </c>
      <c r="DU13" s="110" t="e">
        <f t="shared" ref="DU13:DW13" si="13">((((DU12/100)+1)^0.5)-1)*100</f>
        <v>#N/A</v>
      </c>
      <c r="DV13" s="110" t="e">
        <f t="shared" si="13"/>
        <v>#N/A</v>
      </c>
      <c r="DW13" s="137" t="e">
        <f t="shared" si="13"/>
        <v>#N/A</v>
      </c>
      <c r="EM13" s="136" t="e">
        <f>((((EM12/100)+1)^0.5)-1)*100</f>
        <v>#N/A</v>
      </c>
      <c r="EN13" s="110" t="e">
        <f t="shared" ref="EN13:EP13" si="14">((((EN12/100)+1)^0.5)-1)*100</f>
        <v>#N/A</v>
      </c>
      <c r="EO13" s="110" t="e">
        <f t="shared" si="14"/>
        <v>#N/A</v>
      </c>
      <c r="EP13" s="137" t="e">
        <f t="shared" si="14"/>
        <v>#N/A</v>
      </c>
    </row>
    <row r="14" spans="2:146">
      <c r="F14" s="104">
        <v>42794</v>
      </c>
      <c r="G14">
        <v>-0.37919687819999998</v>
      </c>
      <c r="H14">
        <v>-0.37919687819999998</v>
      </c>
      <c r="L14">
        <v>96074733.450000003</v>
      </c>
      <c r="M14">
        <v>-364312.48</v>
      </c>
      <c r="O14" t="s">
        <v>158</v>
      </c>
      <c r="X14" s="60" t="s">
        <v>181</v>
      </c>
      <c r="Y14" s="125">
        <v>-60</v>
      </c>
      <c r="Z14" s="117">
        <f t="shared" si="0"/>
        <v>41060</v>
      </c>
      <c r="AA14" s="125" t="e">
        <f>VLOOKUP($Z14,tblReturnsForSelectedFund[#All],7,FALSE)</f>
        <v>#N/A</v>
      </c>
      <c r="AB14" s="125" t="e">
        <f>(AA14/VLOOKUP($X$2,tblReturnsForSelectedFund[[#All],[Date]:[NAV]],7,FALSE))/AA14%</f>
        <v>#N/A</v>
      </c>
      <c r="AC14" s="125" t="e">
        <f>VLOOKUP(Z14,tblBenchmarksForSelectedFund[#All],3,FALSE)</f>
        <v>#N/A</v>
      </c>
      <c r="AD14" s="119" t="e">
        <f>(VLOOKUP($X$2,tblBenchmarksForSelectedFund[[#All],[Date]:[BMValue]],3,FALSE)-AC14)/VLOOKUP($X$2,tblBenchmarksForSelectedFund[[#All],[Date]:[BMValue]],3,FALSE)%</f>
        <v>#N/A</v>
      </c>
      <c r="AH14" s="104">
        <v>42855</v>
      </c>
      <c r="AI14">
        <v>-7.8574404474000001</v>
      </c>
      <c r="AJ14">
        <v>-7.8574404474000001</v>
      </c>
      <c r="AN14">
        <v>16221368.970000001</v>
      </c>
      <c r="AO14">
        <v>-1470825.89</v>
      </c>
      <c r="AP14" t="s">
        <v>234</v>
      </c>
      <c r="AQ14" t="s">
        <v>158</v>
      </c>
      <c r="AV14" s="118" t="e">
        <f>VLOOKUP($Z14,tblSubFund1[#All],7,FALSE)</f>
        <v>#N/A</v>
      </c>
      <c r="AW14" s="125" t="e">
        <f>(VLOOKUP($X$2,tblSubFund1[[#All],[Date]:[NAV]],7,FALSE)-AV14)/VLOOKUP($X$2,tblSubFund1[[#All],[Date]:[NAV]],7,FALSE)%</f>
        <v>#N/A</v>
      </c>
      <c r="AX14" s="125" t="e">
        <f>VLOOKUP($Z14,tblBenchmarkSub1[#All],2,FALSE)</f>
        <v>#N/A</v>
      </c>
      <c r="AY14" s="119" t="e">
        <f>(VLOOKUP($X$2,tblBenchmarkSub1[[#All],[Date]:[BMValue]],3,FALSE)-AX14)/VLOOKUP($X$2,tblBenchmarkSub1[[#All],[Date]:[BMValue]],3,FALSE)%</f>
        <v>#N/A</v>
      </c>
      <c r="BA14" s="104">
        <v>42855</v>
      </c>
      <c r="BB14">
        <v>9.9989501000000008E-3</v>
      </c>
      <c r="BC14">
        <v>9.9989501000000008E-3</v>
      </c>
      <c r="BG14">
        <v>31787937.510000002</v>
      </c>
      <c r="BI14" t="s">
        <v>234</v>
      </c>
      <c r="BJ14" t="s">
        <v>158</v>
      </c>
      <c r="BO14" s="118" t="e">
        <f>VLOOKUP($Z14,tblSubFund2[#All],7,FALSE)</f>
        <v>#N/A</v>
      </c>
      <c r="BP14" s="125" t="e">
        <f>(VLOOKUP($X$2,tblSubFund2[[#All],[Date]:[NAV]],7,FALSE)-BO14)/VLOOKUP($X$2,tblSubFund2[[#All],[Date]:[NAV]],7,FALSE)%</f>
        <v>#N/A</v>
      </c>
      <c r="BQ14" s="125" t="e">
        <f>VLOOKUP($Z14,tblBenchmarkSub2[#All],3,FALSE)</f>
        <v>#N/A</v>
      </c>
      <c r="BR14" s="119" t="e">
        <f>(VLOOKUP($X$2,tblBenchmarkSub2[[#All],[Date]:[BMValue]],3,FALSE)-BQ14)/VLOOKUP($X$2,tblBenchmarkSub2[[#All],[Date]:[BMValue]],3,FALSE)%</f>
        <v>#N/A</v>
      </c>
      <c r="CH14" s="118" t="e">
        <f>VLOOKUP($Z14,tblSubFund3[#All],2,FALSE)</f>
        <v>#N/A</v>
      </c>
      <c r="CI14" s="125" t="e">
        <f>(VLOOKUP($X$2,tblSubFund3[[#All],[Date]:[NAV]],7,FALSE)-CH14)/VLOOKUP($X$2,tblSubFund3[[#All],[Date]:[NAV]],7,FALSE)%</f>
        <v>#N/A</v>
      </c>
      <c r="CJ14" s="125" t="e">
        <f>VLOOKUP($Z14,tblBenchmarkSub3[#All],2,FALSE)</f>
        <v>#N/A</v>
      </c>
      <c r="CK14" s="119" t="e">
        <f>(VLOOKUP($X$2,tblBenchmarkSub3[[#All],[Date]:[BMValue]],3,FALSE)-CJ14)/VLOOKUP($X$2,tblBenchmarkSub3[[#All],[Date]:[BMValue]],3,FALSE)%</f>
        <v>#N/A</v>
      </c>
      <c r="DA14" s="134" t="e">
        <f>VLOOKUP($Z14,tblSubFund4[#All],2,FALSE)</f>
        <v>#N/A</v>
      </c>
      <c r="DB14" s="125" t="e">
        <f>(VLOOKUP($X$2,tblSubFund4[[#All],[Date]:[NAV]],7,FALSE)-DA14)/VLOOKUP($X$2,tblSubFund4[[#All],[Date]:[NAV]],7,FALSE)%</f>
        <v>#N/A</v>
      </c>
      <c r="DC14" s="125" t="e">
        <f>VLOOKUP($Z14,tblBenchmarkSub4[#All],2,FALSE)</f>
        <v>#N/A</v>
      </c>
      <c r="DD14" s="135" t="e">
        <f>(VLOOKUP($X$2,tblBenchmarkSub4[[#All],[Date]:[BMValue]],3,FALSE)-DC14)/VLOOKUP($X$2,tblBenchmarkSub4[[#All],[Date]:[BMValue]],3,FALSE)%</f>
        <v>#N/A</v>
      </c>
      <c r="DT14" s="134" t="e">
        <f>VLOOKUP($Z14,tblSubFund5[#All],2,FALSE)</f>
        <v>#N/A</v>
      </c>
      <c r="DU14" s="125" t="e">
        <f>(VLOOKUP($X$2,tblSubFund5[[#All],[Date]:[NAV]],7,FALSE)-DT14)/VLOOKUP($X$2,tblSubFund5[[#All],[Date]:[NAV]],7,FALSE)%</f>
        <v>#N/A</v>
      </c>
      <c r="DV14" s="125" t="e">
        <f>VLOOKUP($Z14,tblBenchmarkSub5[#All],2,FALSE)</f>
        <v>#N/A</v>
      </c>
      <c r="DW14" s="135" t="e">
        <f>(VLOOKUP($X$2,tblBenchmarkSub5[[#All],[Date]:[BMValue]],3,FALSE)-DV14)/VLOOKUP($X$2,tblBenchmarkSub5[[#All],[Date]:[BMValue]],3,FALSE)%</f>
        <v>#N/A</v>
      </c>
      <c r="EM14" s="134" t="e">
        <f>VLOOKUP($Z14,tblSubFund6[#All],2,FALSE)</f>
        <v>#N/A</v>
      </c>
      <c r="EN14" s="125" t="e">
        <f>(VLOOKUP($X$2,tblSubFund6[[#All],[Date]:[NAV]],7,FALSE)-EM14)/VLOOKUP($X$2,tblSubFund6[[#All],[Date]:[NAV]],7,FALSE)%</f>
        <v>#N/A</v>
      </c>
      <c r="EO14" s="125" t="e">
        <f>VLOOKUP($Z14,tblBenchmarkSub6[#All],2,FALSE)</f>
        <v>#N/A</v>
      </c>
      <c r="EP14" s="135" t="e">
        <f>(VLOOKUP($X$2,tblBenchmarkSub6[[#All],[Date]:[BMValue]],3,FALSE)-EO14)/VLOOKUP($X$2,tblBenchmarkSub6[[#All],[Date]:[BMValue]],3,FALSE)%</f>
        <v>#N/A</v>
      </c>
    </row>
    <row r="15" spans="2:146">
      <c r="F15" s="104">
        <v>42825</v>
      </c>
      <c r="G15">
        <v>0.4075291633</v>
      </c>
      <c r="H15">
        <v>0.4075291633</v>
      </c>
      <c r="L15">
        <v>95710421.060000002</v>
      </c>
      <c r="M15">
        <v>390050.91</v>
      </c>
      <c r="O15" t="s">
        <v>158</v>
      </c>
      <c r="X15" s="60" t="s">
        <v>182</v>
      </c>
      <c r="Y15" s="125"/>
      <c r="Z15" s="117"/>
      <c r="AA15" s="117"/>
      <c r="AB15" s="110" t="e">
        <f>((((AB14/100)+1)^0.5)-1)*100</f>
        <v>#N/A</v>
      </c>
      <c r="AC15" s="103" t="e">
        <f>((((AC14/100)+1)^0.5)-1)*100</f>
        <v>#N/A</v>
      </c>
      <c r="AD15" s="126" t="e">
        <f>((((AD14/100)+1)^0.5)-1)*100</f>
        <v>#N/A</v>
      </c>
      <c r="AE15" s="117"/>
      <c r="AH15" s="104">
        <v>42886</v>
      </c>
      <c r="AI15">
        <v>-26.0138529191</v>
      </c>
      <c r="AJ15">
        <v>-26.0138529191</v>
      </c>
      <c r="AN15">
        <v>17711061.350000001</v>
      </c>
      <c r="AO15">
        <v>-4607329.45</v>
      </c>
      <c r="AP15" t="s">
        <v>234</v>
      </c>
      <c r="AQ15" t="s">
        <v>158</v>
      </c>
      <c r="AV15" s="129" t="e">
        <f>((((AV14/100)+1)^0.5)-1)*100</f>
        <v>#N/A</v>
      </c>
      <c r="AW15" s="129" t="e">
        <f>((((AW14/100)+1)^0.5)-1)*100</f>
        <v>#N/A</v>
      </c>
      <c r="AX15" s="129" t="e">
        <f>((((AX14/100)+1)^0.5)-1)*100</f>
        <v>#N/A</v>
      </c>
      <c r="AY15" s="130" t="e">
        <f>((((AY14/100)+1)^0.5)-1)*100</f>
        <v>#N/A</v>
      </c>
      <c r="BA15" s="104">
        <v>42886</v>
      </c>
      <c r="BB15">
        <v>9.9980580000000006E-3</v>
      </c>
      <c r="BC15">
        <v>9.9980580000000006E-3</v>
      </c>
      <c r="BG15">
        <v>31791019.449999999</v>
      </c>
      <c r="BI15" t="s">
        <v>234</v>
      </c>
      <c r="BJ15" t="s">
        <v>158</v>
      </c>
      <c r="BO15" s="129" t="e">
        <f>((((BO14/100)+1)^0.5)-1)*100</f>
        <v>#N/A</v>
      </c>
      <c r="BP15" s="110" t="e">
        <f t="shared" ref="BP15:BR15" si="15">((((BP14/100)+1)^0.5)-1)*100</f>
        <v>#N/A</v>
      </c>
      <c r="BQ15" s="110" t="e">
        <f t="shared" si="15"/>
        <v>#N/A</v>
      </c>
      <c r="BR15" s="126" t="e">
        <f t="shared" si="15"/>
        <v>#N/A</v>
      </c>
      <c r="CH15" s="129" t="e">
        <f>((((CH14/100)+1)^0.5)-1)*100</f>
        <v>#N/A</v>
      </c>
      <c r="CI15" s="110" t="e">
        <f t="shared" ref="CI15:CK15" si="16">((((CI14/100)+1)^0.5)-1)*100</f>
        <v>#N/A</v>
      </c>
      <c r="CJ15" s="110" t="e">
        <f t="shared" si="16"/>
        <v>#N/A</v>
      </c>
      <c r="CK15" s="126" t="e">
        <f t="shared" si="16"/>
        <v>#N/A</v>
      </c>
      <c r="DA15" s="136" t="e">
        <f>((((DA14/100)+1)^0.5)-1)*100</f>
        <v>#N/A</v>
      </c>
      <c r="DB15" s="110" t="e">
        <f t="shared" ref="DB15:DD15" si="17">((((DB14/100)+1)^0.5)-1)*100</f>
        <v>#N/A</v>
      </c>
      <c r="DC15" s="110" t="e">
        <f t="shared" si="17"/>
        <v>#N/A</v>
      </c>
      <c r="DD15" s="137" t="e">
        <f t="shared" si="17"/>
        <v>#N/A</v>
      </c>
      <c r="DT15" s="136" t="e">
        <f>((((DT14/100)+1)^0.5)-1)*100</f>
        <v>#N/A</v>
      </c>
      <c r="DU15" s="110" t="e">
        <f t="shared" ref="DU15:DW15" si="18">((((DU14/100)+1)^0.5)-1)*100</f>
        <v>#N/A</v>
      </c>
      <c r="DV15" s="110" t="e">
        <f t="shared" si="18"/>
        <v>#N/A</v>
      </c>
      <c r="DW15" s="137" t="e">
        <f t="shared" si="18"/>
        <v>#N/A</v>
      </c>
      <c r="EM15" s="136" t="e">
        <f>((((EM14/100)+1)^0.5)-1)*100</f>
        <v>#N/A</v>
      </c>
      <c r="EN15" s="110" t="e">
        <f t="shared" ref="EN15:EP15" si="19">((((EN14/100)+1)^0.5)-1)*100</f>
        <v>#N/A</v>
      </c>
      <c r="EO15" s="110" t="e">
        <f t="shared" si="19"/>
        <v>#N/A</v>
      </c>
      <c r="EP15" s="137" t="e">
        <f t="shared" si="19"/>
        <v>#N/A</v>
      </c>
    </row>
    <row r="16" spans="2:146">
      <c r="F16" s="104">
        <v>42855</v>
      </c>
      <c r="G16">
        <v>0.32337536290000002</v>
      </c>
      <c r="H16">
        <v>0.32337536290000002</v>
      </c>
      <c r="L16">
        <v>96100471.969999999</v>
      </c>
      <c r="M16">
        <v>310791.07</v>
      </c>
      <c r="O16" t="s">
        <v>158</v>
      </c>
      <c r="X16" s="60" t="s">
        <v>163</v>
      </c>
      <c r="Y16" s="125" t="s">
        <v>232</v>
      </c>
      <c r="Z16" s="103">
        <f>'PERFORMANCE SUMMARY'!K11</f>
        <v>40939</v>
      </c>
      <c r="AA16" s="125" t="e">
        <f>VLOOKUP($Z16,tblReturnsForSelectedFund[#All],7,FALSE)</f>
        <v>#N/A</v>
      </c>
      <c r="AB16" s="125" t="e">
        <f>(AA16/VLOOKUP($X$2,tblReturnsForSelectedFund[[#All],[Date]:[NAV]],7,FALSE))/AA16%</f>
        <v>#N/A</v>
      </c>
      <c r="AC16" s="125" t="e">
        <f>VLOOKUP(Z16,tblBenchmarksForSelectedFund[#All],3,FALSE)</f>
        <v>#N/A</v>
      </c>
      <c r="AD16" s="119" t="e">
        <f>(VLOOKUP($X$2,tblBenchmarksForSelectedFund[[#All],[Date]:[BMValue]],3,FALSE)-AC16)/VLOOKUP($X$2,tblBenchmarksForSelectedFund[[#All],[Date]:[BMValue]],3,FALSE)%</f>
        <v>#N/A</v>
      </c>
      <c r="AV16" s="118" t="e">
        <f>VLOOKUP($Z16,tblSubFund1[#All],7,FALSE)</f>
        <v>#N/A</v>
      </c>
      <c r="AW16" s="125" t="e">
        <f>(VLOOKUP($X$2,tblSubFund1[[#All],[Date]:[NAV]],7,FALSE)-AV16)/VLOOKUP($X$2,tblSubFund1[[#All],[Date]:[NAV]],7,FALSE)%</f>
        <v>#N/A</v>
      </c>
      <c r="AX16" s="125" t="e">
        <f>VLOOKUP($Z16,tblBenchmarkSub1[#All],2,FALSE)</f>
        <v>#N/A</v>
      </c>
      <c r="AY16" s="119" t="e">
        <f>(VLOOKUP($X$2,tblBenchmarkSub1[[#All],[Date]:[BMValue]],3,FALSE)-AX16)/VLOOKUP($X$2,tblBenchmarkSub1[[#All],[Date]:[BMValue]],3,FALSE)%</f>
        <v>#N/A</v>
      </c>
      <c r="BO16" s="118" t="e">
        <f>VLOOKUP($Z16,tblSubFund2[#All],7,FALSE)</f>
        <v>#N/A</v>
      </c>
      <c r="BP16" s="125" t="e">
        <f>(VLOOKUP($X$2,tblSubFund2[[#All],[Date]:[NAV]],7,FALSE)-BO16)/VLOOKUP($X$2,tblSubFund2[[#All],[Date]:[NAV]],7,FALSE)%</f>
        <v>#N/A</v>
      </c>
      <c r="BQ16" s="125" t="e">
        <f>VLOOKUP($Z16,tblBenchmarkSub2[#All],3,FALSE)</f>
        <v>#N/A</v>
      </c>
      <c r="BR16" s="119" t="e">
        <f>(VLOOKUP($X$2,tblBenchmarkSub2[[#All],[Date]:[BMValue]],3,FALSE)-BQ16)/VLOOKUP($X$2,tblBenchmarkSub2[[#All],[Date]:[BMValue]],3,FALSE)%</f>
        <v>#N/A</v>
      </c>
      <c r="CH16" s="118" t="e">
        <f>VLOOKUP($Z16,tblSubFund3[#All],2,FALSE)</f>
        <v>#N/A</v>
      </c>
      <c r="CI16" s="125" t="e">
        <f>(VLOOKUP($X$2,tblSubFund3[[#All],[Date]:[NAV]],7,FALSE)-CH16)/VLOOKUP($X$2,tblSubFund3[[#All],[Date]:[NAV]],7,FALSE)%</f>
        <v>#N/A</v>
      </c>
      <c r="CJ16" s="125" t="e">
        <f>VLOOKUP($Z16,tblBenchmarkSub3[#All],2,FALSE)</f>
        <v>#N/A</v>
      </c>
      <c r="CK16" s="119" t="e">
        <f>(VLOOKUP($X$2,tblBenchmarkSub3[[#All],[Date]:[BMValue]],3,FALSE)-CJ16)/VLOOKUP($X$2,tblBenchmarkSub3[[#All],[Date]:[BMValue]],3,FALSE)%</f>
        <v>#N/A</v>
      </c>
      <c r="DA16" s="134" t="e">
        <f>VLOOKUP($Z16,tblSubFund4[#All],2,FALSE)</f>
        <v>#N/A</v>
      </c>
      <c r="DB16" s="125" t="e">
        <f>(VLOOKUP($X$2,tblSubFund4[[#All],[Date]:[NAV]],7,FALSE)-DA16)/VLOOKUP($X$2,tblSubFund4[[#All],[Date]:[NAV]],7,FALSE)%</f>
        <v>#N/A</v>
      </c>
      <c r="DC16" s="125" t="e">
        <f>VLOOKUP($Z16,tblBenchmarkSub4[#All],2,FALSE)</f>
        <v>#N/A</v>
      </c>
      <c r="DD16" s="135" t="e">
        <f>(VLOOKUP($X$2,tblBenchmarkSub4[[#All],[Date]:[BMValue]],3,FALSE)-DC16)/VLOOKUP($X$2,tblBenchmarkSub4[[#All],[Date]:[BMValue]],3,FALSE)%</f>
        <v>#N/A</v>
      </c>
      <c r="DT16" s="134" t="e">
        <f>VLOOKUP($Z16,tblSubFund5[#All],2,FALSE)</f>
        <v>#N/A</v>
      </c>
      <c r="DU16" s="125" t="e">
        <f>(VLOOKUP($X$2,tblSubFund5[[#All],[Date]:[NAV]],7,FALSE)-DT16)/VLOOKUP($X$2,tblSubFund5[[#All],[Date]:[NAV]],7,FALSE)%</f>
        <v>#N/A</v>
      </c>
      <c r="DV16" s="125" t="e">
        <f>VLOOKUP($Z16,tblBenchmarkSub5[#All],2,FALSE)</f>
        <v>#N/A</v>
      </c>
      <c r="DW16" s="135" t="e">
        <f>(VLOOKUP($X$2,tblBenchmarkSub5[[#All],[Date]:[BMValue]],3,FALSE)-DV16)/VLOOKUP($X$2,tblBenchmarkSub5[[#All],[Date]:[BMValue]],3,FALSE)%</f>
        <v>#N/A</v>
      </c>
      <c r="EM16" s="134" t="e">
        <f>VLOOKUP($Z16,tblSubFund6[#All],2,FALSE)</f>
        <v>#N/A</v>
      </c>
      <c r="EN16" s="125" t="e">
        <f>(VLOOKUP($X$2,tblSubFund6[[#All],[Date]:[NAV]],7,FALSE)-EM16)/VLOOKUP($X$2,tblSubFund6[[#All],[Date]:[NAV]],7,FALSE)%</f>
        <v>#N/A</v>
      </c>
      <c r="EO16" s="125" t="e">
        <f>VLOOKUP($Z16,tblBenchmarkSub6[#All],2,FALSE)</f>
        <v>#N/A</v>
      </c>
      <c r="EP16" s="135" t="e">
        <f>(VLOOKUP($X$2,tblBenchmarkSub6[[#All],[Date]:[BMValue]],3,FALSE)-EO16)/VLOOKUP($X$2,tblBenchmarkSub6[[#All],[Date]:[BMValue]],3,FALSE)%</f>
        <v>#N/A</v>
      </c>
    </row>
    <row r="17" spans="6:146">
      <c r="F17" s="104">
        <v>42886</v>
      </c>
      <c r="G17">
        <v>4.9351730000999998</v>
      </c>
      <c r="H17">
        <v>4.9351730000999998</v>
      </c>
      <c r="L17">
        <v>52487434.18</v>
      </c>
      <c r="M17">
        <v>4476142.2</v>
      </c>
      <c r="N17" t="s">
        <v>234</v>
      </c>
      <c r="O17" t="s">
        <v>158</v>
      </c>
      <c r="X17" s="60" t="s">
        <v>183</v>
      </c>
      <c r="Y17" s="125"/>
      <c r="Z17" s="117">
        <f t="shared" si="0"/>
        <v>42886</v>
      </c>
      <c r="AA17" s="125">
        <f>VLOOKUP($Z17,tblReturnsForSelectedFund[#All],2,FALSE)</f>
        <v>4.9351730000999998</v>
      </c>
      <c r="AB17" s="125">
        <f>(VLOOKUP($X$2,tblReturnsForSelectedFund[[#All],[Date]:[NAV]],7,FALSE)-AA17)/VLOOKUP($X$2,tblReturnsForSelectedFund[[#All],[Date]:[NAV]],7,FALSE)%</f>
        <v>99.999990597419966</v>
      </c>
      <c r="AC17" s="125" t="e">
        <f>VLOOKUP(Z17,tblBenchmarksForSelectedFund[#All],3,FALSE)</f>
        <v>#N/A</v>
      </c>
      <c r="AD17" s="119" t="e">
        <f>(VLOOKUP($X$2,tblBenchmarksForSelectedFund[[#All],[Date]:[BMValue]],3,FALSE)-AC17)/VLOOKUP($X$2,tblBenchmarksForSelectedFund[[#All],[Date]:[BMValue]],3,FALSE)%</f>
        <v>#N/A</v>
      </c>
      <c r="AV17" s="118">
        <f>VLOOKUP($Z17,tblSubFund1[#All],7,FALSE)</f>
        <v>17711061.350000001</v>
      </c>
      <c r="AW17" s="125">
        <f>(VLOOKUP($X$2,tblSubFund1[[#All],[Date]:[NAV]],7,FALSE)-AV17)/VLOOKUP($X$2,tblSubFund1[[#All],[Date]:[NAV]],7,FALSE)%</f>
        <v>0</v>
      </c>
      <c r="AX17" s="125" t="e">
        <f>VLOOKUP($Z17,tblBenchmarkSub1[#All],2,FALSE)</f>
        <v>#N/A</v>
      </c>
      <c r="AY17" s="119" t="e">
        <f>(VLOOKUP($X$2,tblBenchmarkSub1[[#All],[Date]:[BMValue]],3,FALSE)-AX17)/VLOOKUP($X$2,tblBenchmarkSub1[[#All],[Date]:[BMValue]],3,FALSE)%</f>
        <v>#N/A</v>
      </c>
      <c r="BO17" s="118">
        <f>VLOOKUP($Z17,tblSubFund2[#All],7,FALSE)</f>
        <v>31791019.449999999</v>
      </c>
      <c r="BP17" s="125">
        <f>(VLOOKUP($X$2,tblSubFund2[[#All],[Date]:[NAV]],7,FALSE)-BO17)/VLOOKUP($X$2,tblSubFund2[[#All],[Date]:[NAV]],7,FALSE)%</f>
        <v>0</v>
      </c>
      <c r="BQ17" s="125" t="e">
        <f>VLOOKUP($Z17,tblBenchmarkSub2[#All],3,FALSE)</f>
        <v>#N/A</v>
      </c>
      <c r="BR17" s="119" t="e">
        <f>(VLOOKUP($X$2,tblBenchmarkSub2[[#All],[Date]:[BMValue]],3,FALSE)-BQ17)/VLOOKUP($X$2,tblBenchmarkSub2[[#All],[Date]:[BMValue]],3,FALSE)%</f>
        <v>#N/A</v>
      </c>
      <c r="CH17" s="118" t="e">
        <f>VLOOKUP($Z17,tblSubFund3[#All],2,FALSE)</f>
        <v>#N/A</v>
      </c>
      <c r="CI17" s="125" t="e">
        <f>(VLOOKUP($X$2,tblSubFund3[[#All],[Date]:[NAV]],7,FALSE)-CH17)/VLOOKUP($X$2,tblSubFund3[[#All],[Date]:[NAV]],7,FALSE)%</f>
        <v>#N/A</v>
      </c>
      <c r="CJ17" s="125" t="e">
        <f>VLOOKUP($Z17,tblBenchmarkSub3[#All],2,FALSE)</f>
        <v>#N/A</v>
      </c>
      <c r="CK17" s="119" t="e">
        <f>(VLOOKUP($X$2,tblBenchmarkSub3[[#All],[Date]:[BMValue]],3,FALSE)-CJ17)/VLOOKUP($X$2,tblBenchmarkSub3[[#All],[Date]:[BMValue]],3,FALSE)%</f>
        <v>#N/A</v>
      </c>
      <c r="DA17" s="134" t="e">
        <f>VLOOKUP($Z17,tblSubFund4[#All],2,FALSE)</f>
        <v>#N/A</v>
      </c>
      <c r="DB17" s="125" t="e">
        <f>(VLOOKUP($X$2,tblSubFund4[[#All],[Date]:[NAV]],7,FALSE)-DA17)/VLOOKUP($X$2,tblSubFund4[[#All],[Date]:[NAV]],7,FALSE)%</f>
        <v>#N/A</v>
      </c>
      <c r="DC17" s="125" t="e">
        <f>VLOOKUP($Z17,tblBenchmarkSub4[#All],2,FALSE)</f>
        <v>#N/A</v>
      </c>
      <c r="DD17" s="135" t="e">
        <f>(VLOOKUP($X$2,tblBenchmarkSub4[[#All],[Date]:[BMValue]],3,FALSE)-DC17)/VLOOKUP($X$2,tblBenchmarkSub4[[#All],[Date]:[BMValue]],3,FALSE)%</f>
        <v>#N/A</v>
      </c>
      <c r="DT17" s="134" t="e">
        <f>VLOOKUP($Z17,tblSubFund5[#All],2,FALSE)</f>
        <v>#N/A</v>
      </c>
      <c r="DU17" s="125" t="e">
        <f>(VLOOKUP($X$2,tblSubFund5[[#All],[Date]:[NAV]],7,FALSE)-DT17)/VLOOKUP($X$2,tblSubFund5[[#All],[Date]:[NAV]],7,FALSE)%</f>
        <v>#N/A</v>
      </c>
      <c r="DV17" s="125" t="e">
        <f>VLOOKUP($Z17,tblBenchmarkSub5[#All],2,FALSE)</f>
        <v>#N/A</v>
      </c>
      <c r="DW17" s="135" t="e">
        <f>(VLOOKUP($X$2,tblBenchmarkSub5[[#All],[Date]:[BMValue]],3,FALSE)-DV17)/VLOOKUP($X$2,tblBenchmarkSub5[[#All],[Date]:[BMValue]],3,FALSE)%</f>
        <v>#N/A</v>
      </c>
      <c r="EM17" s="134" t="e">
        <f>VLOOKUP($Z17,tblSubFund6[#All],2,FALSE)</f>
        <v>#N/A</v>
      </c>
      <c r="EN17" s="125" t="e">
        <f>(VLOOKUP($X$2,tblSubFund6[[#All],[Date]:[NAV]],7,FALSE)-EM17)/VLOOKUP($X$2,tblSubFund6[[#All],[Date]:[NAV]],7,FALSE)%</f>
        <v>#N/A</v>
      </c>
      <c r="EO17" s="125" t="e">
        <f>VLOOKUP($Z17,tblBenchmarkSub6[#All],2,FALSE)</f>
        <v>#N/A</v>
      </c>
      <c r="EP17" s="135" t="e">
        <f>(VLOOKUP($X$2,tblBenchmarkSub6[[#All],[Date]:[BMValue]],3,FALSE)-EO17)/VLOOKUP($X$2,tblBenchmarkSub6[[#All],[Date]:[BMValue]],3,FALSE)%</f>
        <v>#N/A</v>
      </c>
    </row>
    <row r="18" spans="6:146">
      <c r="X18" s="118"/>
      <c r="Y18" s="117">
        <f>DATE(YEAR($X$2)-1,12,31)</f>
        <v>42735</v>
      </c>
      <c r="Z18" s="117"/>
      <c r="AA18" s="125"/>
      <c r="AB18" s="125"/>
      <c r="AC18" s="125" t="e">
        <f>VLOOKUP(Z18,tblBenchmarksForSelectedFund[#All],3,FALSE)</f>
        <v>#N/A</v>
      </c>
      <c r="AD18" s="119" t="e">
        <f>(VLOOKUP($X$2,tblBenchmarksForSelectedFund[[#All],[Date]:[BMValue]],3,FALSE)-AC18)/VLOOKUP($X$2,tblBenchmarksForSelectedFund[[#All],[Date]:[BMValue]],3,FALSE)%</f>
        <v>#N/A</v>
      </c>
      <c r="AV18" s="118" t="e">
        <f>VLOOKUP($Z18,tblSubFund1[#All],7,FALSE)</f>
        <v>#N/A</v>
      </c>
      <c r="AW18" s="125" t="e">
        <f>(VLOOKUP($X$2,tblSubFund1[[#All],[Date]:[NAV]],7,FALSE)-AV18)/VLOOKUP($X$2,tblSubFund1[[#All],[Date]:[NAV]],7,FALSE)%</f>
        <v>#N/A</v>
      </c>
      <c r="AX18" s="125" t="e">
        <f>VLOOKUP($Z18,tblBenchmarkSub1[#All],2,FALSE)</f>
        <v>#N/A</v>
      </c>
      <c r="AY18" s="119" t="e">
        <f>(VLOOKUP($X$2,tblBenchmarkSub1[[#All],[Date]:[BMValue]],3,FALSE)-AX18)/VLOOKUP($X$2,tblBenchmarkSub1[[#All],[Date]:[BMValue]],3,FALSE)%</f>
        <v>#N/A</v>
      </c>
      <c r="BO18" s="118" t="e">
        <f>VLOOKUP($Z18,tblSubFund2[#All],7,FALSE)</f>
        <v>#N/A</v>
      </c>
      <c r="BP18" s="125" t="e">
        <f>(VLOOKUP($X$2,tblSubFund2[[#All],[Date]:[NAV]],7,FALSE)-BO18)/VLOOKUP($X$2,tblSubFund2[[#All],[Date]:[NAV]],7,FALSE)%</f>
        <v>#N/A</v>
      </c>
      <c r="BQ18" s="125" t="e">
        <f>VLOOKUP($Z18,tblBenchmarkSub2[#All],3,FALSE)</f>
        <v>#N/A</v>
      </c>
      <c r="BR18" s="119" t="e">
        <f>(VLOOKUP($X$2,tblBenchmarkSub2[[#All],[Date]:[BMValue]],3,FALSE)-BQ18)/VLOOKUP($X$2,tblBenchmarkSub2[[#All],[Date]:[BMValue]],3,FALSE)%</f>
        <v>#N/A</v>
      </c>
      <c r="CH18" s="118" t="e">
        <f>VLOOKUP($Z18,tblSubFund3[#All],2,FALSE)</f>
        <v>#N/A</v>
      </c>
      <c r="CI18" s="125" t="e">
        <f>(VLOOKUP($X$2,tblSubFund3[[#All],[Date]:[NAV]],7,FALSE)-CH18)/VLOOKUP($X$2,tblSubFund3[[#All],[Date]:[NAV]],7,FALSE)%</f>
        <v>#N/A</v>
      </c>
      <c r="CJ18" s="125" t="e">
        <f>VLOOKUP($Z18,tblBenchmarkSub3[#All],2,FALSE)</f>
        <v>#N/A</v>
      </c>
      <c r="CK18" s="119" t="e">
        <f>(VLOOKUP($X$2,tblBenchmarkSub3[[#All],[Date]:[BMValue]],3,FALSE)-CJ18)/VLOOKUP($X$2,tblBenchmarkSub3[[#All],[Date]:[BMValue]],3,FALSE)%</f>
        <v>#N/A</v>
      </c>
      <c r="DA18" s="134" t="e">
        <f>VLOOKUP($Z18,tblSubFund4[#All],2,FALSE)</f>
        <v>#N/A</v>
      </c>
      <c r="DB18" s="125" t="e">
        <f>(VLOOKUP($X$2,tblSubFund4[[#All],[Date]:[NAV]],7,FALSE)-DA18)/VLOOKUP($X$2,tblSubFund4[[#All],[Date]:[NAV]],7,FALSE)%</f>
        <v>#N/A</v>
      </c>
      <c r="DC18" s="125" t="e">
        <f>VLOOKUP($Z18,tblBenchmarkSub4[#All],2,FALSE)</f>
        <v>#N/A</v>
      </c>
      <c r="DD18" s="135" t="e">
        <f>(VLOOKUP($X$2,tblBenchmarkSub4[[#All],[Date]:[BMValue]],3,FALSE)-DC18)/VLOOKUP($X$2,tblBenchmarkSub4[[#All],[Date]:[BMValue]],3,FALSE)%</f>
        <v>#N/A</v>
      </c>
      <c r="DT18" s="134" t="e">
        <f>VLOOKUP($Z18,tblSubFund5[#All],2,FALSE)</f>
        <v>#N/A</v>
      </c>
      <c r="DU18" s="125" t="e">
        <f>(VLOOKUP($X$2,tblSubFund5[[#All],[Date]:[NAV]],7,FALSE)-DT18)/VLOOKUP($X$2,tblSubFund5[[#All],[Date]:[NAV]],7,FALSE)%</f>
        <v>#N/A</v>
      </c>
      <c r="DV18" s="125" t="e">
        <f>VLOOKUP($Z18,tblBenchmarkSub5[#All],2,FALSE)</f>
        <v>#N/A</v>
      </c>
      <c r="DW18" s="135" t="e">
        <f>(VLOOKUP($X$2,tblBenchmarkSub5[[#All],[Date]:[BMValue]],3,FALSE)-DV18)/VLOOKUP($X$2,tblBenchmarkSub5[[#All],[Date]:[BMValue]],3,FALSE)%</f>
        <v>#N/A</v>
      </c>
      <c r="EM18" s="134" t="e">
        <f>VLOOKUP($Z18,tblSubFund6[#All],2,FALSE)</f>
        <v>#N/A</v>
      </c>
      <c r="EN18" s="125" t="e">
        <f>(VLOOKUP($X$2,tblSubFund6[[#All],[Date]:[NAV]],7,FALSE)-EM18)/VLOOKUP($X$2,tblSubFund6[[#All],[Date]:[NAV]],7,FALSE)%</f>
        <v>#N/A</v>
      </c>
      <c r="EO18" s="125" t="e">
        <f>VLOOKUP($Z18,tblBenchmarkSub6[#All],2,FALSE)</f>
        <v>#N/A</v>
      </c>
      <c r="EP18" s="135" t="e">
        <f>(VLOOKUP($X$2,tblBenchmarkSub6[[#All],[Date]:[BMValue]],3,FALSE)-EO18)/VLOOKUP($X$2,tblBenchmarkSub6[[#All],[Date]:[BMValue]],3,FALSE)%</f>
        <v>#N/A</v>
      </c>
    </row>
    <row r="19" spans="6:146">
      <c r="X19" s="53" t="s">
        <v>186</v>
      </c>
      <c r="Y19" s="117"/>
      <c r="Z19" s="117">
        <f>EOMONTH(DATE(YEAR($X$2)-1,12,31),3)</f>
        <v>42825</v>
      </c>
      <c r="AA19" s="125">
        <f>VLOOKUP($Z19,tblReturnsForSelectedFund[#All],7,FALSE)</f>
        <v>95710421.060000002</v>
      </c>
      <c r="AB19" s="125">
        <f>(VLOOKUP($X$2,tblReturnsForSelectedFund[[#All],[Date]:[NAV]],7,FALSE)-AA19)/VLOOKUP($X$2,tblReturnsForSelectedFund[[#All],[Date]:[NAV]],7,FALSE)%</f>
        <v>-82.349209015954983</v>
      </c>
      <c r="AC19" s="125" t="e">
        <f>VLOOKUP(Z19,tblBenchmarksForSelectedFund[#All],3,FALSE)</f>
        <v>#N/A</v>
      </c>
      <c r="AD19" s="119" t="e">
        <f>(VLOOKUP($X$2,tblBenchmarksForSelectedFund[[#All],[Date]:[BMValue]],3,FALSE)-AC19)/VLOOKUP($X$2,tblBenchmarksForSelectedFund[[#All],[Date]:[BMValue]],3,FALSE)%</f>
        <v>#N/A</v>
      </c>
      <c r="AV19" s="118">
        <f>VLOOKUP($Z19,tblSubFund1[#All],7,FALSE)</f>
        <v>11163982.359999999</v>
      </c>
      <c r="AW19" s="125">
        <f>(VLOOKUP($X$2,tblSubFund1[[#All],[Date]:[NAV]],7,FALSE)-AV19)/VLOOKUP($X$2,tblSubFund1[[#All],[Date]:[NAV]],7,FALSE)%</f>
        <v>36.966045459494737</v>
      </c>
      <c r="AX19" s="125" t="e">
        <f>VLOOKUP($Z19,tblBenchmarkSub1[#All],2,FALSE)</f>
        <v>#N/A</v>
      </c>
      <c r="AY19" s="119" t="e">
        <f>(VLOOKUP($X$2,tblBenchmarkSub1[[#All],[Date]:[BMValue]],3,FALSE)-AX19)/VLOOKUP($X$2,tblBenchmarkSub1[[#All],[Date]:[BMValue]],3,FALSE)%</f>
        <v>#N/A</v>
      </c>
      <c r="BO19" s="118">
        <f>VLOOKUP($Z19,tblSubFund2[#All],7,FALSE)</f>
        <v>31814940.210000001</v>
      </c>
      <c r="BP19" s="125">
        <f>(VLOOKUP($X$2,tblSubFund2[[#All],[Date]:[NAV]],7,FALSE)-BO19)/VLOOKUP($X$2,tblSubFund2[[#All],[Date]:[NAV]],7,FALSE)%</f>
        <v>-7.5243765106757662E-2</v>
      </c>
      <c r="BQ19" s="125" t="e">
        <f>VLOOKUP($Z19,tblBenchmarkSub2[#All],3,FALSE)</f>
        <v>#N/A</v>
      </c>
      <c r="BR19" s="119" t="e">
        <f>(VLOOKUP($X$2,tblBenchmarkSub2[[#All],[Date]:[BMValue]],3,FALSE)-BQ19)/VLOOKUP($X$2,tblBenchmarkSub2[[#All],[Date]:[BMValue]],3,FALSE)%</f>
        <v>#N/A</v>
      </c>
      <c r="CH19" s="118" t="e">
        <f>VLOOKUP($Z19,tblSubFund3[#All],2,FALSE)</f>
        <v>#N/A</v>
      </c>
      <c r="CI19" s="125" t="e">
        <f>(VLOOKUP($X$2,tblSubFund3[[#All],[Date]:[NAV]],7,FALSE)-CH19)/VLOOKUP($X$2,tblSubFund3[[#All],[Date]:[NAV]],7,FALSE)%</f>
        <v>#N/A</v>
      </c>
      <c r="CJ19" s="125" t="e">
        <f>VLOOKUP($Z19,tblBenchmarkSub3[#All],2,FALSE)</f>
        <v>#N/A</v>
      </c>
      <c r="CK19" s="119" t="e">
        <f>(VLOOKUP($X$2,tblBenchmarkSub3[[#All],[Date]:[BMValue]],3,FALSE)-CJ19)/VLOOKUP($X$2,tblBenchmarkSub3[[#All],[Date]:[BMValue]],3,FALSE)%</f>
        <v>#N/A</v>
      </c>
      <c r="DA19" s="134" t="e">
        <f>VLOOKUP($Z19,tblSubFund4[#All],2,FALSE)</f>
        <v>#N/A</v>
      </c>
      <c r="DB19" s="125" t="e">
        <f>(VLOOKUP($X$2,tblSubFund4[[#All],[Date]:[NAV]],7,FALSE)-DA19)/VLOOKUP($X$2,tblSubFund4[[#All],[Date]:[NAV]],7,FALSE)%</f>
        <v>#N/A</v>
      </c>
      <c r="DC19" s="125" t="e">
        <f>VLOOKUP($Z19,tblBenchmarkSub4[#All],2,FALSE)</f>
        <v>#N/A</v>
      </c>
      <c r="DD19" s="135" t="e">
        <f>(VLOOKUP($X$2,tblBenchmarkSub4[[#All],[Date]:[BMValue]],3,FALSE)-DC19)/VLOOKUP($X$2,tblBenchmarkSub4[[#All],[Date]:[BMValue]],3,FALSE)%</f>
        <v>#N/A</v>
      </c>
      <c r="DT19" s="134" t="e">
        <f>VLOOKUP($Z19,tblSubFund5[#All],2,FALSE)</f>
        <v>#N/A</v>
      </c>
      <c r="DU19" s="125" t="e">
        <f>(VLOOKUP($X$2,tblSubFund5[[#All],[Date]:[NAV]],7,FALSE)-DT19)/VLOOKUP($X$2,tblSubFund5[[#All],[Date]:[NAV]],7,FALSE)%</f>
        <v>#N/A</v>
      </c>
      <c r="DV19" s="125" t="e">
        <f>VLOOKUP($Z19,tblBenchmarkSub5[#All],2,FALSE)</f>
        <v>#N/A</v>
      </c>
      <c r="DW19" s="135" t="e">
        <f>(VLOOKUP($X$2,tblBenchmarkSub5[[#All],[Date]:[BMValue]],3,FALSE)-DV19)/VLOOKUP($X$2,tblBenchmarkSub5[[#All],[Date]:[BMValue]],3,FALSE)%</f>
        <v>#N/A</v>
      </c>
      <c r="EM19" s="134" t="e">
        <f>VLOOKUP($Z19,tblSubFund6[#All],2,FALSE)</f>
        <v>#N/A</v>
      </c>
      <c r="EN19" s="125" t="e">
        <f>(VLOOKUP($X$2,tblSubFund6[[#All],[Date]:[NAV]],7,FALSE)-EM19)/VLOOKUP($X$2,tblSubFund6[[#All],[Date]:[NAV]],7,FALSE)%</f>
        <v>#N/A</v>
      </c>
      <c r="EO19" s="125" t="e">
        <f>VLOOKUP($Z19,tblBenchmarkSub6[#All],2,FALSE)</f>
        <v>#N/A</v>
      </c>
      <c r="EP19" s="135" t="e">
        <f>(VLOOKUP($X$2,tblBenchmarkSub6[[#All],[Date]:[BMValue]],3,FALSE)-EO19)/VLOOKUP($X$2,tblBenchmarkSub6[[#All],[Date]:[BMValue]],3,FALSE)%</f>
        <v>#N/A</v>
      </c>
    </row>
    <row r="20" spans="6:146">
      <c r="X20" s="66" t="s">
        <v>189</v>
      </c>
      <c r="Y20" s="117"/>
      <c r="Z20" s="117">
        <f>EOMONTH(DATE(YEAR($X$2)-1,12,31),6)</f>
        <v>42916</v>
      </c>
      <c r="AA20" s="125" t="e">
        <f>VLOOKUP($Z20,tblReturnsForSelectedFund[#All],7,FALSE)</f>
        <v>#N/A</v>
      </c>
      <c r="AB20" s="125" t="e">
        <f>(VLOOKUP($X$2,tblReturnsForSelectedFund[[#All],[Date]:[NAV]],7,FALSE)-AA20)/VLOOKUP($X$2,tblReturnsForSelectedFund[[#All],[Date]:[NAV]],7,FALSE)%</f>
        <v>#N/A</v>
      </c>
      <c r="AC20" s="125" t="e">
        <f>VLOOKUP(Z20,tblBenchmarksForSelectedFund[#All],3,FALSE)</f>
        <v>#N/A</v>
      </c>
      <c r="AD20" s="119" t="e">
        <f>(VLOOKUP($X$2,tblBenchmarksForSelectedFund[[#All],[Date]:[BMValue]],3,FALSE)-AC20)/VLOOKUP($X$2,tblBenchmarksForSelectedFund[[#All],[Date]:[BMValue]],3,FALSE)%</f>
        <v>#N/A</v>
      </c>
      <c r="AV20" s="118" t="e">
        <f>VLOOKUP($Z20,tblSubFund1[#All],7,FALSE)</f>
        <v>#N/A</v>
      </c>
      <c r="AW20" s="125" t="e">
        <f>(VLOOKUP($X$2,tblSubFund1[[#All],[Date]:[NAV]],7,FALSE)-AV20)/VLOOKUP($X$2,tblSubFund1[[#All],[Date]:[NAV]],7,FALSE)%</f>
        <v>#N/A</v>
      </c>
      <c r="AX20" s="125" t="e">
        <f>VLOOKUP($Z20,tblBenchmarkSub1[#All],2,FALSE)</f>
        <v>#N/A</v>
      </c>
      <c r="AY20" s="119" t="e">
        <f>(VLOOKUP($X$2,tblBenchmarkSub1[[#All],[Date]:[BMValue]],3,FALSE)-AX20)/VLOOKUP($X$2,tblBenchmarkSub1[[#All],[Date]:[BMValue]],3,FALSE)%</f>
        <v>#N/A</v>
      </c>
      <c r="BO20" s="118" t="e">
        <f>VLOOKUP($Z20,tblSubFund2[#All],7,FALSE)</f>
        <v>#N/A</v>
      </c>
      <c r="BP20" s="125" t="e">
        <f>(VLOOKUP($X$2,tblSubFund2[[#All],[Date]:[NAV]],7,FALSE)-BO20)/VLOOKUP($X$2,tblSubFund2[[#All],[Date]:[NAV]],7,FALSE)%</f>
        <v>#N/A</v>
      </c>
      <c r="BQ20" s="125" t="e">
        <f>VLOOKUP($Z20,tblBenchmarkSub2[#All],3,FALSE)</f>
        <v>#N/A</v>
      </c>
      <c r="BR20" s="119" t="e">
        <f>(VLOOKUP($X$2,tblBenchmarkSub2[[#All],[Date]:[BMValue]],3,FALSE)-BQ20)/VLOOKUP($X$2,tblBenchmarkSub2[[#All],[Date]:[BMValue]],3,FALSE)%</f>
        <v>#N/A</v>
      </c>
      <c r="CH20" s="118" t="e">
        <f>VLOOKUP($Z20,tblSubFund3[#All],2,FALSE)</f>
        <v>#N/A</v>
      </c>
      <c r="CI20" s="125" t="e">
        <f>(VLOOKUP($X$2,tblSubFund3[[#All],[Date]:[NAV]],7,FALSE)-CH20)/VLOOKUP($X$2,tblSubFund3[[#All],[Date]:[NAV]],7,FALSE)%</f>
        <v>#N/A</v>
      </c>
      <c r="CJ20" s="125" t="e">
        <f>VLOOKUP($Z20,tblBenchmarkSub3[#All],2,FALSE)</f>
        <v>#N/A</v>
      </c>
      <c r="CK20" s="119" t="e">
        <f>(VLOOKUP($X$2,tblBenchmarkSub3[[#All],[Date]:[BMValue]],3,FALSE)-CJ20)/VLOOKUP($X$2,tblBenchmarkSub3[[#All],[Date]:[BMValue]],3,FALSE)%</f>
        <v>#N/A</v>
      </c>
      <c r="DA20" s="134" t="e">
        <f>VLOOKUP($Z20,tblSubFund4[#All],2,FALSE)</f>
        <v>#N/A</v>
      </c>
      <c r="DB20" s="125" t="e">
        <f>(VLOOKUP($X$2,tblSubFund4[[#All],[Date]:[NAV]],7,FALSE)-DA20)/VLOOKUP($X$2,tblSubFund4[[#All],[Date]:[NAV]],7,FALSE)%</f>
        <v>#N/A</v>
      </c>
      <c r="DC20" s="125" t="e">
        <f>VLOOKUP($Z20,tblBenchmarkSub4[#All],2,FALSE)</f>
        <v>#N/A</v>
      </c>
      <c r="DD20" s="135" t="e">
        <f>(VLOOKUP($X$2,tblBenchmarkSub4[[#All],[Date]:[BMValue]],3,FALSE)-DC20)/VLOOKUP($X$2,tblBenchmarkSub4[[#All],[Date]:[BMValue]],3,FALSE)%</f>
        <v>#N/A</v>
      </c>
      <c r="DT20" s="134" t="e">
        <f>VLOOKUP($Z20,tblSubFund5[#All],2,FALSE)</f>
        <v>#N/A</v>
      </c>
      <c r="DU20" s="125" t="e">
        <f>(VLOOKUP($X$2,tblSubFund5[[#All],[Date]:[NAV]],7,FALSE)-DT20)/VLOOKUP($X$2,tblSubFund5[[#All],[Date]:[NAV]],7,FALSE)%</f>
        <v>#N/A</v>
      </c>
      <c r="DV20" s="125" t="e">
        <f>VLOOKUP($Z20,tblBenchmarkSub5[#All],2,FALSE)</f>
        <v>#N/A</v>
      </c>
      <c r="DW20" s="135" t="e">
        <f>(VLOOKUP($X$2,tblBenchmarkSub5[[#All],[Date]:[BMValue]],3,FALSE)-DV20)/VLOOKUP($X$2,tblBenchmarkSub5[[#All],[Date]:[BMValue]],3,FALSE)%</f>
        <v>#N/A</v>
      </c>
      <c r="EM20" s="134" t="e">
        <f>VLOOKUP($Z20,tblSubFund6[#All],2,FALSE)</f>
        <v>#N/A</v>
      </c>
      <c r="EN20" s="125" t="e">
        <f>(VLOOKUP($X$2,tblSubFund6[[#All],[Date]:[NAV]],7,FALSE)-EM20)/VLOOKUP($X$2,tblSubFund6[[#All],[Date]:[NAV]],7,FALSE)%</f>
        <v>#N/A</v>
      </c>
      <c r="EO20" s="125" t="e">
        <f>VLOOKUP($Z20,tblBenchmarkSub6[#All],2,FALSE)</f>
        <v>#N/A</v>
      </c>
      <c r="EP20" s="135" t="e">
        <f>(VLOOKUP($X$2,tblBenchmarkSub6[[#All],[Date]:[BMValue]],3,FALSE)-EO20)/VLOOKUP($X$2,tblBenchmarkSub6[[#All],[Date]:[BMValue]],3,FALSE)%</f>
        <v>#N/A</v>
      </c>
    </row>
    <row r="21" spans="6:146">
      <c r="X21" s="66" t="s">
        <v>190</v>
      </c>
      <c r="Y21" s="117"/>
      <c r="Z21" s="117">
        <f>EOMONTH(DATE(YEAR($X$2)-1,12,31),9)</f>
        <v>43008</v>
      </c>
      <c r="AA21" s="125" t="e">
        <f>VLOOKUP($Z21,tblReturnsForSelectedFund[#All],7,FALSE)</f>
        <v>#N/A</v>
      </c>
      <c r="AB21" s="125" t="e">
        <f>(VLOOKUP($X$2,tblReturnsForSelectedFund[[#All],[Date]:[NAV]],7,FALSE)-AA21)/VLOOKUP($X$2,tblReturnsForSelectedFund[[#All],[Date]:[NAV]],7,FALSE)%</f>
        <v>#N/A</v>
      </c>
      <c r="AC21" s="125" t="e">
        <f>VLOOKUP(Z21,tblBenchmarksForSelectedFund[#All],3,FALSE)</f>
        <v>#N/A</v>
      </c>
      <c r="AD21" s="119" t="e">
        <f>(VLOOKUP($X$2,tblBenchmarksForSelectedFund[[#All],[Date]:[BMValue]],3,FALSE)-AC21)/VLOOKUP($X$2,tblBenchmarksForSelectedFund[[#All],[Date]:[BMValue]],3,FALSE)%</f>
        <v>#N/A</v>
      </c>
      <c r="AV21" s="118" t="e">
        <f>VLOOKUP($Z21,tblSubFund1[#All],7,FALSE)</f>
        <v>#N/A</v>
      </c>
      <c r="AW21" s="125" t="e">
        <f>(VLOOKUP($X$2,tblSubFund1[[#All],[Date]:[NAV]],7,FALSE)-AV21)/VLOOKUP($X$2,tblSubFund1[[#All],[Date]:[NAV]],7,FALSE)%</f>
        <v>#N/A</v>
      </c>
      <c r="AX21" s="125" t="e">
        <f>VLOOKUP($Z21,tblBenchmarkSub1[#All],2,FALSE)</f>
        <v>#N/A</v>
      </c>
      <c r="AY21" s="119" t="e">
        <f>(VLOOKUP($X$2,tblBenchmarkSub1[[#All],[Date]:[BMValue]],3,FALSE)-AX21)/VLOOKUP($X$2,tblBenchmarkSub1[[#All],[Date]:[BMValue]],3,FALSE)%</f>
        <v>#N/A</v>
      </c>
      <c r="BO21" s="118" t="e">
        <f>VLOOKUP($Z21,tblSubFund2[#All],7,FALSE)</f>
        <v>#N/A</v>
      </c>
      <c r="BP21" s="125" t="e">
        <f>(VLOOKUP($X$2,tblSubFund2[[#All],[Date]:[NAV]],7,FALSE)-BO21)/VLOOKUP($X$2,tblSubFund2[[#All],[Date]:[NAV]],7,FALSE)%</f>
        <v>#N/A</v>
      </c>
      <c r="BQ21" s="125" t="e">
        <f>VLOOKUP($Z21,tblBenchmarkSub2[#All],3,FALSE)</f>
        <v>#N/A</v>
      </c>
      <c r="BR21" s="119" t="e">
        <f>(VLOOKUP($X$2,tblBenchmarkSub2[[#All],[Date]:[BMValue]],3,FALSE)-BQ21)/VLOOKUP($X$2,tblBenchmarkSub2[[#All],[Date]:[BMValue]],3,FALSE)%</f>
        <v>#N/A</v>
      </c>
      <c r="CH21" s="118" t="e">
        <f>VLOOKUP($Z21,tblSubFund3[#All],2,FALSE)</f>
        <v>#N/A</v>
      </c>
      <c r="CI21" s="125" t="e">
        <f>(VLOOKUP($X$2,tblSubFund3[[#All],[Date]:[NAV]],7,FALSE)-CH21)/VLOOKUP($X$2,tblSubFund3[[#All],[Date]:[NAV]],7,FALSE)%</f>
        <v>#N/A</v>
      </c>
      <c r="CJ21" s="125" t="e">
        <f>VLOOKUP($Z21,tblBenchmarkSub3[#All],2,FALSE)</f>
        <v>#N/A</v>
      </c>
      <c r="CK21" s="119" t="e">
        <f>(VLOOKUP($X$2,tblBenchmarkSub3[[#All],[Date]:[BMValue]],3,FALSE)-CJ21)/VLOOKUP($X$2,tblBenchmarkSub3[[#All],[Date]:[BMValue]],3,FALSE)%</f>
        <v>#N/A</v>
      </c>
      <c r="DA21" s="134" t="e">
        <f>VLOOKUP($Z21,tblSubFund4[#All],2,FALSE)</f>
        <v>#N/A</v>
      </c>
      <c r="DB21" s="125" t="e">
        <f>(VLOOKUP($X$2,tblSubFund4[[#All],[Date]:[NAV]],7,FALSE)-DA21)/VLOOKUP($X$2,tblSubFund4[[#All],[Date]:[NAV]],7,FALSE)%</f>
        <v>#N/A</v>
      </c>
      <c r="DC21" s="125" t="e">
        <f>VLOOKUP($Z21,tblBenchmarkSub4[#All],2,FALSE)</f>
        <v>#N/A</v>
      </c>
      <c r="DD21" s="135" t="e">
        <f>(VLOOKUP($X$2,tblBenchmarkSub4[[#All],[Date]:[BMValue]],3,FALSE)-DC21)/VLOOKUP($X$2,tblBenchmarkSub4[[#All],[Date]:[BMValue]],3,FALSE)%</f>
        <v>#N/A</v>
      </c>
      <c r="DT21" s="134" t="e">
        <f>VLOOKUP($Z21,tblSubFund5[#All],2,FALSE)</f>
        <v>#N/A</v>
      </c>
      <c r="DU21" s="125" t="e">
        <f>(VLOOKUP($X$2,tblSubFund5[[#All],[Date]:[NAV]],7,FALSE)-DT21)/VLOOKUP($X$2,tblSubFund5[[#All],[Date]:[NAV]],7,FALSE)%</f>
        <v>#N/A</v>
      </c>
      <c r="DV21" s="125" t="e">
        <f>VLOOKUP($Z21,tblBenchmarkSub5[#All],2,FALSE)</f>
        <v>#N/A</v>
      </c>
      <c r="DW21" s="135" t="e">
        <f>(VLOOKUP($X$2,tblBenchmarkSub5[[#All],[Date]:[BMValue]],3,FALSE)-DV21)/VLOOKUP($X$2,tblBenchmarkSub5[[#All],[Date]:[BMValue]],3,FALSE)%</f>
        <v>#N/A</v>
      </c>
      <c r="EM21" s="134" t="e">
        <f>VLOOKUP($Z21,tblSubFund6[#All],2,FALSE)</f>
        <v>#N/A</v>
      </c>
      <c r="EN21" s="125" t="e">
        <f>(VLOOKUP($X$2,tblSubFund6[[#All],[Date]:[NAV]],7,FALSE)-EM21)/VLOOKUP($X$2,tblSubFund6[[#All],[Date]:[NAV]],7,FALSE)%</f>
        <v>#N/A</v>
      </c>
      <c r="EO21" s="125" t="e">
        <f>VLOOKUP($Z21,tblBenchmarkSub6[#All],2,FALSE)</f>
        <v>#N/A</v>
      </c>
      <c r="EP21" s="135" t="e">
        <f>(VLOOKUP($X$2,tblBenchmarkSub6[[#All],[Date]:[BMValue]],3,FALSE)-EO21)/VLOOKUP($X$2,tblBenchmarkSub6[[#All],[Date]:[BMValue]],3,FALSE)%</f>
        <v>#N/A</v>
      </c>
    </row>
    <row r="22" spans="6:146" ht="15.75" thickBot="1">
      <c r="X22" s="66" t="s">
        <v>191</v>
      </c>
      <c r="Y22" s="117"/>
      <c r="Z22" s="117">
        <f>EOMONTH(DATE(YEAR($X$2)-1,12,31),12)</f>
        <v>43100</v>
      </c>
      <c r="AA22" s="125" t="e">
        <f>VLOOKUP($Z22,tblReturnsForSelectedFund[#All],7,FALSE)</f>
        <v>#N/A</v>
      </c>
      <c r="AB22" s="125" t="e">
        <f>(VLOOKUP($X$2,tblReturnsForSelectedFund[[#All],[Date]:[NAV]],7,FALSE)-AA22)/VLOOKUP($X$2,tblReturnsForSelectedFund[[#All],[Date]:[NAV]],7,FALSE)%</f>
        <v>#N/A</v>
      </c>
      <c r="AC22" s="125" t="e">
        <f>VLOOKUP(Z22,tblBenchmarksForSelectedFund[#All],3,FALSE)</f>
        <v>#N/A</v>
      </c>
      <c r="AD22" s="119" t="e">
        <f>(VLOOKUP($X$2,tblBenchmarksForSelectedFund[[#All],[Date]:[BMValue]],3,FALSE)-AC22)/VLOOKUP($X$2,tblBenchmarksForSelectedFund[[#All],[Date]:[BMValue]],3,FALSE)%</f>
        <v>#N/A</v>
      </c>
      <c r="AV22" s="120" t="e">
        <f>VLOOKUP($Z22,tblSubFund1[#All],7,FALSE)</f>
        <v>#N/A</v>
      </c>
      <c r="AW22" s="121" t="e">
        <f>(VLOOKUP($X$2,tblSubFund1[[#All],[Date]:[NAV]],7,FALSE)-AV22)/VLOOKUP($X$2,tblSubFund1[[#All],[Date]:[NAV]],7,FALSE)%</f>
        <v>#N/A</v>
      </c>
      <c r="AX22" s="121" t="e">
        <f>VLOOKUP($Z22,tblBenchmarkSub1[#All],2,FALSE)</f>
        <v>#N/A</v>
      </c>
      <c r="AY22" s="122" t="e">
        <f>(VLOOKUP($X$2,tblBenchmarkSub1[[#All],[Date]:[BMValue]],3,FALSE)-AX22)/VLOOKUP($X$2,tblBenchmarkSub1[[#All],[Date]:[BMValue]],3,FALSE)%</f>
        <v>#N/A</v>
      </c>
      <c r="BO22" s="120" t="e">
        <f>VLOOKUP($Z22,tblSubFund2[#All],7,FALSE)</f>
        <v>#N/A</v>
      </c>
      <c r="BP22" s="125" t="e">
        <f>(VLOOKUP($X$2,tblSubFund2[[#All],[Date]:[NAV]],7,FALSE)-BO22)/VLOOKUP($X$2,tblSubFund2[[#All],[Date]:[NAV]],7,FALSE)%</f>
        <v>#N/A</v>
      </c>
      <c r="BQ22" s="121" t="e">
        <f>VLOOKUP($Z22,tblBenchmarkSub2[#All],3,FALSE)</f>
        <v>#N/A</v>
      </c>
      <c r="BR22" s="119" t="e">
        <f>(VLOOKUP($X$2,tblBenchmarkSub2[[#All],[Date]:[BMValue]],3,FALSE)-BQ22)/VLOOKUP($X$2,tblBenchmarkSub2[[#All],[Date]:[BMValue]],3,FALSE)%</f>
        <v>#N/A</v>
      </c>
      <c r="CH22" s="120" t="e">
        <f>VLOOKUP($Z22,tblSubFund3[#All],2,FALSE)</f>
        <v>#N/A</v>
      </c>
      <c r="CI22" s="121" t="e">
        <f>(VLOOKUP($X$2,tblSubFund3[[#All],[Date]:[NAV]],7,FALSE)-CH22)/VLOOKUP($X$2,tblSubFund3[[#All],[Date]:[NAV]],7,FALSE)%</f>
        <v>#N/A</v>
      </c>
      <c r="CJ22" s="121" t="e">
        <f>VLOOKUP($Z22,tblBenchmarkSub3[#All],2,FALSE)</f>
        <v>#N/A</v>
      </c>
      <c r="CK22" s="122" t="e">
        <f>(VLOOKUP($X$2,tblBenchmarkSub3[[#All],[Date]:[BMValue]],3,FALSE)-CJ22)/VLOOKUP($X$2,tblBenchmarkSub3[[#All],[Date]:[BMValue]],3,FALSE)%</f>
        <v>#N/A</v>
      </c>
      <c r="DA22" s="138" t="e">
        <f>VLOOKUP($Z22,tblSubFund4[#All],2,FALSE)</f>
        <v>#N/A</v>
      </c>
      <c r="DB22" s="139" t="e">
        <f>(VLOOKUP($X$2,tblSubFund4[[#All],[Date]:[NAV]],7,FALSE)-DA22)/VLOOKUP($X$2,tblSubFund4[[#All],[Date]:[NAV]],7,FALSE)%</f>
        <v>#N/A</v>
      </c>
      <c r="DC22" s="139" t="e">
        <f>VLOOKUP($Z22,tblBenchmarkSub4[#All],2,FALSE)</f>
        <v>#N/A</v>
      </c>
      <c r="DD22" s="140" t="e">
        <f>(VLOOKUP($X$2,tblBenchmarkSub4[[#All],[Date]:[BMValue]],3,FALSE)-DC22)/VLOOKUP($X$2,tblBenchmarkSub4[[#All],[Date]:[BMValue]],3,FALSE)%</f>
        <v>#N/A</v>
      </c>
      <c r="DT22" s="138" t="e">
        <f>VLOOKUP($Z22,tblSubFund5[#All],2,FALSE)</f>
        <v>#N/A</v>
      </c>
      <c r="DU22" s="139" t="e">
        <f>(VLOOKUP($X$2,tblSubFund5[[#All],[Date]:[NAV]],7,FALSE)-DT22)/VLOOKUP($X$2,tblSubFund5[[#All],[Date]:[NAV]],7,FALSE)%</f>
        <v>#N/A</v>
      </c>
      <c r="DV22" s="139" t="e">
        <f>VLOOKUP($Z22,tblBenchmarkSub5[#All],2,FALSE)</f>
        <v>#N/A</v>
      </c>
      <c r="DW22" s="140" t="e">
        <f>(VLOOKUP($X$2,tblBenchmarkSub5[[#All],[Date]:[BMValue]],3,FALSE)-DV22)/VLOOKUP($X$2,tblBenchmarkSub5[[#All],[Date]:[BMValue]],3,FALSE)%</f>
        <v>#N/A</v>
      </c>
      <c r="EM22" s="138" t="e">
        <f>VLOOKUP($Z22,tblSubFund6[#All],2,FALSE)</f>
        <v>#N/A</v>
      </c>
      <c r="EN22" s="139" t="e">
        <f>(VLOOKUP($X$2,tblSubFund6[[#All],[Date]:[NAV]],7,FALSE)-EM22)/VLOOKUP($X$2,tblSubFund6[[#All],[Date]:[NAV]],7,FALSE)%</f>
        <v>#N/A</v>
      </c>
      <c r="EO22" s="139" t="e">
        <f>VLOOKUP($Z22,tblBenchmarkSub6[#All],2,FALSE)</f>
        <v>#N/A</v>
      </c>
      <c r="EP22" s="140" t="e">
        <f>(VLOOKUP($X$2,tblBenchmarkSub6[[#All],[Date]:[BMValue]],3,FALSE)-EO22)/VLOOKUP($X$2,tblBenchmarkSub6[[#All],[Date]:[BMValue]],3,FALSE)%</f>
        <v>#N/A</v>
      </c>
    </row>
    <row r="23" spans="6:146">
      <c r="X23" s="120"/>
      <c r="Y23" s="121"/>
      <c r="Z23" s="121"/>
      <c r="AA23" s="121"/>
      <c r="AB23" s="121">
        <f>(VLOOKUP($X$2,tblReturnsForSelectedFund[[#All],[Date]:[NAV]],7,FALSE)-AA23)/VLOOKUP($X$2,tblReturnsForSelectedFund[[#All],[Date]:[NAV]],7,FALSE)%</f>
        <v>99.999999999999986</v>
      </c>
      <c r="AC23" s="121"/>
      <c r="AD23" s="122"/>
    </row>
  </sheetData>
  <pageMargins left="0.7" right="0.7" top="0.75" bottom="0.75" header="0.3" footer="0.3"/>
  <pageSetup paperSize="9" orientation="portrait" r:id="rId1"/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14</vt:i4>
      </vt:variant>
    </vt:vector>
  </HeadingPairs>
  <TitlesOfParts>
    <vt:vector size="30" baseType="lpstr">
      <vt:lpstr>HOME</vt:lpstr>
      <vt:lpstr>BOneReturns</vt:lpstr>
      <vt:lpstr>Checks</vt:lpstr>
      <vt:lpstr>iPasLoad</vt:lpstr>
      <vt:lpstr>iPasBmkLoad</vt:lpstr>
      <vt:lpstr>ReturnHistory</vt:lpstr>
      <vt:lpstr>CoverPageComment</vt:lpstr>
      <vt:lpstr>ConfigTables</vt:lpstr>
      <vt:lpstr>RefTables</vt:lpstr>
      <vt:lpstr>PERFORMANCE SUMMARY</vt:lpstr>
      <vt:lpstr>SUPPLEMENTARY DATA - AGG</vt:lpstr>
      <vt:lpstr>SUPPLEMENTARY DATA - WHT</vt:lpstr>
      <vt:lpstr>SUPPLEMENTARY DATA - CAP</vt:lpstr>
      <vt:lpstr>SUPPLEMENTARY DATA - EXCL</vt:lpstr>
      <vt:lpstr>Historical Data</vt:lpstr>
      <vt:lpstr>CoverpageTables</vt:lpstr>
      <vt:lpstr>RngConfigDbEnv</vt:lpstr>
      <vt:lpstr>RngConfigRowVersion</vt:lpstr>
      <vt:lpstr>RngConfigSheetsAutoProtect</vt:lpstr>
      <vt:lpstr>RngConfigUserName</vt:lpstr>
      <vt:lpstr>rngCoverpageReturns</vt:lpstr>
      <vt:lpstr>CoverpageTables!RngEndDate</vt:lpstr>
      <vt:lpstr>'Historical Data'!RngEndDate</vt:lpstr>
      <vt:lpstr>'PERFORMANCE SUMMARY'!RngEndDate</vt:lpstr>
      <vt:lpstr>RngEndDate</vt:lpstr>
      <vt:lpstr>RngStartDate</vt:lpstr>
      <vt:lpstr>RngUniqueCodeCheck</vt:lpstr>
      <vt:lpstr>RngUniqueCodeCheck2</vt:lpstr>
      <vt:lpstr>RngVersionDB</vt:lpstr>
      <vt:lpstr>RngVersionEnvironment</vt:lpstr>
    </vt:vector>
  </TitlesOfParts>
  <Company>Legal &amp; General Investment Management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Gourdet, Marc;Chramosil, Radek;Radek.Chramosil@lgim.com</dc:creator>
  <cp:lastModifiedBy>Chramosil, Radek</cp:lastModifiedBy>
  <dcterms:created xsi:type="dcterms:W3CDTF">2013-12-03T15:13:41Z</dcterms:created>
  <dcterms:modified xsi:type="dcterms:W3CDTF">2017-07-24T10:56:37Z</dcterms:modified>
</cp:coreProperties>
</file>