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Times_Training\Model_LSBtest\"/>
    </mc:Choice>
  </mc:AlternateContent>
  <xr:revisionPtr revIDLastSave="0" documentId="13_ncr:1_{EB16A300-8772-4F0D-8C38-4ECFCDF9811A}" xr6:coauthVersionLast="47" xr6:coauthVersionMax="47" xr10:uidLastSave="{00000000-0000-0000-0000-000000000000}"/>
  <bookViews>
    <workbookView xWindow="28680" yWindow="-120" windowWidth="38640" windowHeight="15840" tabRatio="901" activeTab="7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40" l="1"/>
  <c r="L29" i="140"/>
  <c r="L28" i="140"/>
  <c r="R16" i="147"/>
  <c r="Q16" i="147"/>
  <c r="O16" i="147"/>
  <c r="M12" i="142"/>
  <c r="M6" i="142"/>
  <c r="O15" i="147"/>
  <c r="I14" i="147"/>
  <c r="M27" i="140"/>
  <c r="L27" i="140"/>
  <c r="L12" i="140"/>
  <c r="O5" i="147"/>
  <c r="I12" i="147"/>
  <c r="F2" i="147"/>
  <c r="E2" i="147"/>
  <c r="R12" i="147" s="1"/>
  <c r="D2" i="147"/>
  <c r="C2" i="147"/>
  <c r="B2" i="14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24" i="140" s="1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D21" i="140"/>
  <c r="C21" i="140" s="1"/>
  <c r="I10" i="142"/>
  <c r="M11" i="136"/>
  <c r="B11" i="136" s="1"/>
  <c r="M14" i="136"/>
  <c r="B16" i="136" s="1"/>
  <c r="O12" i="137"/>
  <c r="O11" i="142"/>
  <c r="W14" i="143"/>
  <c r="E11" i="146"/>
  <c r="W18" i="143"/>
  <c r="W5" i="143"/>
  <c r="W13" i="143"/>
  <c r="Q11" i="141"/>
  <c r="H10" i="142"/>
  <c r="O11" i="137"/>
  <c r="O5" i="137"/>
  <c r="C17" i="136"/>
  <c r="D16" i="136"/>
  <c r="D13" i="136"/>
  <c r="D11" i="136"/>
  <c r="N11" i="142"/>
  <c r="B11" i="142"/>
  <c r="D24" i="133"/>
  <c r="E9" i="134" s="1"/>
  <c r="O5" i="146"/>
  <c r="H10" i="144"/>
  <c r="Q12" i="145"/>
  <c r="G10" i="144"/>
  <c r="M7" i="140"/>
  <c r="M22" i="140" s="1"/>
  <c r="O23" i="140"/>
  <c r="D16" i="143"/>
  <c r="M12" i="132"/>
  <c r="N12" i="132" s="1"/>
  <c r="H11" i="146"/>
  <c r="E11" i="145"/>
  <c r="O5" i="144"/>
  <c r="P5" i="141"/>
  <c r="D14" i="141" s="1"/>
  <c r="I10" i="144"/>
  <c r="N23" i="140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L20" i="140" l="1"/>
  <c r="B20" i="140" s="1"/>
  <c r="N12" i="140"/>
  <c r="C22" i="143"/>
  <c r="U13" i="143"/>
  <c r="V13" i="143" s="1"/>
  <c r="D23" i="140"/>
  <c r="C23" i="140" s="1"/>
  <c r="N27" i="140"/>
  <c r="O27" i="140"/>
  <c r="N9" i="140"/>
  <c r="Q15" i="147"/>
  <c r="R15" i="147"/>
  <c r="Q14" i="147"/>
  <c r="R13" i="147"/>
  <c r="Q13" i="147"/>
  <c r="R14" i="147"/>
  <c r="N6" i="140"/>
  <c r="N7" i="140"/>
  <c r="O20" i="140"/>
  <c r="E19" i="140"/>
  <c r="N26" i="140"/>
  <c r="O21" i="140"/>
  <c r="L24" i="140"/>
  <c r="B24" i="140" s="1"/>
  <c r="O26" i="140"/>
  <c r="O24" i="140"/>
  <c r="N5" i="140"/>
  <c r="N21" i="140"/>
  <c r="O25" i="140"/>
  <c r="N8" i="140"/>
  <c r="N20" i="140"/>
  <c r="O22" i="140"/>
  <c r="N25" i="140"/>
  <c r="N10" i="140"/>
  <c r="N22" i="140"/>
  <c r="N11" i="140"/>
  <c r="I11" i="147"/>
  <c r="Q5" i="147"/>
  <c r="E11" i="147"/>
  <c r="H11" i="147"/>
  <c r="Q12" i="147"/>
  <c r="N11" i="144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L11" i="140"/>
  <c r="L10" i="140"/>
  <c r="U15" i="143" s="1"/>
  <c r="O13" i="137"/>
  <c r="P6" i="138"/>
  <c r="C12" i="138"/>
  <c r="N15" i="136"/>
  <c r="M13" i="137"/>
  <c r="M5" i="137"/>
  <c r="M15" i="137"/>
  <c r="I11" i="143"/>
  <c r="B14" i="143" l="1"/>
  <c r="C20" i="143"/>
  <c r="U12" i="143"/>
  <c r="V12" i="143" s="1"/>
  <c r="B18" i="143"/>
  <c r="V15" i="143"/>
  <c r="N13" i="137"/>
  <c r="B15" i="137"/>
  <c r="D26" i="140"/>
  <c r="C26" i="140" s="1"/>
  <c r="U16" i="143"/>
  <c r="L26" i="140"/>
  <c r="B26" i="140" s="1"/>
  <c r="C19" i="143"/>
  <c r="N11" i="132"/>
  <c r="B11" i="132"/>
  <c r="V19" i="143"/>
  <c r="B24" i="143"/>
  <c r="N15" i="137"/>
  <c r="B17" i="137"/>
  <c r="C18" i="143"/>
  <c r="B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5" i="137"/>
  <c r="D13" i="137"/>
  <c r="D11" i="137"/>
  <c r="D16" i="137"/>
  <c r="C17" i="137"/>
  <c r="D25" i="140"/>
  <c r="C25" i="140" s="1"/>
  <c r="L25" i="140"/>
  <c r="B25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F9F0B47E-4798-460C-AB59-E3192D42A86A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4D48BD31-FF96-4423-8B13-4BE461B8AD1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C5041A0-350B-4E79-AA7E-C766E4B7AC0D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D1269580-F675-4B82-B389-ED70A9CED1C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61650AFF-FE96-4580-B677-7126325A31F3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BAEAB12B-03C5-4E11-A78B-D099030736E3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6F3CB478-7F76-4D41-BC76-FB02263201C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2D7CCFE0-767D-4936-94CE-4053AE4502CD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040DD414-C84C-4C5D-A02C-641AA559640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<sst xmlns="http://schemas.openxmlformats.org/spreadsheetml/2006/main" count="1036" uniqueCount="229">
  <si>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</si>
  <si>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</si>
  <si>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</si>
  <si>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</si>
  <si>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</si>
  <si>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</si>
  <si>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</si>
  <si>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</si>
  <si>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</si>
  <si>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</si>
  <si>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</si>
  <si>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</si>
  <si>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</si>
  <si>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</si>
  <si>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</si>
  <si>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</si>
  <si>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</si>
  <si>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</si>
  <si>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</si>
  <si>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</si>
  <si>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</si>
  <si>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</si>
  <si>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</si>
  <si>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</si>
  <si>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</si>
  <si>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</si>
  <si>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</si>
  <si>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</si>
  <si>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</si>
  <si>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</si>
  <si>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</si>
  <si>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</si>
  <si>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</si>
  <si>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</si>
  <si>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</si>
  <si>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</si>
  <si>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</si>
  <si>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</si>
  <si>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</si>
  <si>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</si>
  <si>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</si>
  <si>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</si>
  <si>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</si>
  <si>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</si>
  <si>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</si>
  <si>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</si>
  <si>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</si>
  <si>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</si>
  <si>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</si>
  <si>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</si>
  <si>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</si>
  <si>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</si>
  <si>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</si>
  <si>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</si>
  <si>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</si>
  <si>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</si>
  <si>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</si>
  <si>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</si>
  <si>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</si>
  <si>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</si>
  <si>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</si>
  <si>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</si>
  <si>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</si>
  <si>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</si>
  <si>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</si>
  <si>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</si>
  <si>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</si>
  <si>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</si>
  <si>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</si>
  <si>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</si>
  <si>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</si>
  <si>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</si>
  <si>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</si>
  <si>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</si>
  <si>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</si>
  <si>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</si>
  <si>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</si>
  <si>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</si>
  <si>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</si>
  <si>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</si>
  <si>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</si>
  <si>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</si>
  <si>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</si>
  <si>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</si>
  <si>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</si>
  <si>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</si>
  <si>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</si>
  <si>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</si>
  <si>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</si>
  <si>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</si>
  <si>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</si>
  <si>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</si>
  <si>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</si>
  <si>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</si>
  <si>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</si>
  <si>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</si>
  <si>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</si>
  <si>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</si>
  <si>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</si>
  <si>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</si>
  <si>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</si>
  <si>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</si>
  <si>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</si>
  <si>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</si>
  <si>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</si>
  <si>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</si>
  <si>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</si>
  <si>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</si>
  <si>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</si>
  <si>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</si>
  <si>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</si>
  <si>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</si>
  <si>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</si>
  <si>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</si>
  <si>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</si>
  <si>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</si>
  <si>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</si>
  <si>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</si>
  <si>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</si>
  <si>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</si>
  <si>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</si>
  <si>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</si>
  <si>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</si>
  <si>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</si>
  <si>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</si>
  <si>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</si>
  <si>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</si>
  <si>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</si>
  <si>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</si>
  <si>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</si>
  <si>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</si>
  <si>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</si>
  <si>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</si>
  <si>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</si>
  <si>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</si>
  <si>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</si>
  <si>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</si>
  <si>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</si>
  <si>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</si>
  <si>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</si>
  <si>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</si>
  <si>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</si>
  <si>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</si>
  <si>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</si>
  <si>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</si>
  <si>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</si>
  <si>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</si>
  <si>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</si>
  <si>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</si>
  <si>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</si>
  <si>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</si>
  <si>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</si>
  <si>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</si>
  <si>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</si>
  <si>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</si>
  <si>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</si>
  <si>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</si>
  <si>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</si>
  <si>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</si>
  <si>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</si>
  <si>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</si>
  <si>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</si>
  <si>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</si>
  <si>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</si>
  <si>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</si>
  <si>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</si>
  <si>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</si>
  <si>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</si>
  <si>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</si>
  <si>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</si>
  <si>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</si>
  <si>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</si>
  <si>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</si>
  <si>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</si>
  <si>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</si>
  <si>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</si>
  <si>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</si>
  <si>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</si>
  <si>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</si>
  <si>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</si>
  <si>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</si>
  <si>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</si>
  <si>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</si>
  <si>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</si>
  <si>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</si>
  <si>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</si>
  <si>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</si>
  <si>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</si>
  <si>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</si>
  <si>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</si>
  <si>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</si>
  <si>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</si>
  <si>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</si>
  <si>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</si>
  <si>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</si>
  <si>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</si>
  <si>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</si>
  <si>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</si>
  <si>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</si>
  <si>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</si>
  <si>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</si>
  <si>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</si>
  <si>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DPCH</t>
  </si>
  <si>
    <t>DPCHGAS</t>
  </si>
  <si>
    <t>DPCHGAS2</t>
  </si>
  <si>
    <t>LFOIL</t>
  </si>
  <si>
    <t>DPCHLFOIL</t>
  </si>
  <si>
    <t>Demand PetroChemical Gas</t>
  </si>
  <si>
    <t>Demand PetroChemical Gas 2</t>
  </si>
  <si>
    <t>Demand PetroChemical Light Fuel Oil</t>
  </si>
  <si>
    <t>Demand of Petrochemical</t>
  </si>
  <si>
    <t>Petrochemical Oil</t>
  </si>
  <si>
    <t>FTE-OIL</t>
  </si>
  <si>
    <t>RNW1</t>
  </si>
  <si>
    <t>DPCHRNW1</t>
  </si>
  <si>
    <t>Demand PetroChemical Renewable 1</t>
  </si>
  <si>
    <t>MINRN1_1</t>
  </si>
  <si>
    <t>Renewable Energies 1</t>
  </si>
  <si>
    <t>Domestic Supply of Renewble Energies Step 1 from RNW1</t>
  </si>
  <si>
    <t>H2</t>
  </si>
  <si>
    <t>DPCH_H2</t>
  </si>
  <si>
    <t>Demand PetroChemical H2</t>
  </si>
  <si>
    <t>FTE-GASTOH2</t>
  </si>
  <si>
    <t>sector fuel existing gas converting H2</t>
  </si>
  <si>
    <t>Hydrogen</t>
  </si>
  <si>
    <t>FTE-GASTOH2_CCS</t>
  </si>
  <si>
    <t>ENV_ACT~ ELCCO2</t>
  </si>
  <si>
    <t>sector fuel existing gas converting H2 + CCS</t>
  </si>
  <si>
    <t>FTE-ELCTOH2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</si>
</sst>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26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 applyBorder="1"/>
    <xf numFmtId="0" fontId="1" fillId="0" borderId="0" xfId="10" applyFont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Border="1" applyAlignment="1">
      <alignment wrapText="1"/>
    </xf>
    <xf numFmtId="0" fontId="1" fillId="0" borderId="0" xfId="0" applyFont="1" applyFill="1"/>
    <xf numFmtId="0" fontId="1" fillId="0" borderId="0" xfId="10" applyFont="1" applyFill="1" applyBorder="1"/>
  </cellXfs>
  <cellStyles count="22">
    <cellStyle name="20% - Énfasis5" xfId="1" builtinId="46"/>
    <cellStyle name="40% - Énfasis3" xfId="2" builtinId="39"/>
    <cellStyle name="60% - Énfasis2" xfId="3" builtinId="36"/>
    <cellStyle name="Bueno" xfId="7" builtinId="26"/>
    <cellStyle name="Cálculo" xfId="5" builtinId="22"/>
    <cellStyle name="Comma 2" xfId="6" xr:uid="{00000000-0005-0000-0000-000005000000}"/>
    <cellStyle name="Énfasis2" xfId="4" builtinId="33"/>
    <cellStyle name="Entrada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Porcentaje" xfId="17" builtinId="5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</xdr:colOff>
      <xdr:row>20</xdr:row>
      <xdr:rowOff>93980</xdr:rowOff>
    </xdr:from>
    <xdr:to>
      <xdr:col>18</xdr:col>
      <xdr:colOff>114404</xdr:colOff>
      <xdr:row>27</xdr:row>
      <xdr:rowOff>92075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71F8C-4D58-4863-85E3-5B9760E03B11}"/>
            </a:ext>
          </a:extLst>
        </xdr:cNvPr>
        <xdr:cNvSpPr txBox="1"/>
      </xdr:nvSpPr>
      <xdr:spPr>
        <a:xfrm>
          <a:off x="8164829" y="3837305"/>
          <a:ext cx="6446625" cy="1131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543560</xdr:colOff>
      <xdr:row>32</xdr:row>
      <xdr:rowOff>66675</xdr:rowOff>
    </xdr:from>
    <xdr:to>
      <xdr:col>15</xdr:col>
      <xdr:colOff>534670</xdr:colOff>
      <xdr:row>38</xdr:row>
      <xdr:rowOff>73025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6963410" y="4714875"/>
          <a:ext cx="6677660" cy="977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baseColWidth="10" defaultColWidth="8.7265625" defaultRowHeight="12.5" x14ac:dyDescent="0.25"/>
  <cols>
    <col min="1" max="1" width="3" bestFit="1" customWidth="1"/>
    <col min="2" max="2" width="18.453125" bestFit="1" customWidth="1"/>
    <col min="3" max="3" width="41.1796875" bestFit="1" customWidth="1"/>
    <col min="4" max="5" width="12.7265625" customWidth="1"/>
    <col min="6" max="6" width="13.7265625" bestFit="1" customWidth="1"/>
    <col min="7" max="11" width="12.7265625" customWidth="1"/>
    <col min="12" max="13" width="10.81640625" customWidth="1"/>
    <col min="14" max="14" width="12.54296875" bestFit="1" customWidth="1"/>
    <col min="15" max="15" width="2" bestFit="1" customWidth="1"/>
    <col min="16" max="16" width="12.26953125" bestFit="1" customWidth="1"/>
    <col min="18" max="18" width="6.7265625" bestFit="1" customWidth="1"/>
    <col min="19" max="19" width="9.26953125" bestFit="1" customWidth="1"/>
    <col min="20" max="20" width="2" bestFit="1" customWidth="1"/>
  </cols>
  <sheetData>
    <row r="1" spans="1:19" s="9" customFormat="1" ht="13" x14ac:dyDescent="0.3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5" x14ac:dyDescent="0.35">
      <c r="C2" s="10"/>
      <c r="D2" s="69" t="s">
        <v>47</v>
      </c>
      <c r="E2" s="69" t="s">
        <v>48</v>
      </c>
      <c r="F2" s="69" t="s">
        <v>49</v>
      </c>
      <c r="G2" s="69" t="s">
        <v>50</v>
      </c>
      <c r="H2" s="69" t="s">
        <v>51</v>
      </c>
      <c r="I2" s="69" t="s">
        <v>52</v>
      </c>
      <c r="J2" s="69" t="s">
        <v>53</v>
      </c>
      <c r="K2" s="69" t="s">
        <v>54</v>
      </c>
      <c r="L2" s="46"/>
      <c r="M2" s="9"/>
      <c r="P2" s="11"/>
      <c r="Q2" s="67" t="s">
        <v>179</v>
      </c>
      <c r="R2" s="19" t="s">
        <v>97</v>
      </c>
      <c r="S2" s="19" t="s">
        <v>135</v>
      </c>
    </row>
    <row r="3" spans="1:19" ht="40.9" customHeight="1" x14ac:dyDescent="0.3">
      <c r="C3" s="12"/>
      <c r="D3" s="70" t="s">
        <v>55</v>
      </c>
      <c r="E3" s="70" t="s">
        <v>56</v>
      </c>
      <c r="F3" s="70" t="s">
        <v>199</v>
      </c>
      <c r="G3" s="70" t="s">
        <v>57</v>
      </c>
      <c r="H3" s="70" t="s">
        <v>58</v>
      </c>
      <c r="I3" s="70" t="s">
        <v>59</v>
      </c>
      <c r="J3" s="70" t="s">
        <v>60</v>
      </c>
      <c r="K3" s="70" t="s">
        <v>111</v>
      </c>
      <c r="L3" s="65" t="s">
        <v>61</v>
      </c>
      <c r="M3" s="9"/>
    </row>
    <row r="4" spans="1:19" x14ac:dyDescent="0.25">
      <c r="C4" s="163" t="s">
        <v>62</v>
      </c>
      <c r="D4" s="164"/>
      <c r="E4" s="164"/>
      <c r="F4" s="164"/>
      <c r="G4" s="165"/>
      <c r="H4" s="165"/>
      <c r="I4" s="165"/>
      <c r="J4" s="165"/>
      <c r="K4" s="165"/>
      <c r="L4" s="166"/>
      <c r="M4" s="9"/>
    </row>
    <row r="5" spans="1:19" ht="14.5" x14ac:dyDescent="0.35">
      <c r="B5" s="71" t="s">
        <v>63</v>
      </c>
      <c r="C5" s="167" t="s">
        <v>64</v>
      </c>
      <c r="D5" s="81">
        <v>8098.3580000000002</v>
      </c>
      <c r="E5" s="80">
        <v>7899.4970000000003</v>
      </c>
      <c r="F5" s="80">
        <v>5378.5119999999997</v>
      </c>
      <c r="G5" s="68">
        <v>10775.148999999999</v>
      </c>
      <c r="H5" s="68">
        <v>5026.6000000000004</v>
      </c>
      <c r="I5" s="68">
        <v>0</v>
      </c>
      <c r="J5" s="68">
        <v>0</v>
      </c>
      <c r="K5" s="68">
        <v>0</v>
      </c>
      <c r="L5" s="168">
        <f>SUM(D5:K5)</f>
        <v>37178.115999999995</v>
      </c>
      <c r="M5" s="9"/>
      <c r="P5" s="13"/>
    </row>
    <row r="6" spans="1:19" ht="14.5" x14ac:dyDescent="0.35">
      <c r="B6" s="71" t="s">
        <v>65</v>
      </c>
      <c r="C6" s="167" t="s">
        <v>66</v>
      </c>
      <c r="D6" s="82">
        <v>6462.6710000000003</v>
      </c>
      <c r="E6" s="78">
        <v>13291.728999999999</v>
      </c>
      <c r="F6" s="78">
        <v>39959.980000000003</v>
      </c>
      <c r="G6" s="68">
        <v>0</v>
      </c>
      <c r="H6" s="68">
        <v>113.01900000000001</v>
      </c>
      <c r="I6" s="68">
        <v>7.0000000000000001E-3</v>
      </c>
      <c r="J6" s="68">
        <v>0.153</v>
      </c>
      <c r="K6" s="68">
        <v>1167.52</v>
      </c>
      <c r="L6" s="168">
        <f>SUM(D6:K6)</f>
        <v>60995.078999999998</v>
      </c>
      <c r="M6" s="9"/>
    </row>
    <row r="7" spans="1:19" ht="14.5" x14ac:dyDescent="0.35">
      <c r="B7" s="71" t="s">
        <v>67</v>
      </c>
      <c r="C7" s="167" t="s">
        <v>68</v>
      </c>
      <c r="D7" s="82">
        <v>-1147.069</v>
      </c>
      <c r="E7" s="78">
        <v>-2516.3310000000001</v>
      </c>
      <c r="F7" s="78">
        <v>-14830.662</v>
      </c>
      <c r="G7" s="68">
        <v>0</v>
      </c>
      <c r="H7" s="68">
        <v>-72.403999999999996</v>
      </c>
      <c r="I7" s="68">
        <v>0</v>
      </c>
      <c r="J7" s="68">
        <v>-0.129</v>
      </c>
      <c r="K7" s="68">
        <v>-1126.8040000000001</v>
      </c>
      <c r="L7" s="168">
        <f>SUM(D7:K7)</f>
        <v>-19693.399000000001</v>
      </c>
      <c r="M7" s="9"/>
      <c r="P7" s="13"/>
    </row>
    <row r="8" spans="1:19" ht="14.5" x14ac:dyDescent="0.35">
      <c r="B8" s="159" t="s">
        <v>192</v>
      </c>
      <c r="C8" s="86" t="s">
        <v>193</v>
      </c>
      <c r="D8" s="87">
        <f t="shared" ref="D8:L8" si="0">SUM(D5:D7)</f>
        <v>13413.960000000001</v>
      </c>
      <c r="E8" s="88">
        <f t="shared" si="0"/>
        <v>18674.894999999997</v>
      </c>
      <c r="F8" s="88">
        <f t="shared" si="0"/>
        <v>30507.830000000005</v>
      </c>
      <c r="G8" s="88">
        <f t="shared" si="0"/>
        <v>10775.148999999999</v>
      </c>
      <c r="H8" s="88">
        <f t="shared" si="0"/>
        <v>5067.2150000000001</v>
      </c>
      <c r="I8" s="88">
        <f t="shared" si="0"/>
        <v>7.0000000000000001E-3</v>
      </c>
      <c r="J8" s="88">
        <f t="shared" si="0"/>
        <v>2.3999999999999994E-2</v>
      </c>
      <c r="K8" s="88">
        <f t="shared" si="0"/>
        <v>40.715999999999894</v>
      </c>
      <c r="L8" s="89">
        <f t="shared" si="0"/>
        <v>78479.795999999988</v>
      </c>
      <c r="M8" s="9"/>
    </row>
    <row r="9" spans="1:19" ht="13" x14ac:dyDescent="0.3">
      <c r="B9" s="66"/>
      <c r="C9" s="169" t="s">
        <v>69</v>
      </c>
      <c r="D9" s="12"/>
      <c r="E9" s="12"/>
      <c r="F9" s="12"/>
      <c r="G9" s="12"/>
      <c r="H9" s="12"/>
      <c r="I9" s="12"/>
      <c r="J9" s="12"/>
      <c r="K9" s="12"/>
      <c r="L9" s="170"/>
      <c r="M9" s="9"/>
    </row>
    <row r="10" spans="1:19" ht="13" x14ac:dyDescent="0.3">
      <c r="B10" s="71" t="s">
        <v>70</v>
      </c>
      <c r="C10" s="91" t="s">
        <v>71</v>
      </c>
      <c r="D10" s="73">
        <v>-57.637999999999998</v>
      </c>
      <c r="E10" s="73">
        <v>-792.98</v>
      </c>
      <c r="F10" s="73">
        <v>-1848.605</v>
      </c>
      <c r="G10" s="73">
        <v>0</v>
      </c>
      <c r="H10" s="73">
        <v>-4.2830000000000004</v>
      </c>
      <c r="I10" s="73">
        <v>-1.52</v>
      </c>
      <c r="J10" s="74">
        <v>0</v>
      </c>
      <c r="K10" s="74">
        <v>0</v>
      </c>
      <c r="L10" s="171">
        <f>SUM(D10:K10)</f>
        <v>-2705.0259999999998</v>
      </c>
      <c r="M10" s="9"/>
    </row>
    <row r="11" spans="1:19" ht="14.5" x14ac:dyDescent="0.35">
      <c r="B11" s="71" t="s">
        <v>54</v>
      </c>
      <c r="C11" s="92" t="s">
        <v>72</v>
      </c>
      <c r="D11" s="78">
        <v>-9598.1200000000008</v>
      </c>
      <c r="E11" s="78">
        <v>-5635.5439999999999</v>
      </c>
      <c r="F11" s="78">
        <v>-1224.6089999999999</v>
      </c>
      <c r="G11" s="78">
        <v>-10775.148999999999</v>
      </c>
      <c r="H11" s="78">
        <v>-1255.692</v>
      </c>
      <c r="I11" s="73">
        <v>-32.948999999999998</v>
      </c>
      <c r="J11" s="73">
        <v>1737.559</v>
      </c>
      <c r="K11" s="78">
        <v>11581.038888888888</v>
      </c>
      <c r="L11" s="171">
        <f>SUM(D11:K11)</f>
        <v>-15203.465111111109</v>
      </c>
      <c r="M11" s="9"/>
    </row>
    <row r="12" spans="1:19" ht="13" x14ac:dyDescent="0.3">
      <c r="B12" s="71" t="s">
        <v>73</v>
      </c>
      <c r="C12" s="92" t="s">
        <v>74</v>
      </c>
      <c r="D12" s="73">
        <v>-161.39599999999999</v>
      </c>
      <c r="E12" s="73">
        <v>-301.30099999999999</v>
      </c>
      <c r="F12" s="73">
        <v>-49.649000000000001</v>
      </c>
      <c r="G12" s="73">
        <v>0</v>
      </c>
      <c r="H12" s="73">
        <v>-140.20699999999999</v>
      </c>
      <c r="I12" s="73">
        <v>-1.569</v>
      </c>
      <c r="J12" s="73">
        <v>658.74300000000005</v>
      </c>
      <c r="K12" s="73">
        <v>0</v>
      </c>
      <c r="L12" s="171">
        <f>SUM(D12:K12)</f>
        <v>4.6210000000000946</v>
      </c>
      <c r="M12" s="9"/>
    </row>
    <row r="13" spans="1:19" ht="13" x14ac:dyDescent="0.3">
      <c r="B13" s="71" t="s">
        <v>75</v>
      </c>
      <c r="C13" s="92" t="s">
        <v>76</v>
      </c>
      <c r="D13" s="135"/>
      <c r="E13" s="74"/>
      <c r="F13" s="73">
        <v>-31736.460999999999</v>
      </c>
      <c r="G13" s="74"/>
      <c r="H13" s="74"/>
      <c r="I13" s="74"/>
      <c r="J13" s="74"/>
      <c r="K13" s="74"/>
      <c r="L13" s="171">
        <f>SUM(D13:K13)</f>
        <v>-31736.460999999999</v>
      </c>
      <c r="M13" s="9"/>
    </row>
    <row r="14" spans="1:19" ht="14.5" x14ac:dyDescent="0.35">
      <c r="B14" s="66"/>
      <c r="C14" s="86" t="s">
        <v>77</v>
      </c>
      <c r="D14" s="90">
        <f t="shared" ref="D14:L14" si="1">SUM(D10:D13)</f>
        <v>-9817.1540000000023</v>
      </c>
      <c r="E14" s="88">
        <f t="shared" si="1"/>
        <v>-6729.8249999999998</v>
      </c>
      <c r="F14" s="88">
        <f t="shared" si="1"/>
        <v>-34859.324000000001</v>
      </c>
      <c r="G14" s="88">
        <f t="shared" si="1"/>
        <v>-10775.148999999999</v>
      </c>
      <c r="H14" s="88">
        <f t="shared" si="1"/>
        <v>-1400.1819999999998</v>
      </c>
      <c r="I14" s="88">
        <f t="shared" si="1"/>
        <v>-36.038000000000004</v>
      </c>
      <c r="J14" s="88">
        <f t="shared" si="1"/>
        <v>2396.3020000000001</v>
      </c>
      <c r="K14" s="88">
        <f t="shared" si="1"/>
        <v>11581.038888888888</v>
      </c>
      <c r="L14" s="89">
        <f t="shared" si="1"/>
        <v>-49640.331111111111</v>
      </c>
      <c r="M14" s="9"/>
    </row>
    <row r="15" spans="1:19" ht="13" x14ac:dyDescent="0.3">
      <c r="B15" s="66"/>
      <c r="C15" s="169" t="s">
        <v>78</v>
      </c>
      <c r="D15" s="12"/>
      <c r="E15" s="12"/>
      <c r="F15" s="12"/>
      <c r="G15" s="12"/>
      <c r="H15" s="12"/>
      <c r="I15" s="12"/>
      <c r="J15" s="12"/>
      <c r="K15" s="12"/>
      <c r="L15" s="170"/>
      <c r="M15" s="9"/>
    </row>
    <row r="16" spans="1:19" ht="14.5" x14ac:dyDescent="0.35">
      <c r="A16" s="9"/>
      <c r="B16" s="71" t="s">
        <v>79</v>
      </c>
      <c r="C16" s="93" t="s">
        <v>80</v>
      </c>
      <c r="D16" s="172">
        <v>356.55500000000001</v>
      </c>
      <c r="E16" s="78">
        <v>5159.7929999999997</v>
      </c>
      <c r="F16" s="172">
        <v>2289.2930000000001</v>
      </c>
      <c r="G16" s="173">
        <v>0</v>
      </c>
      <c r="H16" s="172">
        <v>1293.9269999999999</v>
      </c>
      <c r="I16" s="172">
        <v>0</v>
      </c>
      <c r="J16" s="172">
        <v>865.48500000000001</v>
      </c>
      <c r="K16" s="172">
        <v>2871.7420000000002</v>
      </c>
      <c r="L16" s="174">
        <f t="shared" ref="L16:L23" si="2">SUM(D16:K16)</f>
        <v>12836.795</v>
      </c>
      <c r="M16" s="9"/>
    </row>
    <row r="17" spans="1:13" ht="13" x14ac:dyDescent="0.3">
      <c r="A17" s="9"/>
      <c r="B17" s="71" t="s">
        <v>81</v>
      </c>
      <c r="C17" s="94" t="s">
        <v>82</v>
      </c>
      <c r="D17" s="172">
        <v>56.924999999999997</v>
      </c>
      <c r="E17" s="172">
        <v>1751.73</v>
      </c>
      <c r="F17" s="172">
        <v>854.81</v>
      </c>
      <c r="G17" s="173">
        <v>0</v>
      </c>
      <c r="H17" s="172">
        <v>67.406000000000006</v>
      </c>
      <c r="I17" s="172">
        <v>1.2170000000000001</v>
      </c>
      <c r="J17" s="172">
        <v>254.64599999999999</v>
      </c>
      <c r="K17" s="172">
        <v>2527.3910000000001</v>
      </c>
      <c r="L17" s="174">
        <f t="shared" si="2"/>
        <v>5514.125</v>
      </c>
      <c r="M17" s="9"/>
    </row>
    <row r="18" spans="1:13" ht="13" x14ac:dyDescent="0.3">
      <c r="A18" s="9"/>
      <c r="B18" s="71" t="s">
        <v>83</v>
      </c>
      <c r="C18" s="94" t="s">
        <v>84</v>
      </c>
      <c r="D18" s="172">
        <v>1896.9860000000001</v>
      </c>
      <c r="E18" s="172">
        <v>4437.1610000000001</v>
      </c>
      <c r="F18" s="172">
        <v>2016.1110000000001</v>
      </c>
      <c r="G18" s="173">
        <v>0</v>
      </c>
      <c r="H18" s="172">
        <v>721.67100000000005</v>
      </c>
      <c r="I18" s="172">
        <v>117.19199999999999</v>
      </c>
      <c r="J18" s="172">
        <v>633.58299999999997</v>
      </c>
      <c r="K18" s="172">
        <v>4088.444</v>
      </c>
      <c r="L18" s="174">
        <f t="shared" si="2"/>
        <v>13911.147999999999</v>
      </c>
      <c r="M18" s="9"/>
    </row>
    <row r="19" spans="1:13" ht="13" x14ac:dyDescent="0.3">
      <c r="A19" s="9"/>
      <c r="B19" s="71" t="s">
        <v>85</v>
      </c>
      <c r="C19" s="94" t="s">
        <v>86</v>
      </c>
      <c r="D19" s="172">
        <v>44.1</v>
      </c>
      <c r="E19" s="172">
        <v>201.20599999999999</v>
      </c>
      <c r="F19" s="172">
        <v>797.37199999999996</v>
      </c>
      <c r="G19" s="173">
        <v>0</v>
      </c>
      <c r="H19" s="172">
        <v>63.085999999999999</v>
      </c>
      <c r="I19" s="172">
        <v>1E-3</v>
      </c>
      <c r="J19" s="172">
        <v>15.574</v>
      </c>
      <c r="K19" s="172">
        <v>19.386000000000003</v>
      </c>
      <c r="L19" s="174">
        <f t="shared" si="2"/>
        <v>1140.7249999999999</v>
      </c>
      <c r="M19" s="9"/>
    </row>
    <row r="20" spans="1:13" ht="14.5" x14ac:dyDescent="0.35">
      <c r="A20" s="9"/>
      <c r="B20" s="71" t="s">
        <v>87</v>
      </c>
      <c r="C20" s="94" t="s">
        <v>88</v>
      </c>
      <c r="D20" s="172">
        <v>0.55600000000000005</v>
      </c>
      <c r="E20" s="172">
        <v>21.248999999999999</v>
      </c>
      <c r="F20" s="78">
        <v>14851.249</v>
      </c>
      <c r="G20" s="173">
        <v>0</v>
      </c>
      <c r="H20" s="172">
        <v>130.685</v>
      </c>
      <c r="I20" s="172">
        <v>0</v>
      </c>
      <c r="J20" s="172">
        <v>0</v>
      </c>
      <c r="K20" s="172">
        <v>265.97199999999998</v>
      </c>
      <c r="L20" s="174">
        <f t="shared" si="2"/>
        <v>15269.710999999999</v>
      </c>
      <c r="M20" s="9"/>
    </row>
    <row r="21" spans="1:13" ht="13" x14ac:dyDescent="0.3">
      <c r="A21" s="9"/>
      <c r="B21" s="71" t="s">
        <v>89</v>
      </c>
      <c r="C21" s="95" t="s">
        <v>90</v>
      </c>
      <c r="D21" s="77">
        <f>IF((SUM(D16:D20,D22:D23)-SUM(D10:D12))&gt;D8,0,(D8-SUM(D16:D20,D22:D23)+SUM(D10:D12)))</f>
        <v>1189.2309999999979</v>
      </c>
      <c r="E21" s="77">
        <f>IF((SUM(E16:E20,E22:E23)-SUM(E10:E12))&gt;E8,0,(E8-SUM(E16:E20,E22:E23)+SUM(E10:E12)))</f>
        <v>0</v>
      </c>
      <c r="F21" s="77">
        <v>392.53200000000402</v>
      </c>
      <c r="G21" s="77">
        <f>IF((SUM(G16:G20,G22:G23)-SUM(G10:G12))&gt;G8,0,(G8-SUM(G16:G20,G22:G23)+SUM(G10:G12)))</f>
        <v>0</v>
      </c>
      <c r="H21" s="77">
        <f>IF((SUM(H16:H20,H22:H23)-SUM(H10:H12))&gt;H8,0,(H8-SUM(H16:H20,H22:H23)+SUM(H10:H12)))</f>
        <v>1390.2580000000007</v>
      </c>
      <c r="I21" s="77">
        <f>IF((SUM(I16:I20,I22:I23)-SUM(I10:I12))&gt;I8,0,(I8-SUM(I16:I20,I22:I23)+SUM(I10:I12)))</f>
        <v>0</v>
      </c>
      <c r="J21" s="77">
        <f>IF((SUM(J16:J20,J22:J23)-SUM(J10:J12))&gt;J8,0,(J8-SUM(J16:J20,J22:J23)+SUM(J10:J12)))</f>
        <v>627.03800000000001</v>
      </c>
      <c r="K21" s="77">
        <v>650</v>
      </c>
      <c r="L21" s="175">
        <f t="shared" si="2"/>
        <v>4249.0590000000029</v>
      </c>
      <c r="M21" s="9"/>
    </row>
    <row r="22" spans="1:13" ht="13" x14ac:dyDescent="0.3">
      <c r="A22" s="9"/>
      <c r="B22" s="71" t="s">
        <v>109</v>
      </c>
      <c r="C22" s="94" t="s">
        <v>91</v>
      </c>
      <c r="D22" s="172">
        <v>52.453000000000003</v>
      </c>
      <c r="E22" s="172">
        <v>633.82299999999998</v>
      </c>
      <c r="F22" s="172">
        <v>4072.5079999999998</v>
      </c>
      <c r="G22" s="173"/>
      <c r="H22" s="172">
        <v>0</v>
      </c>
      <c r="I22" s="172">
        <v>0</v>
      </c>
      <c r="J22" s="172">
        <v>0</v>
      </c>
      <c r="K22" s="172">
        <v>0</v>
      </c>
      <c r="L22" s="174">
        <f t="shared" si="2"/>
        <v>4758.7839999999997</v>
      </c>
      <c r="M22" s="9"/>
    </row>
    <row r="23" spans="1:13" ht="13" x14ac:dyDescent="0.3">
      <c r="A23" s="9"/>
      <c r="B23" s="71" t="s">
        <v>110</v>
      </c>
      <c r="C23" s="94" t="s">
        <v>92</v>
      </c>
      <c r="D23" s="172">
        <v>0</v>
      </c>
      <c r="E23" s="172">
        <v>0</v>
      </c>
      <c r="F23" s="172">
        <v>2111.0920000000001</v>
      </c>
      <c r="G23" s="173"/>
      <c r="H23" s="172">
        <v>0</v>
      </c>
      <c r="I23" s="172">
        <v>0</v>
      </c>
      <c r="J23" s="172">
        <v>0</v>
      </c>
      <c r="K23" s="172">
        <v>0</v>
      </c>
      <c r="L23" s="174">
        <f t="shared" si="2"/>
        <v>2111.0920000000001</v>
      </c>
      <c r="M23" s="9"/>
    </row>
    <row r="24" spans="1:13" ht="14.5" x14ac:dyDescent="0.35">
      <c r="A24" s="9"/>
      <c r="B24" s="159" t="s">
        <v>112</v>
      </c>
      <c r="C24" s="86" t="s">
        <v>194</v>
      </c>
      <c r="D24" s="84">
        <f t="shared" ref="D24:L24" si="3">SUM(D16:D23)</f>
        <v>3596.8059999999982</v>
      </c>
      <c r="E24" s="83">
        <f t="shared" si="3"/>
        <v>12204.962</v>
      </c>
      <c r="F24" s="83">
        <f t="shared" si="3"/>
        <v>27384.967000000001</v>
      </c>
      <c r="G24" s="83">
        <f t="shared" si="3"/>
        <v>0</v>
      </c>
      <c r="H24" s="83">
        <f t="shared" si="3"/>
        <v>3667.0330000000004</v>
      </c>
      <c r="I24" s="83">
        <f t="shared" si="3"/>
        <v>118.41</v>
      </c>
      <c r="J24" s="83">
        <f t="shared" si="3"/>
        <v>2396.326</v>
      </c>
      <c r="K24" s="84">
        <f>SUM(K16:K23)</f>
        <v>10422.934999999999</v>
      </c>
      <c r="L24" s="85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5" x14ac:dyDescent="0.35">
      <c r="A27" s="9"/>
      <c r="C27" s="78" t="s">
        <v>180</v>
      </c>
      <c r="D27" s="78"/>
      <c r="E27" s="78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" x14ac:dyDescent="0.3">
      <c r="A41" s="9"/>
      <c r="B41" s="46" t="s">
        <v>130</v>
      </c>
      <c r="C41" s="101" t="s">
        <v>151</v>
      </c>
      <c r="D41" s="70" t="s">
        <v>55</v>
      </c>
      <c r="E41" s="70" t="s">
        <v>56</v>
      </c>
      <c r="F41" s="70" t="s">
        <v>174</v>
      </c>
      <c r="G41" s="70" t="s">
        <v>57</v>
      </c>
      <c r="H41" s="70" t="s">
        <v>58</v>
      </c>
      <c r="I41" s="70" t="s">
        <v>59</v>
      </c>
      <c r="J41" s="70" t="s">
        <v>60</v>
      </c>
      <c r="K41" s="70" t="s">
        <v>111</v>
      </c>
      <c r="L41" s="47"/>
    </row>
    <row r="42" spans="1:14" ht="14.5" x14ac:dyDescent="0.35">
      <c r="A42" s="9"/>
      <c r="B42" s="71" t="s">
        <v>79</v>
      </c>
      <c r="C42" s="94" t="s">
        <v>131</v>
      </c>
      <c r="D42" s="96"/>
      <c r="E42" s="78">
        <v>1</v>
      </c>
      <c r="F42" s="72"/>
      <c r="G42" s="72"/>
      <c r="H42" s="72"/>
      <c r="I42" s="72"/>
      <c r="J42" s="72"/>
      <c r="K42" s="97"/>
      <c r="L42" s="11"/>
      <c r="N42" s="93" t="s">
        <v>90</v>
      </c>
    </row>
    <row r="43" spans="1:14" ht="14.5" x14ac:dyDescent="0.35">
      <c r="A43" s="9"/>
      <c r="B43" s="71" t="s">
        <v>87</v>
      </c>
      <c r="C43" s="95" t="s">
        <v>132</v>
      </c>
      <c r="D43" s="98"/>
      <c r="E43" s="76"/>
      <c r="F43" s="79">
        <v>1</v>
      </c>
      <c r="G43" s="76"/>
      <c r="H43" s="76"/>
      <c r="I43" s="76"/>
      <c r="J43" s="76"/>
      <c r="K43" s="99"/>
      <c r="L43" s="11"/>
      <c r="N43" s="95" t="s">
        <v>133</v>
      </c>
    </row>
    <row r="44" spans="1:14" x14ac:dyDescent="0.25">
      <c r="A44" s="9"/>
    </row>
    <row r="45" spans="1:14" x14ac:dyDescent="0.25">
      <c r="A45" s="9"/>
    </row>
    <row r="46" spans="1:14" ht="13" x14ac:dyDescent="0.3">
      <c r="A46" s="9"/>
      <c r="C46" s="105" t="s">
        <v>138</v>
      </c>
      <c r="D46" s="107" t="s">
        <v>139</v>
      </c>
      <c r="E46" s="106" t="s">
        <v>140</v>
      </c>
    </row>
    <row r="47" spans="1:14" ht="13" x14ac:dyDescent="0.3">
      <c r="A47" s="9"/>
      <c r="B47" s="35" t="s">
        <v>152</v>
      </c>
      <c r="C47" s="100" t="s">
        <v>141</v>
      </c>
      <c r="D47" s="100" t="s">
        <v>142</v>
      </c>
      <c r="E47" s="103" t="s">
        <v>140</v>
      </c>
    </row>
    <row r="48" spans="1:14" ht="13" x14ac:dyDescent="0.3">
      <c r="A48" s="9"/>
      <c r="B48" s="71" t="s">
        <v>79</v>
      </c>
      <c r="C48" s="102">
        <v>1</v>
      </c>
      <c r="D48" s="102"/>
      <c r="E48" s="102"/>
    </row>
    <row r="49" spans="1:5" ht="13" x14ac:dyDescent="0.3">
      <c r="A49" s="9"/>
      <c r="B49" s="71" t="s">
        <v>87</v>
      </c>
      <c r="C49" s="102">
        <v>1</v>
      </c>
      <c r="D49" s="102"/>
      <c r="E49" s="102"/>
    </row>
    <row r="50" spans="1:5" ht="13" x14ac:dyDescent="0.3">
      <c r="A50" s="9"/>
      <c r="B50" s="71" t="s">
        <v>89</v>
      </c>
      <c r="C50" s="102">
        <v>1</v>
      </c>
      <c r="D50" s="102"/>
      <c r="E50" s="102"/>
    </row>
    <row r="51" spans="1:5" ht="13" x14ac:dyDescent="0.3">
      <c r="A51" s="9"/>
      <c r="B51" s="71" t="s">
        <v>54</v>
      </c>
      <c r="C51" s="104">
        <v>1</v>
      </c>
      <c r="D51" s="104"/>
      <c r="E51" s="104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D75-EAE0-48EC-B601-480BBD576E90}">
  <dimension ref="B1:U30"/>
  <sheetViews>
    <sheetView zoomScaleNormal="100" workbookViewId="0">
      <selection activeCell="R17" sqref="R17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3.7265625" style="48" customWidth="1"/>
    <col min="6" max="6" width="13.1796875" style="48" bestFit="1" customWidth="1"/>
    <col min="7" max="7" width="7.81640625" style="48" customWidth="1"/>
    <col min="8" max="8" width="9.1796875" style="48" bestFit="1" customWidth="1"/>
    <col min="9" max="9" width="9.453125" style="48" customWidth="1"/>
    <col min="10" max="11" width="8.1796875" style="48" customWidth="1"/>
    <col min="12" max="12" width="2.7265625" style="48" customWidth="1"/>
    <col min="13" max="13" width="12.7265625" style="48" bestFit="1" customWidth="1"/>
    <col min="14" max="14" width="7.1796875" style="48" customWidth="1"/>
    <col min="15" max="15" width="11.453125" style="48" bestFit="1" customWidth="1"/>
    <col min="16" max="16" width="41.54296875" style="48" bestFit="1" customWidth="1"/>
    <col min="17" max="17" width="6.54296875" style="48" customWidth="1"/>
    <col min="18" max="18" width="11.7265625" style="48" customWidth="1"/>
    <col min="19" max="19" width="13" style="48" customWidth="1"/>
    <col min="20" max="20" width="13.7265625" style="48" bestFit="1" customWidth="1"/>
    <col min="21" max="21" width="8.453125" style="48" customWidth="1"/>
    <col min="22" max="16384" width="8.81640625" style="48"/>
  </cols>
  <sheetData>
    <row r="1" spans="2:21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1"/>
      <c r="H1" s="16" t="s">
        <v>126</v>
      </c>
    </row>
    <row r="2" spans="2:21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7" t="s">
        <v>14</v>
      </c>
      <c r="N2" s="207"/>
      <c r="O2" s="205"/>
      <c r="P2" s="205"/>
      <c r="Q2" s="205"/>
      <c r="R2" s="205"/>
      <c r="S2" s="205"/>
      <c r="T2" s="205"/>
      <c r="U2" s="205"/>
    </row>
    <row r="3" spans="2:21" ht="13" x14ac:dyDescent="0.3">
      <c r="G3" s="50"/>
      <c r="M3" s="208" t="s">
        <v>7</v>
      </c>
      <c r="N3" s="209" t="s">
        <v>30</v>
      </c>
      <c r="O3" s="208" t="s">
        <v>0</v>
      </c>
      <c r="P3" s="208" t="s">
        <v>3</v>
      </c>
      <c r="Q3" s="208" t="s">
        <v>4</v>
      </c>
      <c r="R3" s="208" t="s">
        <v>8</v>
      </c>
      <c r="S3" s="208" t="s">
        <v>9</v>
      </c>
      <c r="T3" s="208" t="s">
        <v>10</v>
      </c>
      <c r="U3" s="208" t="s">
        <v>12</v>
      </c>
    </row>
    <row r="4" spans="2:21" s="50" customFormat="1" ht="22" thickBot="1" x14ac:dyDescent="0.4">
      <c r="B4" s="17"/>
      <c r="C4" s="17"/>
      <c r="D4" s="17"/>
      <c r="E4" s="17"/>
      <c r="F4" s="17"/>
      <c r="M4" s="198" t="s">
        <v>40</v>
      </c>
      <c r="N4" s="198" t="s">
        <v>31</v>
      </c>
      <c r="O4" s="198" t="s">
        <v>26</v>
      </c>
      <c r="P4" s="198" t="s">
        <v>27</v>
      </c>
      <c r="Q4" s="198" t="s">
        <v>4</v>
      </c>
      <c r="R4" s="198" t="s">
        <v>43</v>
      </c>
      <c r="S4" s="198" t="s">
        <v>44</v>
      </c>
      <c r="T4" s="198" t="s">
        <v>28</v>
      </c>
      <c r="U4" s="198" t="s">
        <v>29</v>
      </c>
    </row>
    <row r="5" spans="2:21" s="50" customFormat="1" ht="15.5" x14ac:dyDescent="0.35">
      <c r="B5" s="17"/>
      <c r="C5" s="17"/>
      <c r="D5" s="17"/>
      <c r="E5" s="17"/>
      <c r="F5" s="17"/>
      <c r="M5" s="210" t="s">
        <v>105</v>
      </c>
      <c r="N5" s="211"/>
      <c r="O5" s="210" t="str">
        <f>D12</f>
        <v>DPCH</v>
      </c>
      <c r="P5" s="220" t="s">
        <v>210</v>
      </c>
      <c r="Q5" s="210" t="str">
        <f>$E$2</f>
        <v>PJ</v>
      </c>
      <c r="R5" s="210"/>
      <c r="S5" s="210"/>
      <c r="T5" s="210"/>
      <c r="U5" s="210"/>
    </row>
    <row r="8" spans="2:21" ht="13" x14ac:dyDescent="0.3">
      <c r="D8" s="7" t="s">
        <v>13</v>
      </c>
      <c r="E8" s="7"/>
      <c r="F8" s="7"/>
      <c r="H8" s="7"/>
      <c r="I8" s="8"/>
      <c r="J8" s="6"/>
      <c r="K8" s="6"/>
      <c r="M8" s="207" t="s">
        <v>15</v>
      </c>
      <c r="N8" s="207"/>
      <c r="O8" s="206"/>
      <c r="P8" s="206"/>
      <c r="Q8" s="206"/>
      <c r="R8" s="206"/>
      <c r="S8" s="206"/>
      <c r="T8" s="206"/>
      <c r="U8" s="206"/>
    </row>
    <row r="9" spans="2:21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215" t="s">
        <v>187</v>
      </c>
      <c r="M9" s="208" t="s">
        <v>11</v>
      </c>
      <c r="N9" s="209" t="s">
        <v>30</v>
      </c>
      <c r="O9" s="208" t="s">
        <v>1</v>
      </c>
      <c r="P9" s="208" t="s">
        <v>2</v>
      </c>
      <c r="Q9" s="208" t="s">
        <v>16</v>
      </c>
      <c r="R9" s="208" t="s">
        <v>17</v>
      </c>
      <c r="S9" s="208" t="s">
        <v>18</v>
      </c>
      <c r="T9" s="208" t="s">
        <v>19</v>
      </c>
      <c r="U9" s="208" t="s">
        <v>20</v>
      </c>
    </row>
    <row r="10" spans="2:21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16"/>
      <c r="M10" s="198" t="s">
        <v>41</v>
      </c>
      <c r="N10" s="198" t="s">
        <v>31</v>
      </c>
      <c r="O10" s="198" t="s">
        <v>21</v>
      </c>
      <c r="P10" s="198" t="s">
        <v>22</v>
      </c>
      <c r="Q10" s="198" t="s">
        <v>23</v>
      </c>
      <c r="R10" s="198" t="s">
        <v>24</v>
      </c>
      <c r="S10" s="198" t="s">
        <v>46</v>
      </c>
      <c r="T10" s="198" t="s">
        <v>45</v>
      </c>
      <c r="U10" s="198" t="s">
        <v>25</v>
      </c>
    </row>
    <row r="11" spans="2:21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17"/>
      <c r="M11" s="198" t="s">
        <v>103</v>
      </c>
      <c r="N11" s="198"/>
      <c r="O11" s="198"/>
      <c r="P11" s="198"/>
      <c r="Q11" s="198"/>
      <c r="R11" s="198"/>
      <c r="S11" s="198"/>
      <c r="T11" s="198"/>
      <c r="U11" s="198"/>
    </row>
    <row r="12" spans="2:21" x14ac:dyDescent="0.25">
      <c r="B12" s="214" t="s">
        <v>203</v>
      </c>
      <c r="C12" s="214" t="s">
        <v>48</v>
      </c>
      <c r="D12" t="s">
        <v>202</v>
      </c>
      <c r="E12" s="50">
        <v>0</v>
      </c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K12" s="118">
        <v>2010</v>
      </c>
      <c r="M12" s="210" t="s">
        <v>123</v>
      </c>
      <c r="N12" s="211"/>
      <c r="O12" s="214" t="s">
        <v>203</v>
      </c>
      <c r="P12" s="219" t="s">
        <v>207</v>
      </c>
      <c r="Q12" s="211" t="str">
        <f>$E$2</f>
        <v>PJ</v>
      </c>
      <c r="R12" s="211" t="str">
        <f>$E$2&amp;"a"</f>
        <v>PJa</v>
      </c>
      <c r="S12" s="211"/>
      <c r="T12" s="211"/>
      <c r="U12" s="211"/>
    </row>
    <row r="13" spans="2:21" x14ac:dyDescent="0.25">
      <c r="B13" s="214" t="s">
        <v>204</v>
      </c>
      <c r="C13" s="214" t="s">
        <v>48</v>
      </c>
      <c r="D13" t="s">
        <v>202</v>
      </c>
      <c r="E13" s="134"/>
      <c r="F13" s="155">
        <v>1.05</v>
      </c>
      <c r="G13" s="155">
        <v>0.95</v>
      </c>
      <c r="H13" s="50">
        <v>12</v>
      </c>
      <c r="I13" s="155">
        <v>0.18</v>
      </c>
      <c r="J13" s="50">
        <v>20</v>
      </c>
      <c r="K13" s="50">
        <v>2020</v>
      </c>
      <c r="M13" s="153"/>
      <c r="N13" s="50"/>
      <c r="O13" s="214" t="s">
        <v>204</v>
      </c>
      <c r="P13" s="219" t="s">
        <v>208</v>
      </c>
      <c r="Q13" s="211" t="str">
        <f t="shared" ref="Q13:Q16" si="0">$E$2</f>
        <v>PJ</v>
      </c>
      <c r="R13" s="211" t="str">
        <f t="shared" ref="R13:R16" si="1">$E$2&amp;"a"</f>
        <v>PJa</v>
      </c>
      <c r="S13" s="50"/>
      <c r="T13" s="50"/>
      <c r="U13" s="50"/>
    </row>
    <row r="14" spans="2:21" x14ac:dyDescent="0.25">
      <c r="B14" s="218" t="s">
        <v>206</v>
      </c>
      <c r="C14" s="214" t="s">
        <v>205</v>
      </c>
      <c r="D14" t="s">
        <v>202</v>
      </c>
      <c r="E14" s="130"/>
      <c r="F14" s="119">
        <v>1</v>
      </c>
      <c r="G14" s="119">
        <v>0.95</v>
      </c>
      <c r="H14" s="118">
        <v>10</v>
      </c>
      <c r="I14" s="119">
        <f>H14*0.02</f>
        <v>0.2</v>
      </c>
      <c r="J14" s="118">
        <v>20</v>
      </c>
      <c r="K14" s="118">
        <v>2010</v>
      </c>
      <c r="M14" s="50"/>
      <c r="N14" s="50"/>
      <c r="O14" s="218" t="s">
        <v>206</v>
      </c>
      <c r="P14" s="219" t="s">
        <v>209</v>
      </c>
      <c r="Q14" s="211" t="str">
        <f t="shared" si="0"/>
        <v>PJ</v>
      </c>
      <c r="R14" s="211" t="str">
        <f t="shared" si="1"/>
        <v>PJa</v>
      </c>
      <c r="S14" s="50"/>
      <c r="T14" s="50"/>
      <c r="U14" s="50"/>
    </row>
    <row r="15" spans="2:21" x14ac:dyDescent="0.25">
      <c r="B15" s="218" t="s">
        <v>214</v>
      </c>
      <c r="C15" s="214" t="s">
        <v>213</v>
      </c>
      <c r="D15" t="s">
        <v>202</v>
      </c>
      <c r="E15" s="130"/>
      <c r="F15" s="155">
        <v>1.05</v>
      </c>
      <c r="G15" s="155">
        <v>0.95</v>
      </c>
      <c r="H15" s="50">
        <v>13</v>
      </c>
      <c r="I15" s="155">
        <v>0.18</v>
      </c>
      <c r="J15" s="50">
        <v>20</v>
      </c>
      <c r="K15" s="50">
        <v>2020</v>
      </c>
      <c r="M15" s="50"/>
      <c r="N15" s="50"/>
      <c r="O15" s="50" t="str">
        <f>B15</f>
        <v>DPCHRNW1</v>
      </c>
      <c r="P15" s="219" t="s">
        <v>215</v>
      </c>
      <c r="Q15" s="211" t="str">
        <f t="shared" si="0"/>
        <v>PJ</v>
      </c>
      <c r="R15" s="211" t="str">
        <f t="shared" si="1"/>
        <v>PJa</v>
      </c>
      <c r="S15" s="50"/>
      <c r="T15" s="50"/>
      <c r="U15" s="50"/>
    </row>
    <row r="16" spans="2:21" x14ac:dyDescent="0.25">
      <c r="B16" s="218" t="s">
        <v>220</v>
      </c>
      <c r="C16" s="214" t="s">
        <v>219</v>
      </c>
      <c r="D16" t="s">
        <v>202</v>
      </c>
      <c r="E16" s="130"/>
      <c r="F16" s="155">
        <v>1.05</v>
      </c>
      <c r="G16" s="155">
        <v>0.95</v>
      </c>
      <c r="H16" s="50">
        <v>13</v>
      </c>
      <c r="I16" s="155">
        <v>0.18</v>
      </c>
      <c r="J16" s="50">
        <v>20</v>
      </c>
      <c r="K16" s="50">
        <v>2020</v>
      </c>
      <c r="M16" s="50"/>
      <c r="N16" s="50"/>
      <c r="O16" s="50" t="str">
        <f>B16</f>
        <v>DPCH_H2</v>
      </c>
      <c r="P16" s="219" t="s">
        <v>221</v>
      </c>
      <c r="Q16" s="211" t="str">
        <f t="shared" si="0"/>
        <v>PJ</v>
      </c>
      <c r="R16" s="211" t="str">
        <f t="shared" si="1"/>
        <v>PJa</v>
      </c>
      <c r="S16" s="50"/>
      <c r="T16" s="50"/>
      <c r="U16" s="50"/>
    </row>
    <row r="17" spans="2:21" x14ac:dyDescent="0.25">
      <c r="B17" s="218"/>
      <c r="C17" s="214"/>
      <c r="D17"/>
      <c r="E17" s="130"/>
      <c r="F17" s="155"/>
      <c r="G17" s="155"/>
      <c r="H17" s="50"/>
      <c r="I17" s="155"/>
      <c r="J17" s="50"/>
      <c r="K17" s="50"/>
      <c r="M17" s="50"/>
      <c r="N17" s="50"/>
      <c r="O17" s="50"/>
      <c r="P17" s="157"/>
      <c r="Q17" s="50"/>
      <c r="R17" s="50"/>
      <c r="S17" s="50"/>
      <c r="T17" s="50"/>
      <c r="U17" s="50"/>
    </row>
    <row r="18" spans="2:21" x14ac:dyDescent="0.25">
      <c r="F18" s="50"/>
      <c r="G18" s="50"/>
      <c r="H18" s="50"/>
      <c r="I18" s="50"/>
      <c r="J18" s="50"/>
      <c r="K18" s="5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F19" s="50"/>
      <c r="G19" s="50"/>
      <c r="H19" s="50"/>
      <c r="I19" s="50"/>
      <c r="J19" s="50"/>
      <c r="K19" s="5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I20" s="129"/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I21" s="129"/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M23" s="50"/>
      <c r="N23" s="50"/>
      <c r="O23" s="50"/>
      <c r="P23" s="50"/>
      <c r="Q23" s="50"/>
      <c r="R23" s="50"/>
      <c r="S23" s="50"/>
      <c r="T23" s="50"/>
      <c r="U23" s="50"/>
    </row>
    <row r="24" spans="2:21" x14ac:dyDescent="0.25">
      <c r="M24" s="50"/>
      <c r="N24" s="50"/>
      <c r="O24" s="50"/>
      <c r="P24" s="50"/>
      <c r="Q24" s="50"/>
      <c r="R24" s="50"/>
      <c r="S24" s="50"/>
      <c r="T24" s="50"/>
      <c r="U24" s="50"/>
    </row>
    <row r="25" spans="2:21" x14ac:dyDescent="0.25">
      <c r="B25" s="118"/>
      <c r="C25" s="49" t="s">
        <v>181</v>
      </c>
    </row>
    <row r="26" spans="2:21" x14ac:dyDescent="0.25">
      <c r="B26" s="158"/>
      <c r="C26" s="49" t="s">
        <v>182</v>
      </c>
    </row>
    <row r="27" spans="2:21" x14ac:dyDescent="0.25">
      <c r="L27" s="49"/>
    </row>
    <row r="28" spans="2:21" x14ac:dyDescent="0.25">
      <c r="L28" s="49"/>
    </row>
    <row r="29" spans="2:21" x14ac:dyDescent="0.25">
      <c r="L29" s="49"/>
    </row>
    <row r="30" spans="2:21" x14ac:dyDescent="0.25">
      <c r="L30" s="49"/>
    </row>
  </sheetData>
  <phoneticPr fontId="29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3.7265625" style="48" customWidth="1"/>
    <col min="6" max="6" width="13.1796875" style="48" bestFit="1" customWidth="1"/>
    <col min="7" max="7" width="7.8164062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54296875" style="48" customWidth="1"/>
    <col min="17" max="17" width="11.7265625" style="48" customWidth="1"/>
    <col min="18" max="18" width="13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1"/>
      <c r="H1" s="16" t="s">
        <v>126</v>
      </c>
    </row>
    <row r="2" spans="2:20" ht="31" x14ac:dyDescent="0.3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7" t="s">
        <v>14</v>
      </c>
      <c r="M2" s="207"/>
      <c r="N2" s="205"/>
      <c r="O2" s="205"/>
      <c r="P2" s="205"/>
      <c r="Q2" s="205"/>
      <c r="R2" s="205"/>
      <c r="S2" s="205"/>
      <c r="T2" s="205"/>
    </row>
    <row r="3" spans="2:20" ht="13" x14ac:dyDescent="0.3">
      <c r="G3" s="50"/>
      <c r="L3" s="208" t="s">
        <v>7</v>
      </c>
      <c r="M3" s="209" t="s">
        <v>30</v>
      </c>
      <c r="N3" s="208" t="s">
        <v>0</v>
      </c>
      <c r="O3" s="208" t="s">
        <v>3</v>
      </c>
      <c r="P3" s="208" t="s">
        <v>4</v>
      </c>
      <c r="Q3" s="208" t="s">
        <v>8</v>
      </c>
      <c r="R3" s="208" t="s">
        <v>9</v>
      </c>
      <c r="S3" s="208" t="s">
        <v>10</v>
      </c>
      <c r="T3" s="208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8" t="s">
        <v>40</v>
      </c>
      <c r="M4" s="198" t="s">
        <v>31</v>
      </c>
      <c r="N4" s="198" t="s">
        <v>26</v>
      </c>
      <c r="O4" s="198" t="s">
        <v>27</v>
      </c>
      <c r="P4" s="198" t="s">
        <v>4</v>
      </c>
      <c r="Q4" s="198" t="s">
        <v>43</v>
      </c>
      <c r="R4" s="198" t="s">
        <v>44</v>
      </c>
      <c r="S4" s="198" t="s">
        <v>28</v>
      </c>
      <c r="T4" s="198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0" t="s">
        <v>105</v>
      </c>
      <c r="M5" s="211"/>
      <c r="N5" s="210" t="str">
        <f>B2&amp;EnergyBalance!D2</f>
        <v>TPSCOA</v>
      </c>
      <c r="O5" s="210" t="str">
        <f>LEFT($D$2,6)&amp;" "&amp;$C$2&amp;" - "&amp;EnergyBalance!D2</f>
        <v>Demand Total Primary Supply - COA</v>
      </c>
      <c r="P5" s="210" t="str">
        <f>$E$2</f>
        <v>PJ</v>
      </c>
      <c r="Q5" s="210"/>
      <c r="R5" s="210"/>
      <c r="S5" s="210"/>
      <c r="T5" s="210"/>
    </row>
    <row r="8" spans="2:20" ht="13" x14ac:dyDescent="0.3">
      <c r="D8" s="7" t="s">
        <v>13</v>
      </c>
      <c r="E8" s="7"/>
      <c r="F8" s="7"/>
      <c r="H8" s="7"/>
      <c r="I8" s="8"/>
      <c r="J8" s="6"/>
      <c r="L8" s="207" t="s">
        <v>15</v>
      </c>
      <c r="M8" s="207"/>
      <c r="N8" s="206"/>
      <c r="O8" s="206"/>
      <c r="P8" s="206"/>
      <c r="Q8" s="206"/>
      <c r="R8" s="206"/>
      <c r="S8" s="206"/>
      <c r="T8" s="206"/>
    </row>
    <row r="9" spans="2:20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L9" s="208" t="s">
        <v>11</v>
      </c>
      <c r="M9" s="209" t="s">
        <v>30</v>
      </c>
      <c r="N9" s="208" t="s">
        <v>1</v>
      </c>
      <c r="O9" s="208" t="s">
        <v>2</v>
      </c>
      <c r="P9" s="208" t="s">
        <v>16</v>
      </c>
      <c r="Q9" s="208" t="s">
        <v>17</v>
      </c>
      <c r="R9" s="208" t="s">
        <v>18</v>
      </c>
      <c r="S9" s="208" t="s">
        <v>19</v>
      </c>
      <c r="T9" s="208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L10" s="198" t="s">
        <v>41</v>
      </c>
      <c r="M10" s="198" t="s">
        <v>31</v>
      </c>
      <c r="N10" s="198" t="s">
        <v>21</v>
      </c>
      <c r="O10" s="198" t="s">
        <v>22</v>
      </c>
      <c r="P10" s="198" t="s">
        <v>23</v>
      </c>
      <c r="Q10" s="198" t="s">
        <v>24</v>
      </c>
      <c r="R10" s="198" t="s">
        <v>46</v>
      </c>
      <c r="S10" s="198" t="s">
        <v>45</v>
      </c>
      <c r="T10" s="198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8" t="s">
        <v>103</v>
      </c>
      <c r="M11" s="198"/>
      <c r="N11" s="198"/>
      <c r="O11" s="198"/>
      <c r="P11" s="198"/>
      <c r="Q11" s="198"/>
      <c r="R11" s="198"/>
      <c r="S11" s="198"/>
      <c r="T11" s="198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L12" s="210" t="s">
        <v>123</v>
      </c>
      <c r="M12" s="211"/>
      <c r="N12" s="211" t="str">
        <f>LEFT(L12,1)&amp;B2&amp;RIGHT(O12,3)</f>
        <v>DTPSCOA</v>
      </c>
      <c r="O12" s="212" t="str">
        <f>$D$2&amp;" "&amp;$C$2&amp;" - "&amp;EnergyBalance!D2</f>
        <v>Demand Technology Total Primary Supply - COA</v>
      </c>
      <c r="P12" s="211" t="str">
        <f>$E$2</f>
        <v>PJ</v>
      </c>
      <c r="Q12" s="211" t="str">
        <f>$E$2&amp;"a"</f>
        <v>PJa</v>
      </c>
      <c r="R12" s="211"/>
      <c r="S12" s="211"/>
      <c r="T12" s="211"/>
    </row>
    <row r="13" spans="2:20" x14ac:dyDescent="0.25">
      <c r="D13" s="50"/>
      <c r="E13" s="134"/>
      <c r="F13" s="155"/>
      <c r="G13" s="155"/>
      <c r="H13" s="50"/>
      <c r="I13" s="155"/>
      <c r="J13" s="50"/>
      <c r="L13" s="153"/>
      <c r="M13" s="50"/>
      <c r="N13" s="50"/>
      <c r="O13" s="154"/>
      <c r="P13" s="50"/>
      <c r="Q13" s="50"/>
      <c r="R13" s="50"/>
      <c r="S13" s="50"/>
      <c r="T13" s="50"/>
    </row>
    <row r="14" spans="2:20" x14ac:dyDescent="0.25">
      <c r="B14" s="52"/>
      <c r="D14" s="52"/>
      <c r="E14" s="130"/>
      <c r="F14" s="156"/>
      <c r="G14" s="156"/>
      <c r="H14" s="51"/>
      <c r="I14" s="156"/>
      <c r="J14" s="51"/>
      <c r="L14" s="50"/>
      <c r="M14" s="50"/>
      <c r="N14" s="50"/>
      <c r="O14" s="157"/>
      <c r="P14" s="50"/>
      <c r="Q14" s="50"/>
      <c r="R14" s="50"/>
      <c r="S14" s="50"/>
      <c r="T14" s="50"/>
    </row>
    <row r="15" spans="2:20" x14ac:dyDescent="0.25">
      <c r="B15" s="52"/>
      <c r="E15" s="130"/>
      <c r="F15" s="156"/>
      <c r="G15" s="156"/>
      <c r="H15" s="51"/>
      <c r="I15" s="156"/>
      <c r="J15" s="51"/>
      <c r="L15" s="50"/>
      <c r="M15" s="50"/>
      <c r="N15" s="50"/>
      <c r="O15" s="157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29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29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8"/>
      <c r="C23" s="49" t="s">
        <v>181</v>
      </c>
    </row>
    <row r="24" spans="2:20" x14ac:dyDescent="0.25">
      <c r="B24" s="158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baseColWidth="10" defaultColWidth="8.81640625" defaultRowHeight="12.5" x14ac:dyDescent="0.25"/>
  <cols>
    <col min="1" max="1" width="3" style="48" customWidth="1"/>
    <col min="2" max="2" width="12.1796875" style="48" bestFit="1" customWidth="1"/>
    <col min="3" max="3" width="15" style="48" customWidth="1"/>
    <col min="4" max="4" width="13.81640625" style="48" bestFit="1" customWidth="1"/>
    <col min="5" max="5" width="12.26953125" style="48" customWidth="1"/>
    <col min="6" max="6" width="12.1796875" style="48" bestFit="1" customWidth="1"/>
    <col min="7" max="7" width="7.54296875" style="48" customWidth="1"/>
    <col min="8" max="8" width="9.1796875" style="48" bestFit="1" customWidth="1"/>
    <col min="9" max="9" width="9.453125" style="48" customWidth="1"/>
    <col min="10" max="10" width="8.1796875" style="48" customWidth="1"/>
    <col min="11" max="11" width="2.7265625" style="48" customWidth="1"/>
    <col min="12" max="12" width="12.7265625" style="48" bestFit="1" customWidth="1"/>
    <col min="13" max="13" width="7.1796875" style="48" customWidth="1"/>
    <col min="14" max="14" width="11.453125" style="48" bestFit="1" customWidth="1"/>
    <col min="15" max="15" width="41.54296875" style="48" bestFit="1" customWidth="1"/>
    <col min="16" max="16" width="6.453125" style="48" customWidth="1"/>
    <col min="17" max="17" width="11.7265625" style="48" customWidth="1"/>
    <col min="18" max="18" width="14.26953125" style="48" customWidth="1"/>
    <col min="19" max="19" width="13.7265625" style="48" bestFit="1" customWidth="1"/>
    <col min="20" max="20" width="8.453125" style="48" customWidth="1"/>
    <col min="21" max="16384" width="8.81640625" style="48"/>
  </cols>
  <sheetData>
    <row r="1" spans="2:20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" x14ac:dyDescent="0.3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7" t="s">
        <v>14</v>
      </c>
      <c r="M2" s="207"/>
      <c r="N2" s="205"/>
      <c r="O2" s="205"/>
      <c r="P2" s="205"/>
      <c r="Q2" s="205"/>
      <c r="R2" s="205"/>
      <c r="S2" s="205"/>
      <c r="T2" s="205"/>
    </row>
    <row r="3" spans="2:20" ht="13" x14ac:dyDescent="0.3">
      <c r="L3" s="208" t="s">
        <v>7</v>
      </c>
      <c r="M3" s="209" t="s">
        <v>30</v>
      </c>
      <c r="N3" s="208" t="s">
        <v>0</v>
      </c>
      <c r="O3" s="208" t="s">
        <v>3</v>
      </c>
      <c r="P3" s="208" t="s">
        <v>4</v>
      </c>
      <c r="Q3" s="208" t="s">
        <v>8</v>
      </c>
      <c r="R3" s="208" t="s">
        <v>9</v>
      </c>
      <c r="S3" s="208" t="s">
        <v>10</v>
      </c>
      <c r="T3" s="208" t="s">
        <v>12</v>
      </c>
    </row>
    <row r="4" spans="2:20" s="50" customFormat="1" ht="22" thickBot="1" x14ac:dyDescent="0.4">
      <c r="B4" s="17"/>
      <c r="C4" s="17"/>
      <c r="D4" s="17"/>
      <c r="E4" s="17"/>
      <c r="F4" s="17"/>
      <c r="L4" s="198" t="s">
        <v>40</v>
      </c>
      <c r="M4" s="198" t="s">
        <v>31</v>
      </c>
      <c r="N4" s="198" t="s">
        <v>26</v>
      </c>
      <c r="O4" s="198" t="s">
        <v>27</v>
      </c>
      <c r="P4" s="198" t="s">
        <v>4</v>
      </c>
      <c r="Q4" s="198" t="s">
        <v>43</v>
      </c>
      <c r="R4" s="198" t="s">
        <v>44</v>
      </c>
      <c r="S4" s="198" t="s">
        <v>28</v>
      </c>
      <c r="T4" s="198" t="s">
        <v>29</v>
      </c>
    </row>
    <row r="5" spans="2:20" s="50" customFormat="1" ht="15.5" x14ac:dyDescent="0.35">
      <c r="B5" s="17"/>
      <c r="C5" s="17"/>
      <c r="D5" s="17"/>
      <c r="E5" s="17"/>
      <c r="F5" s="17"/>
      <c r="L5" s="210" t="s">
        <v>105</v>
      </c>
      <c r="M5" s="211"/>
      <c r="N5" s="210" t="str">
        <f>B2&amp;EnergyBalance!K2</f>
        <v>TPSELC</v>
      </c>
      <c r="O5" s="210" t="str">
        <f>LEFT($D$2,6)&amp;" "&amp;$C$2&amp;" - "&amp;EnergyBalance!K2</f>
        <v>Demand Total Primary Supply - ELC</v>
      </c>
      <c r="P5" s="210" t="str">
        <f>$E$2</f>
        <v>PJ</v>
      </c>
      <c r="Q5" s="210"/>
      <c r="R5" s="210"/>
      <c r="S5" s="210"/>
      <c r="T5" s="210"/>
    </row>
    <row r="8" spans="2:20" ht="13" x14ac:dyDescent="0.3">
      <c r="D8" s="7" t="s">
        <v>13</v>
      </c>
      <c r="E8" s="7"/>
      <c r="F8" s="7"/>
      <c r="H8" s="7"/>
      <c r="I8" s="8"/>
      <c r="J8" s="6"/>
      <c r="L8" s="207" t="s">
        <v>15</v>
      </c>
      <c r="M8" s="207"/>
      <c r="N8" s="206"/>
      <c r="O8" s="206"/>
      <c r="P8" s="206"/>
      <c r="Q8" s="206"/>
      <c r="R8" s="206"/>
      <c r="S8" s="206"/>
      <c r="T8" s="206"/>
    </row>
    <row r="9" spans="2:20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L9" s="208" t="s">
        <v>11</v>
      </c>
      <c r="M9" s="209" t="s">
        <v>30</v>
      </c>
      <c r="N9" s="208" t="s">
        <v>1</v>
      </c>
      <c r="O9" s="208" t="s">
        <v>2</v>
      </c>
      <c r="P9" s="208" t="s">
        <v>16</v>
      </c>
      <c r="Q9" s="208" t="s">
        <v>17</v>
      </c>
      <c r="R9" s="208" t="s">
        <v>18</v>
      </c>
      <c r="S9" s="208" t="s">
        <v>19</v>
      </c>
      <c r="T9" s="208" t="s">
        <v>20</v>
      </c>
    </row>
    <row r="10" spans="2:20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L10" s="198" t="s">
        <v>41</v>
      </c>
      <c r="M10" s="198" t="s">
        <v>31</v>
      </c>
      <c r="N10" s="198" t="s">
        <v>21</v>
      </c>
      <c r="O10" s="198" t="s">
        <v>22</v>
      </c>
      <c r="P10" s="198" t="s">
        <v>23</v>
      </c>
      <c r="Q10" s="198" t="s">
        <v>24</v>
      </c>
      <c r="R10" s="198" t="s">
        <v>46</v>
      </c>
      <c r="S10" s="198" t="s">
        <v>45</v>
      </c>
      <c r="T10" s="198" t="s">
        <v>25</v>
      </c>
    </row>
    <row r="11" spans="2:20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8" t="s">
        <v>103</v>
      </c>
      <c r="M11" s="198"/>
      <c r="N11" s="198"/>
      <c r="O11" s="198"/>
      <c r="P11" s="198"/>
      <c r="Q11" s="198"/>
      <c r="R11" s="198"/>
      <c r="S11" s="198"/>
      <c r="T11" s="198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19">
        <v>1</v>
      </c>
      <c r="G12" s="119">
        <v>0.95</v>
      </c>
      <c r="H12" s="118">
        <v>10</v>
      </c>
      <c r="I12" s="119">
        <f>H12*0.02</f>
        <v>0.2</v>
      </c>
      <c r="J12" s="118">
        <v>20</v>
      </c>
      <c r="L12" s="210" t="s">
        <v>123</v>
      </c>
      <c r="M12" s="211"/>
      <c r="N12" s="211" t="str">
        <f>LEFT(L12,1)&amp;B2&amp;RIGHT(O12,3)</f>
        <v>DTPSELC</v>
      </c>
      <c r="O12" s="212" t="str">
        <f>$D$2&amp;" "&amp;$C$2&amp;" - "&amp;EnergyBalance!K2</f>
        <v>Demand Technology Total Primary Supply - ELC</v>
      </c>
      <c r="P12" s="211" t="str">
        <f>$E$2</f>
        <v>PJ</v>
      </c>
      <c r="Q12" s="211" t="str">
        <f>$E$2&amp;"a"</f>
        <v>PJa</v>
      </c>
      <c r="R12" s="211"/>
      <c r="S12" s="211"/>
      <c r="T12" s="211"/>
    </row>
    <row r="13" spans="2:20" x14ac:dyDescent="0.25">
      <c r="D13" s="50"/>
      <c r="E13" s="134"/>
      <c r="F13" s="155"/>
      <c r="G13" s="155"/>
      <c r="H13" s="50"/>
      <c r="I13" s="155"/>
      <c r="J13" s="50"/>
      <c r="L13" s="153"/>
      <c r="M13" s="50"/>
      <c r="N13" s="50"/>
      <c r="O13" s="154"/>
      <c r="P13" s="50"/>
      <c r="Q13" s="50"/>
      <c r="R13" s="50"/>
      <c r="S13" s="50"/>
      <c r="T13" s="50"/>
    </row>
    <row r="14" spans="2:20" x14ac:dyDescent="0.25">
      <c r="B14" s="52"/>
      <c r="D14" s="52"/>
      <c r="E14" s="130"/>
      <c r="F14" s="156"/>
      <c r="G14" s="156"/>
      <c r="H14" s="51"/>
      <c r="I14" s="156"/>
      <c r="J14" s="51"/>
      <c r="L14" s="50"/>
      <c r="M14" s="50"/>
      <c r="N14" s="50"/>
      <c r="O14" s="157"/>
      <c r="P14" s="50"/>
      <c r="Q14" s="50"/>
      <c r="R14" s="50"/>
      <c r="S14" s="50"/>
      <c r="T14" s="50"/>
    </row>
    <row r="15" spans="2:20" x14ac:dyDescent="0.25">
      <c r="B15" s="52"/>
      <c r="E15" s="130"/>
      <c r="F15" s="156"/>
      <c r="G15" s="156"/>
      <c r="H15" s="51"/>
      <c r="I15" s="156"/>
      <c r="J15" s="51"/>
      <c r="L15" s="50"/>
      <c r="M15" s="50"/>
      <c r="N15" s="50"/>
      <c r="O15" s="157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29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29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8"/>
      <c r="C23" s="49" t="s">
        <v>181</v>
      </c>
    </row>
    <row r="24" spans="2:20" x14ac:dyDescent="0.25">
      <c r="B24" s="158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2" customWidth="1"/>
    <col min="4" max="4" width="13.81640625" customWidth="1"/>
    <col min="5" max="5" width="13.1796875" customWidth="1"/>
    <col min="6" max="6" width="13.1796875" bestFit="1" customWidth="1"/>
    <col min="7" max="7" width="11.453125" bestFit="1" customWidth="1"/>
    <col min="8" max="8" width="11.81640625" bestFit="1" customWidth="1"/>
    <col min="9" max="9" width="11.54296875" bestFit="1" customWidth="1"/>
    <col min="10" max="10" width="8.81640625" customWidth="1"/>
    <col min="11" max="11" width="7" bestFit="1" customWidth="1"/>
    <col min="12" max="12" width="14" style="55" customWidth="1"/>
    <col min="13" max="13" width="2" customWidth="1"/>
    <col min="14" max="14" width="12.453125" customWidth="1"/>
    <col min="15" max="15" width="7.1796875" customWidth="1"/>
    <col min="16" max="16" width="11" customWidth="1"/>
    <col min="17" max="17" width="79.1796875" bestFit="1" customWidth="1"/>
    <col min="18" max="18" width="6.1796875" customWidth="1"/>
    <col min="19" max="19" width="12" customWidth="1"/>
    <col min="20" max="20" width="12.81640625" bestFit="1" customWidth="1"/>
    <col min="21" max="21" width="13.26953125" customWidth="1"/>
    <col min="22" max="22" width="8" bestFit="1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" x14ac:dyDescent="0.3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4" t="s">
        <v>176</v>
      </c>
      <c r="H2" s="19" t="s">
        <v>127</v>
      </c>
      <c r="I2" s="19" t="s">
        <v>128</v>
      </c>
      <c r="N2" s="194" t="s">
        <v>14</v>
      </c>
      <c r="O2" s="194"/>
      <c r="P2" s="195"/>
      <c r="Q2" s="195"/>
      <c r="R2" s="195"/>
      <c r="S2" s="195"/>
      <c r="T2" s="195"/>
      <c r="U2" s="195"/>
      <c r="V2" s="195"/>
    </row>
    <row r="3" spans="2:22" ht="13" x14ac:dyDescent="0.3">
      <c r="N3" s="196" t="s">
        <v>7</v>
      </c>
      <c r="O3" s="197" t="s">
        <v>30</v>
      </c>
      <c r="P3" s="196" t="s">
        <v>0</v>
      </c>
      <c r="Q3" s="196" t="s">
        <v>3</v>
      </c>
      <c r="R3" s="196" t="s">
        <v>4</v>
      </c>
      <c r="S3" s="196" t="s">
        <v>8</v>
      </c>
      <c r="T3" s="196" t="s">
        <v>9</v>
      </c>
      <c r="U3" s="196" t="s">
        <v>10</v>
      </c>
      <c r="V3" s="196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L4" s="55"/>
      <c r="N4" s="198" t="s">
        <v>40</v>
      </c>
      <c r="O4" s="198" t="s">
        <v>31</v>
      </c>
      <c r="P4" s="198" t="s">
        <v>26</v>
      </c>
      <c r="Q4" s="198" t="s">
        <v>27</v>
      </c>
      <c r="R4" s="198" t="s">
        <v>4</v>
      </c>
      <c r="S4" s="198" t="s">
        <v>43</v>
      </c>
      <c r="T4" s="198" t="s">
        <v>44</v>
      </c>
      <c r="U4" s="198" t="s">
        <v>28</v>
      </c>
      <c r="V4" s="198" t="s">
        <v>29</v>
      </c>
    </row>
    <row r="5" spans="2:22" s="9" customFormat="1" ht="15.5" x14ac:dyDescent="0.35">
      <c r="B5" s="17"/>
      <c r="C5" s="17"/>
      <c r="D5" s="17"/>
      <c r="E5" s="17"/>
      <c r="F5" s="17"/>
      <c r="L5" s="55"/>
      <c r="N5" s="199" t="s">
        <v>105</v>
      </c>
      <c r="O5" s="200"/>
      <c r="P5" s="199" t="str">
        <f>LEFT($N$5,1)&amp;LEFT($B$2,1)&amp;EnergyBalance!$C$43</f>
        <v>DTD1</v>
      </c>
      <c r="Q5" s="199" t="str">
        <f>LEFT($D$2,6)&amp;" "&amp;$C$2&amp; " Sector - "&amp;EnergyBalance!$N$43</f>
        <v>Demand Transport Sector - Demand 1</v>
      </c>
      <c r="R5" s="199" t="str">
        <f>$E$2</f>
        <v>PJ</v>
      </c>
      <c r="S5" s="199"/>
      <c r="T5" s="199"/>
      <c r="U5" s="199"/>
      <c r="V5" s="199"/>
    </row>
    <row r="6" spans="2:22" x14ac:dyDescent="0.25">
      <c r="N6" s="201" t="s">
        <v>137</v>
      </c>
      <c r="O6" s="201"/>
      <c r="P6" s="201" t="str">
        <f>$B$2&amp;EnergyBalance!$C$46</f>
        <v>TRACO2</v>
      </c>
      <c r="Q6" s="201" t="str">
        <f>$C$2&amp;" "&amp;EnergyBalance!$C$47</f>
        <v>Transport Carbon dioxide</v>
      </c>
      <c r="R6" s="201" t="str">
        <f>EnergyBalance!$S$2</f>
        <v>kt</v>
      </c>
      <c r="S6" s="201"/>
      <c r="T6" s="201"/>
      <c r="U6" s="201"/>
      <c r="V6" s="201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L8"/>
      <c r="N8" s="194" t="s">
        <v>15</v>
      </c>
      <c r="O8" s="194"/>
      <c r="P8" s="201"/>
      <c r="Q8" s="201"/>
      <c r="R8" s="201"/>
      <c r="S8" s="201"/>
      <c r="T8" s="201"/>
      <c r="U8" s="201"/>
      <c r="V8" s="201"/>
    </row>
    <row r="9" spans="2:22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144" t="s">
        <v>187</v>
      </c>
      <c r="L9" s="144" t="s">
        <v>129</v>
      </c>
      <c r="N9" s="196" t="s">
        <v>11</v>
      </c>
      <c r="O9" s="197" t="s">
        <v>30</v>
      </c>
      <c r="P9" s="196" t="s">
        <v>1</v>
      </c>
      <c r="Q9" s="196" t="s">
        <v>2</v>
      </c>
      <c r="R9" s="196" t="s">
        <v>16</v>
      </c>
      <c r="S9" s="196" t="s">
        <v>17</v>
      </c>
      <c r="T9" s="196" t="s">
        <v>18</v>
      </c>
      <c r="U9" s="196" t="s">
        <v>19</v>
      </c>
      <c r="V9" s="196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8" t="s">
        <v>41</v>
      </c>
      <c r="O10" s="198" t="s">
        <v>31</v>
      </c>
      <c r="P10" s="198" t="s">
        <v>21</v>
      </c>
      <c r="Q10" s="198" t="s">
        <v>22</v>
      </c>
      <c r="R10" s="198" t="s">
        <v>23</v>
      </c>
      <c r="S10" s="198" t="s">
        <v>24</v>
      </c>
      <c r="T10" s="198" t="s">
        <v>46</v>
      </c>
      <c r="U10" s="198" t="s">
        <v>45</v>
      </c>
      <c r="V10" s="198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123</v>
      </c>
      <c r="O11" s="200"/>
      <c r="P11" s="200" t="str">
        <f>LEFT($B$2)&amp;EnergyBalance!$C$42&amp;$H$2&amp;EnergyBalance!F2</f>
        <v>TOTEOIL</v>
      </c>
      <c r="Q11" s="204" t="str">
        <f>$D$2&amp;" "&amp;$C$2&amp; " Sector - "&amp;" "&amp;$H$1&amp;" "&amp;EnergyBalance!$N$40&amp;" - "&amp;EnergyBalance!$F$3</f>
        <v>Demand Technologies Transport Sector -  Existing  - Crude Oil</v>
      </c>
      <c r="R11" s="200" t="str">
        <f>$E$2</f>
        <v>PJ</v>
      </c>
      <c r="S11" s="200" t="str">
        <f>$E$2&amp;"a"</f>
        <v>PJa</v>
      </c>
      <c r="T11" s="200"/>
      <c r="U11" s="200"/>
      <c r="V11" s="200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09">
        <f>EnergyBalance!F20/G12*1.01</f>
        <v>16666.401655555557</v>
      </c>
      <c r="F12" s="113">
        <v>1</v>
      </c>
      <c r="G12" s="113">
        <v>0.9</v>
      </c>
      <c r="H12" s="75"/>
      <c r="I12" s="113">
        <v>0.2</v>
      </c>
      <c r="J12" s="75">
        <v>10</v>
      </c>
      <c r="L12"/>
      <c r="N12" s="201"/>
      <c r="O12" s="201"/>
      <c r="P12" s="200" t="str">
        <f>LEFT($B$2)&amp;EnergyBalance!$C$42&amp;$I$2&amp;EnergyBalance!F2</f>
        <v>TOTNOIL</v>
      </c>
      <c r="Q12" s="204" t="str">
        <f>$D$2&amp;" "&amp;$C$2&amp; " Sector - "&amp;" "&amp;$I$1&amp;" "&amp;EnergyBalance!$N$40&amp;" - "&amp;EnergyBalance!$F$3</f>
        <v>Demand Technologies Transport Sector -  New  - Crude Oil</v>
      </c>
      <c r="R12" s="200" t="str">
        <f>$E$2</f>
        <v>PJ</v>
      </c>
      <c r="S12" s="200" t="str">
        <f>$E$2&amp;"a"</f>
        <v>PJa</v>
      </c>
      <c r="T12" s="201"/>
      <c r="U12" s="201"/>
      <c r="V12" s="201"/>
    </row>
    <row r="13" spans="2:22" x14ac:dyDescent="0.25">
      <c r="D13" t="str">
        <f>$P$6</f>
        <v>TRACO2</v>
      </c>
      <c r="E13" s="13"/>
      <c r="F13" s="27"/>
      <c r="G13" s="27"/>
      <c r="I13" s="27"/>
      <c r="L13" s="189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6">
        <v>1.1000000000000001</v>
      </c>
      <c r="G14" s="116">
        <v>0.9</v>
      </c>
      <c r="H14" s="135">
        <v>10</v>
      </c>
      <c r="I14" s="116">
        <f>H14*0.02</f>
        <v>0.2</v>
      </c>
      <c r="J14" s="135">
        <v>15</v>
      </c>
      <c r="K14" s="117">
        <v>2006</v>
      </c>
      <c r="L14" s="190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8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5"/>
      <c r="C23" s="1" t="s">
        <v>181</v>
      </c>
      <c r="K23" s="1"/>
      <c r="L23" s="14"/>
    </row>
    <row r="24" spans="1:22" x14ac:dyDescent="0.25">
      <c r="B24" s="110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4" zoomScale="130" zoomScaleNormal="130" workbookViewId="0">
      <selection activeCell="Q42" sqref="Q42"/>
    </sheetView>
  </sheetViews>
  <sheetFormatPr baseColWidth="10" defaultColWidth="8.7265625" defaultRowHeight="12.5" x14ac:dyDescent="0.25"/>
  <cols>
    <col min="1" max="1" width="3" customWidth="1"/>
    <col min="2" max="2" width="12.1796875" bestFit="1" customWidth="1"/>
    <col min="3" max="3" width="11.81640625" bestFit="1" customWidth="1"/>
    <col min="4" max="4" width="13.81640625" bestFit="1" customWidth="1"/>
    <col min="5" max="5" width="13" customWidth="1"/>
    <col min="6" max="6" width="13.1796875" bestFit="1" customWidth="1"/>
    <col min="7" max="7" width="7.453125" customWidth="1"/>
    <col min="8" max="8" width="9.1796875" bestFit="1" customWidth="1"/>
    <col min="9" max="9" width="9.54296875" customWidth="1"/>
    <col min="10" max="10" width="7.54296875" bestFit="1" customWidth="1"/>
    <col min="11" max="11" width="8.26953125" customWidth="1"/>
    <col min="12" max="12" width="12.7265625" customWidth="1"/>
    <col min="13" max="13" width="2.7265625" customWidth="1"/>
    <col min="14" max="14" width="12.7265625" bestFit="1" customWidth="1"/>
    <col min="15" max="15" width="7.1796875" customWidth="1"/>
    <col min="16" max="16" width="11.453125" bestFit="1" customWidth="1"/>
    <col min="17" max="17" width="62.453125" bestFit="1" customWidth="1"/>
    <col min="18" max="18" width="6.1796875" customWidth="1"/>
    <col min="19" max="19" width="11.7265625" customWidth="1"/>
    <col min="20" max="20" width="13.453125" customWidth="1"/>
    <col min="21" max="21" width="13.81640625" customWidth="1"/>
    <col min="22" max="22" width="8.453125" customWidth="1"/>
  </cols>
  <sheetData>
    <row r="1" spans="2:22" ht="14.5" x14ac:dyDescent="0.3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" x14ac:dyDescent="0.3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4" t="s">
        <v>14</v>
      </c>
      <c r="O2" s="194"/>
      <c r="P2" s="195"/>
      <c r="Q2" s="195"/>
      <c r="R2" s="195"/>
      <c r="S2" s="195"/>
      <c r="T2" s="195"/>
      <c r="U2" s="195"/>
      <c r="V2" s="195"/>
    </row>
    <row r="3" spans="2:22" ht="13" x14ac:dyDescent="0.3">
      <c r="N3" s="196" t="s">
        <v>7</v>
      </c>
      <c r="O3" s="197" t="s">
        <v>30</v>
      </c>
      <c r="P3" s="196" t="s">
        <v>0</v>
      </c>
      <c r="Q3" s="196" t="s">
        <v>3</v>
      </c>
      <c r="R3" s="196" t="s">
        <v>4</v>
      </c>
      <c r="S3" s="196" t="s">
        <v>8</v>
      </c>
      <c r="T3" s="196" t="s">
        <v>9</v>
      </c>
      <c r="U3" s="196" t="s">
        <v>10</v>
      </c>
      <c r="V3" s="196" t="s">
        <v>12</v>
      </c>
    </row>
    <row r="4" spans="2:22" s="9" customFormat="1" ht="22" thickBot="1" x14ac:dyDescent="0.4">
      <c r="B4" s="17"/>
      <c r="C4" s="17"/>
      <c r="D4" s="17"/>
      <c r="E4" s="17"/>
      <c r="F4" s="17"/>
      <c r="N4" s="198" t="s">
        <v>40</v>
      </c>
      <c r="O4" s="198" t="s">
        <v>31</v>
      </c>
      <c r="P4" s="198" t="s">
        <v>26</v>
      </c>
      <c r="Q4" s="198" t="s">
        <v>27</v>
      </c>
      <c r="R4" s="198" t="s">
        <v>4</v>
      </c>
      <c r="S4" s="198" t="s">
        <v>43</v>
      </c>
      <c r="T4" s="198" t="s">
        <v>44</v>
      </c>
      <c r="U4" s="198" t="s">
        <v>28</v>
      </c>
      <c r="V4" s="198" t="s">
        <v>29</v>
      </c>
    </row>
    <row r="5" spans="2:22" s="9" customFormat="1" ht="15.5" x14ac:dyDescent="0.35">
      <c r="B5" s="17"/>
      <c r="C5" s="17"/>
      <c r="D5" s="17"/>
      <c r="E5" s="17"/>
      <c r="F5" s="17"/>
      <c r="N5" s="199" t="s">
        <v>105</v>
      </c>
      <c r="O5" s="200"/>
      <c r="P5" s="199" t="str">
        <f>LEFT($N$5,1)&amp;LEFT(B2,1)&amp;EnergyBalance!$C$42</f>
        <v>DROT</v>
      </c>
      <c r="Q5" s="199" t="str">
        <f>LEFT($D$2,6)&amp;" "&amp;$C$2&amp; " Sector - "&amp;EnergyBalance!$N$42</f>
        <v>Demand Residential Sector - Other</v>
      </c>
      <c r="R5" s="199" t="str">
        <f>$E$2</f>
        <v>PJ</v>
      </c>
      <c r="S5" s="199"/>
      <c r="T5" s="199"/>
      <c r="U5" s="199"/>
      <c r="V5" s="199"/>
    </row>
    <row r="6" spans="2:22" x14ac:dyDescent="0.25">
      <c r="N6" s="201" t="s">
        <v>137</v>
      </c>
      <c r="O6" s="201"/>
      <c r="P6" s="201" t="str">
        <f>$B$2&amp;EnergyBalance!$C$46</f>
        <v>RSDCO2</v>
      </c>
      <c r="Q6" s="201" t="str">
        <f>$C$2&amp;" "&amp;EnergyBalance!$C$47</f>
        <v>Residential Carbon dioxide</v>
      </c>
      <c r="R6" s="201" t="str">
        <f>EnergyBalance!$S$2</f>
        <v>kt</v>
      </c>
      <c r="S6" s="201"/>
      <c r="T6" s="201"/>
      <c r="U6" s="201"/>
      <c r="V6" s="201"/>
    </row>
    <row r="8" spans="2:22" ht="13" x14ac:dyDescent="0.3">
      <c r="D8" s="7" t="s">
        <v>13</v>
      </c>
      <c r="E8" s="7"/>
      <c r="F8" s="7"/>
      <c r="H8" s="7"/>
      <c r="I8" s="8"/>
      <c r="J8" s="6"/>
      <c r="K8" s="24"/>
      <c r="N8" s="194" t="s">
        <v>15</v>
      </c>
      <c r="O8" s="194"/>
      <c r="P8" s="201"/>
      <c r="Q8" s="201"/>
      <c r="R8" s="201"/>
      <c r="S8" s="201"/>
      <c r="T8" s="201"/>
      <c r="U8" s="201"/>
      <c r="V8" s="201"/>
    </row>
    <row r="9" spans="2:22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5" t="s">
        <v>108</v>
      </c>
      <c r="G9" s="145" t="s">
        <v>124</v>
      </c>
      <c r="H9" s="145" t="s">
        <v>106</v>
      </c>
      <c r="I9" s="145" t="s">
        <v>107</v>
      </c>
      <c r="J9" s="144" t="s">
        <v>101</v>
      </c>
      <c r="K9" s="144" t="s">
        <v>187</v>
      </c>
      <c r="L9" s="144" t="s">
        <v>129</v>
      </c>
      <c r="N9" s="196" t="s">
        <v>11</v>
      </c>
      <c r="O9" s="197" t="s">
        <v>30</v>
      </c>
      <c r="P9" s="196" t="s">
        <v>1</v>
      </c>
      <c r="Q9" s="196" t="s">
        <v>2</v>
      </c>
      <c r="R9" s="196" t="s">
        <v>16</v>
      </c>
      <c r="S9" s="196" t="s">
        <v>17</v>
      </c>
      <c r="T9" s="196" t="s">
        <v>18</v>
      </c>
      <c r="U9" s="196" t="s">
        <v>19</v>
      </c>
      <c r="V9" s="196" t="s">
        <v>20</v>
      </c>
    </row>
    <row r="10" spans="2:22" ht="21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2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8" t="s">
        <v>41</v>
      </c>
      <c r="O10" s="198" t="s">
        <v>31</v>
      </c>
      <c r="P10" s="198" t="s">
        <v>21</v>
      </c>
      <c r="Q10" s="198" t="s">
        <v>22</v>
      </c>
      <c r="R10" s="198" t="s">
        <v>23</v>
      </c>
      <c r="S10" s="198" t="s">
        <v>24</v>
      </c>
      <c r="T10" s="198" t="s">
        <v>46</v>
      </c>
      <c r="U10" s="198" t="s">
        <v>45</v>
      </c>
      <c r="V10" s="198" t="s">
        <v>25</v>
      </c>
    </row>
    <row r="11" spans="2:22" ht="13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7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8" t="s">
        <v>103</v>
      </c>
      <c r="O11" s="198"/>
      <c r="P11" s="198"/>
      <c r="Q11" s="198"/>
      <c r="R11" s="198"/>
      <c r="S11" s="198"/>
      <c r="T11" s="198"/>
      <c r="U11" s="198"/>
      <c r="V11" s="198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09">
        <f>EnergyBalance!E16/$G$12*1.01</f>
        <v>5485.6746631578944</v>
      </c>
      <c r="F12" s="113">
        <v>1</v>
      </c>
      <c r="G12" s="113">
        <v>0.95</v>
      </c>
      <c r="H12" s="75"/>
      <c r="I12" s="113">
        <v>0.24</v>
      </c>
      <c r="J12" s="75">
        <v>10</v>
      </c>
      <c r="N12" s="199" t="s">
        <v>123</v>
      </c>
      <c r="O12" s="200"/>
      <c r="P12" s="200" t="str">
        <f>LEFT(EnergyBalance!$B$16)&amp;EnergyBalance!$C$42&amp;$H$2&amp;EnergyBalance!E2</f>
        <v>ROTEGAS</v>
      </c>
      <c r="Q12" s="204" t="str">
        <f>$D$2&amp;" "&amp;$C$2&amp; " Sector - "&amp;" "&amp;$H$1&amp;" "&amp;EnergyBalance!$N$42&amp;" - "&amp;EnergyBalance!$E$3</f>
        <v>Demand Technologies Residential Sector -  Existing Other - Natural Gas</v>
      </c>
      <c r="R12" s="200" t="str">
        <f>$E$2</f>
        <v>PJ</v>
      </c>
      <c r="S12" s="200" t="str">
        <f>$E$2&amp;"a"</f>
        <v>PJa</v>
      </c>
      <c r="T12" s="200"/>
      <c r="U12" s="200"/>
      <c r="V12" s="200"/>
    </row>
    <row r="13" spans="2:22" x14ac:dyDescent="0.25">
      <c r="D13" t="str">
        <f>$P$6</f>
        <v>RSDCO2</v>
      </c>
      <c r="E13" s="13"/>
      <c r="F13" s="27"/>
      <c r="G13" s="27"/>
      <c r="I13" s="27"/>
      <c r="L13" s="75">
        <f>56.1/F12</f>
        <v>56.1</v>
      </c>
      <c r="N13" s="199"/>
      <c r="O13" s="200"/>
      <c r="P13" s="200" t="str">
        <f>LEFT(EnergyBalance!$B$16)&amp;EnergyBalance!$C$42&amp;$I$2&amp;EnergyBalance!E2</f>
        <v>ROTNGAS</v>
      </c>
      <c r="Q13" s="204" t="str">
        <f>$D$2&amp;" "&amp;$C$2&amp; " Sector - "&amp;" "&amp;$I$1&amp;" "&amp;EnergyBalance!$N$42&amp;" - "&amp;EnergyBalance!$E$3</f>
        <v>Demand Technologies Residential Sector -  New Other - Natural Gas</v>
      </c>
      <c r="R13" s="200" t="str">
        <f>$E$2</f>
        <v>PJ</v>
      </c>
      <c r="S13" s="200" t="str">
        <f>$E$2&amp;"a"</f>
        <v>PJa</v>
      </c>
      <c r="T13" s="200"/>
      <c r="U13" s="200"/>
      <c r="V13" s="200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6">
        <v>1.2</v>
      </c>
      <c r="G14" s="116">
        <v>0.95</v>
      </c>
      <c r="H14" s="135">
        <v>12</v>
      </c>
      <c r="I14" s="116">
        <f>H14*0.02</f>
        <v>0.24</v>
      </c>
      <c r="J14" s="135">
        <v>20</v>
      </c>
      <c r="K14" s="117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8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5"/>
      <c r="C23" s="1" t="s">
        <v>181</v>
      </c>
    </row>
    <row r="24" spans="2:22" x14ac:dyDescent="0.25">
      <c r="B24" s="110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topLeftCell="A3" zoomScale="130" zoomScaleNormal="130" workbookViewId="0">
      <selection activeCell="C13" sqref="C13"/>
    </sheetView>
  </sheetViews>
  <sheetFormatPr baseColWidth="10" defaultColWidth="8.7265625" defaultRowHeight="12.5" x14ac:dyDescent="0.25"/>
  <cols>
    <col min="1" max="1" width="2" bestFit="1" customWidth="1"/>
    <col min="2" max="2" width="12.54296875" customWidth="1"/>
    <col min="3" max="3" width="13.1796875" customWidth="1"/>
    <col min="4" max="4" width="11.54296875" customWidth="1"/>
    <col min="5" max="5" width="11.7265625" bestFit="1" customWidth="1"/>
    <col min="6" max="9" width="11.26953125" customWidth="1"/>
    <col min="10" max="10" width="2" bestFit="1" customWidth="1"/>
    <col min="11" max="11" width="12.453125" customWidth="1"/>
    <col min="12" max="12" width="11.453125" bestFit="1" customWidth="1"/>
  </cols>
  <sheetData>
    <row r="1" spans="2:11" ht="14.5" x14ac:dyDescent="0.3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5" x14ac:dyDescent="0.3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ht="13" x14ac:dyDescent="0.3">
      <c r="C5" s="5" t="s">
        <v>13</v>
      </c>
      <c r="D5" s="5"/>
      <c r="E5" s="1"/>
    </row>
    <row r="6" spans="2:11" ht="13" x14ac:dyDescent="0.25">
      <c r="B6" s="4" t="s">
        <v>102</v>
      </c>
      <c r="C6" s="4" t="s">
        <v>0</v>
      </c>
      <c r="D6" s="4" t="s">
        <v>177</v>
      </c>
      <c r="E6" s="148">
        <v>2005</v>
      </c>
      <c r="F6" s="148">
        <v>2006</v>
      </c>
      <c r="G6" s="148">
        <v>2010</v>
      </c>
      <c r="H6" s="148">
        <v>2015</v>
      </c>
      <c r="I6" s="148">
        <v>2020</v>
      </c>
    </row>
    <row r="7" spans="2:11" ht="20.5" x14ac:dyDescent="0.25">
      <c r="B7" s="26" t="s">
        <v>103</v>
      </c>
      <c r="C7" s="26" t="s">
        <v>104</v>
      </c>
      <c r="D7" s="26" t="s">
        <v>178</v>
      </c>
      <c r="E7" s="143" t="s">
        <v>36</v>
      </c>
      <c r="F7" s="143"/>
      <c r="G7" s="143"/>
      <c r="H7" s="143"/>
      <c r="I7" s="143"/>
      <c r="K7" s="121" t="s">
        <v>170</v>
      </c>
    </row>
    <row r="8" spans="2:11" ht="13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2"/>
    </row>
    <row r="9" spans="2:11" x14ac:dyDescent="0.25">
      <c r="B9" s="58" t="s">
        <v>35</v>
      </c>
      <c r="C9" s="58" t="str">
        <f>DemTechs_TPS!N5</f>
        <v>TPSCOA</v>
      </c>
      <c r="D9" s="58" t="s">
        <v>97</v>
      </c>
      <c r="E9" s="149">
        <f>EnergyBalance!D24</f>
        <v>3596.8059999999982</v>
      </c>
      <c r="F9" s="150"/>
      <c r="G9" s="150"/>
      <c r="H9" s="150"/>
      <c r="I9" s="150"/>
      <c r="K9" s="115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09">
        <f>EnergyBalance!E16</f>
        <v>5159.7929999999997</v>
      </c>
      <c r="F10" s="151"/>
      <c r="G10" s="151"/>
      <c r="H10" s="151"/>
      <c r="I10" s="151"/>
      <c r="K10" s="117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09">
        <f>EnergyBalance!F20</f>
        <v>14851.249</v>
      </c>
      <c r="F11" s="128"/>
      <c r="G11" s="128"/>
      <c r="H11" s="128"/>
      <c r="I11" s="128"/>
      <c r="K11" s="123"/>
    </row>
    <row r="12" spans="2:11" x14ac:dyDescent="0.25">
      <c r="B12" s="45" t="s">
        <v>35</v>
      </c>
      <c r="C12" s="45" t="str">
        <f>DemTechs_ELC!N5</f>
        <v>TPSELC</v>
      </c>
      <c r="D12" s="59" t="s">
        <v>97</v>
      </c>
      <c r="E12" s="152">
        <f>EnergyBalance!K24</f>
        <v>10422.934999999999</v>
      </c>
      <c r="F12" s="152">
        <f>$E$12*(1+$K$12)^(F6-$E$6)</f>
        <v>10527.164349999999</v>
      </c>
      <c r="G12" s="152">
        <f>$E$12*(1+$K$12)^(G6-$E$6)</f>
        <v>10954.609436539042</v>
      </c>
      <c r="H12" s="152">
        <f>$E$12*(1+$K$12)^(H6-$E$6)</f>
        <v>11513.404612722834</v>
      </c>
      <c r="I12" s="152">
        <f>$E$12*(1+$K$12)^(I6-$E$6)</f>
        <v>12100.703958839395</v>
      </c>
      <c r="K12" s="124">
        <v>0.01</v>
      </c>
    </row>
    <row r="13" spans="2:11" x14ac:dyDescent="0.25">
      <c r="B13" s="45" t="s">
        <v>35</v>
      </c>
      <c r="C13" t="s">
        <v>202</v>
      </c>
      <c r="D13" s="213" t="s">
        <v>97</v>
      </c>
      <c r="E13">
        <v>0</v>
      </c>
      <c r="F13">
        <v>0</v>
      </c>
      <c r="G13" s="152">
        <v>1000</v>
      </c>
      <c r="H13">
        <v>1100</v>
      </c>
      <c r="I13">
        <v>1200</v>
      </c>
    </row>
    <row r="14" spans="2:11" x14ac:dyDescent="0.25">
      <c r="E14" s="53"/>
    </row>
    <row r="15" spans="2:11" x14ac:dyDescent="0.25">
      <c r="E15" s="13"/>
    </row>
    <row r="16" spans="2:11" x14ac:dyDescent="0.25">
      <c r="E16" s="13"/>
    </row>
    <row r="22" spans="2:3" x14ac:dyDescent="0.25">
      <c r="B22" s="75"/>
      <c r="C22" s="1" t="s">
        <v>181</v>
      </c>
    </row>
    <row r="23" spans="2:3" x14ac:dyDescent="0.25">
      <c r="B23" s="110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zoomScale="60" zoomScaleNormal="60" workbookViewId="0">
      <selection activeCell="B15" sqref="B15"/>
    </sheetView>
  </sheetViews>
  <sheetFormatPr baseColWidth="10" defaultColWidth="8.7265625" defaultRowHeight="12.5" x14ac:dyDescent="0.25"/>
  <cols>
    <col min="1" max="1" width="1.81640625" customWidth="1"/>
    <col min="2" max="2" width="7.7265625" customWidth="1"/>
    <col min="3" max="3" width="6.81640625" customWidth="1"/>
    <col min="12" max="12" width="6.7265625" customWidth="1"/>
    <col min="13" max="13" width="7.1796875" customWidth="1"/>
    <col min="21" max="21" width="5.453125" customWidth="1"/>
  </cols>
  <sheetData>
    <row r="2" spans="2:15" ht="18" x14ac:dyDescent="0.4">
      <c r="B2" s="125" t="s">
        <v>200</v>
      </c>
      <c r="K2" s="125"/>
    </row>
    <row r="3" spans="2:15" ht="18" x14ac:dyDescent="0.4">
      <c r="K3" s="125"/>
    </row>
    <row r="4" spans="2:15" ht="18" x14ac:dyDescent="0.4">
      <c r="B4" s="125" t="s">
        <v>183</v>
      </c>
    </row>
    <row r="6" spans="2:15" ht="13" x14ac:dyDescent="0.3">
      <c r="B6" s="46" t="s">
        <v>197</v>
      </c>
    </row>
    <row r="11" spans="2:15" ht="13" x14ac:dyDescent="0.3">
      <c r="M11" s="127"/>
      <c r="N11" s="127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8" x14ac:dyDescent="0.4">
      <c r="B15" s="125" t="s">
        <v>201</v>
      </c>
      <c r="M15" s="9"/>
      <c r="N15" s="9"/>
      <c r="O15" s="9"/>
    </row>
    <row r="17" spans="4:23" ht="13" x14ac:dyDescent="0.3">
      <c r="D17" s="126" t="s">
        <v>184</v>
      </c>
      <c r="E17" s="126"/>
      <c r="F17" s="126"/>
      <c r="G17" s="126"/>
      <c r="H17" s="126"/>
      <c r="I17" s="126"/>
      <c r="L17" s="126" t="s">
        <v>185</v>
      </c>
      <c r="M17" s="126"/>
      <c r="N17" s="126"/>
      <c r="O17" s="126"/>
      <c r="T17" s="126" t="s">
        <v>186</v>
      </c>
      <c r="U17" s="126"/>
      <c r="V17" s="126"/>
      <c r="W17" s="126"/>
    </row>
    <row r="33" spans="2:2" x14ac:dyDescent="0.25">
      <c r="B33" s="184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2" sqref="I12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1.26953125" bestFit="1" customWidth="1"/>
    <col min="4" max="4" width="11.7265625" customWidth="1"/>
    <col min="5" max="5" width="11.453125" bestFit="1" customWidth="1"/>
    <col min="6" max="6" width="8.26953125" bestFit="1" customWidth="1"/>
    <col min="7" max="7" width="13.7265625" customWidth="1"/>
    <col min="8" max="8" width="7.7265625" bestFit="1" customWidth="1"/>
    <col min="9" max="9" width="13.7265625" bestFit="1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14.5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0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0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1:20" x14ac:dyDescent="0.25">
      <c r="K5" s="199" t="s">
        <v>93</v>
      </c>
      <c r="L5" s="200"/>
      <c r="M5" s="199" t="str">
        <f>C2</f>
        <v>COA</v>
      </c>
      <c r="N5" s="199" t="str">
        <f>D2</f>
        <v>Solid Fuels</v>
      </c>
      <c r="O5" s="199" t="str">
        <f>$E$2</f>
        <v>PJ</v>
      </c>
      <c r="P5" s="199"/>
      <c r="Q5" s="199"/>
      <c r="R5" s="199"/>
      <c r="S5" s="199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0" ht="21" thickBot="1" x14ac:dyDescent="0.3">
      <c r="B9" s="25" t="s">
        <v>42</v>
      </c>
      <c r="C9" s="25" t="s">
        <v>32</v>
      </c>
      <c r="D9" s="25" t="s">
        <v>33</v>
      </c>
      <c r="E9" s="25"/>
      <c r="F9" s="160"/>
      <c r="G9" s="160" t="s">
        <v>39</v>
      </c>
      <c r="H9" s="160" t="s">
        <v>117</v>
      </c>
      <c r="I9" s="160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0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2">
        <v>80000</v>
      </c>
      <c r="H11" s="114">
        <v>2</v>
      </c>
      <c r="I11" s="108">
        <f>EnergyBalance!$D$5*EnergyBalance!D37*1.1</f>
        <v>6681.1453500000007</v>
      </c>
      <c r="J11" s="9"/>
      <c r="K11" s="199" t="str">
        <f>EnergyBalance!$B$5</f>
        <v>MIN</v>
      </c>
      <c r="L11" s="200"/>
      <c r="M11" s="200" t="str">
        <f>$K$11&amp;$C$2&amp;1</f>
        <v>MINCOA1</v>
      </c>
      <c r="N11" s="203" t="str">
        <f>"Domestic Supply of "&amp;$D$2&amp; " Step "&amp;RIGHT(M11,1)</f>
        <v>Domestic Supply of Solid Fuels Step 1</v>
      </c>
      <c r="O11" s="200" t="str">
        <f>$E$2</f>
        <v>PJ</v>
      </c>
      <c r="P11" s="200"/>
      <c r="Q11" s="200"/>
      <c r="R11" s="200"/>
      <c r="S11" s="200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6">
        <v>5</v>
      </c>
      <c r="K12" s="200"/>
      <c r="L12" s="200"/>
      <c r="M12" s="200" t="str">
        <f>$K$11&amp;$C$2&amp;2</f>
        <v>MINCOA2</v>
      </c>
      <c r="N12" s="203" t="str">
        <f>"Domestic Supply of "&amp;$D$2&amp; " Step "&amp;RIGHT(M12,1)</f>
        <v>Domestic Supply of Solid Fuels Step 2</v>
      </c>
      <c r="O12" s="200" t="str">
        <f>$E$2</f>
        <v>PJ</v>
      </c>
      <c r="P12" s="200"/>
      <c r="Q12" s="200"/>
      <c r="R12" s="200"/>
      <c r="S12" s="200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2">
        <v>160000</v>
      </c>
      <c r="H13" s="114">
        <v>2.5</v>
      </c>
      <c r="I13" s="108">
        <f>EnergyBalance!$D$5*EnergyBalance!D38</f>
        <v>2024.5895</v>
      </c>
      <c r="K13" s="200"/>
      <c r="L13" s="200"/>
      <c r="M13" s="200" t="str">
        <f>$K$11&amp;$C$2&amp;3</f>
        <v>MINCOA3</v>
      </c>
      <c r="N13" s="203" t="str">
        <f>"Domestic Supply of "&amp;$D$2&amp; " Step "&amp;RIGHT(M13,1)</f>
        <v>Domestic Supply of Solid Fuels Step 3</v>
      </c>
      <c r="O13" s="200" t="str">
        <f>$E$2</f>
        <v>PJ</v>
      </c>
      <c r="P13" s="200"/>
      <c r="Q13" s="200"/>
      <c r="R13" s="200"/>
      <c r="S13" s="200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6">
        <v>5</v>
      </c>
      <c r="K14" s="200" t="str">
        <f>EnergyBalance!$B$6</f>
        <v>IMP</v>
      </c>
      <c r="L14" s="200"/>
      <c r="M14" s="200" t="str">
        <f>$K$14&amp;$C$2&amp;1</f>
        <v>IMPCOA1</v>
      </c>
      <c r="N14" s="203" t="str">
        <f>"Import of "&amp;$D$2&amp; " Step "&amp;RIGHT(M14,1)</f>
        <v>Import of Solid Fuels Step 1</v>
      </c>
      <c r="O14" s="200" t="str">
        <f>$E$2</f>
        <v>PJ</v>
      </c>
      <c r="P14" s="200"/>
      <c r="Q14" s="200"/>
      <c r="R14" s="200"/>
      <c r="S14" s="200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2">
        <v>320000</v>
      </c>
      <c r="H15" s="114">
        <v>3</v>
      </c>
      <c r="I15" s="176"/>
      <c r="J15" s="9"/>
      <c r="K15" s="200" t="str">
        <f>EnergyBalance!B7</f>
        <v>EXP</v>
      </c>
      <c r="L15" s="200"/>
      <c r="M15" s="200" t="str">
        <f>$K$15&amp;$C$2&amp;1</f>
        <v>EXPCOA1</v>
      </c>
      <c r="N15" s="203" t="str">
        <f>"Export of "&amp;$D$2&amp; " Step "&amp;RIGHT(M15,1)</f>
        <v>Export of Solid Fuels Step 1</v>
      </c>
      <c r="O15" s="200" t="str">
        <f>$E$2</f>
        <v>PJ</v>
      </c>
      <c r="P15" s="200"/>
      <c r="Q15" s="200"/>
      <c r="R15" s="200"/>
      <c r="S15" s="200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4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4">
        <v>2.75</v>
      </c>
      <c r="I17" s="109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6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2"/>
      <c r="C22" s="1" t="s">
        <v>181</v>
      </c>
      <c r="J22" s="9"/>
      <c r="T22" s="9"/>
    </row>
    <row r="23" spans="1:20" x14ac:dyDescent="0.25">
      <c r="A23" s="9"/>
      <c r="B23" s="110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baseColWidth="10" defaultColWidth="8.7265625" defaultRowHeight="12.5" x14ac:dyDescent="0.25"/>
  <cols>
    <col min="1" max="1" width="2" bestFit="1" customWidth="1"/>
    <col min="2" max="2" width="11.54296875" bestFit="1" customWidth="1"/>
    <col min="3" max="3" width="13.54296875" customWidth="1"/>
    <col min="4" max="4" width="12" bestFit="1" customWidth="1"/>
    <col min="5" max="5" width="7.54296875" bestFit="1" customWidth="1"/>
    <col min="6" max="6" width="8.26953125" bestFit="1" customWidth="1"/>
    <col min="7" max="7" width="14.1796875" customWidth="1"/>
    <col min="8" max="8" width="8.7265625" customWidth="1"/>
    <col min="9" max="9" width="14.54296875" customWidth="1"/>
    <col min="10" max="10" width="2" customWidth="1"/>
    <col min="11" max="11" width="13.7265625" customWidth="1"/>
    <col min="12" max="12" width="7.1796875" customWidth="1"/>
    <col min="13" max="13" width="11.453125" bestFit="1" customWidth="1"/>
    <col min="14" max="14" width="35" bestFit="1" customWidth="1"/>
    <col min="15" max="15" width="6.726562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5" x14ac:dyDescent="0.3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0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0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1:20" x14ac:dyDescent="0.25">
      <c r="K5" s="199" t="s">
        <v>93</v>
      </c>
      <c r="L5" s="200"/>
      <c r="M5" s="199" t="str">
        <f>C2</f>
        <v>GAS</v>
      </c>
      <c r="N5" s="199" t="str">
        <f>D2</f>
        <v>Natural Gas</v>
      </c>
      <c r="O5" s="199" t="str">
        <f>$E$2</f>
        <v>PJ</v>
      </c>
      <c r="P5" s="199"/>
      <c r="Q5" s="199"/>
      <c r="R5" s="199"/>
      <c r="S5" s="199"/>
    </row>
    <row r="7" spans="1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1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0" s="9" customFormat="1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0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2">
        <v>15000</v>
      </c>
      <c r="H11" s="114">
        <v>3.6</v>
      </c>
      <c r="I11" s="108">
        <f>EnergyBalance!$E$5*EnergyBalance!E37</f>
        <v>3949.7485000000001</v>
      </c>
      <c r="K11" s="199" t="str">
        <f>EnergyBalance!$B$5</f>
        <v>MIN</v>
      </c>
      <c r="L11" s="200"/>
      <c r="M11" s="200" t="str">
        <f>$K$11&amp;$C$2&amp;1</f>
        <v>MINGAS1</v>
      </c>
      <c r="N11" s="203" t="str">
        <f>"Domestic Supply of "&amp;$D$2&amp; " Step "&amp;RIGHT(M11,1)</f>
        <v>Domestic Supply of Natural Gas Step 1</v>
      </c>
      <c r="O11" s="200" t="str">
        <f>$E$2</f>
        <v>PJ</v>
      </c>
      <c r="P11" s="200"/>
      <c r="Q11" s="200"/>
      <c r="R11" s="200"/>
      <c r="S11" s="200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6">
        <v>5</v>
      </c>
      <c r="J12" s="9"/>
      <c r="K12" s="200"/>
      <c r="L12" s="200"/>
      <c r="M12" s="200" t="str">
        <f>$K$11&amp;$C$2&amp;2</f>
        <v>MINGAS2</v>
      </c>
      <c r="N12" s="203" t="str">
        <f>"Domestic Supply of "&amp;$D$2&amp; " Step "&amp;RIGHT(M12,1)</f>
        <v>Domestic Supply of Natural Gas Step 2</v>
      </c>
      <c r="O12" s="200" t="str">
        <f>$E$2</f>
        <v>PJ</v>
      </c>
      <c r="P12" s="200"/>
      <c r="Q12" s="200"/>
      <c r="R12" s="200"/>
      <c r="S12" s="200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2">
        <v>20000</v>
      </c>
      <c r="H13" s="114">
        <v>4.1399999999999997</v>
      </c>
      <c r="I13" s="108">
        <f>EnergyBalance!$E$5*EnergyBalance!E38</f>
        <v>3949.7485000000001</v>
      </c>
      <c r="J13" s="9"/>
      <c r="K13" s="200"/>
      <c r="L13" s="200"/>
      <c r="M13" s="200" t="str">
        <f>$K$11&amp;$C$2&amp;3</f>
        <v>MINGAS3</v>
      </c>
      <c r="N13" s="203" t="str">
        <f>"Domestic Supply of "&amp;$D$2&amp; " Step "&amp;RIGHT(M13,1)</f>
        <v>Domestic Supply of Natural Gas Step 3</v>
      </c>
      <c r="O13" s="200" t="str">
        <f>$E$2</f>
        <v>PJ</v>
      </c>
      <c r="P13" s="200"/>
      <c r="Q13" s="200"/>
      <c r="R13" s="200"/>
      <c r="S13" s="200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6">
        <v>5</v>
      </c>
      <c r="J14" s="9"/>
      <c r="K14" s="200" t="str">
        <f>EnergyBalance!$B$6</f>
        <v>IMP</v>
      </c>
      <c r="L14" s="200"/>
      <c r="M14" s="200" t="str">
        <f>$K$14&amp;$C$2&amp;1</f>
        <v>IMPGAS1</v>
      </c>
      <c r="N14" s="203" t="str">
        <f>"Import of "&amp;$D$2&amp; " Step "&amp;RIGHT(M14,1)</f>
        <v>Import of Natural Gas Step 1</v>
      </c>
      <c r="O14" s="200" t="str">
        <f>$E$2</f>
        <v>PJ</v>
      </c>
      <c r="P14" s="200"/>
      <c r="Q14" s="200"/>
      <c r="R14" s="200"/>
      <c r="S14" s="200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2"/>
      <c r="H15" s="114">
        <v>5.4</v>
      </c>
      <c r="I15" s="176"/>
      <c r="J15"/>
      <c r="K15" s="200" t="str">
        <f>EnergyBalance!B7</f>
        <v>EXP</v>
      </c>
      <c r="L15" s="200"/>
      <c r="M15" s="200" t="str">
        <f>$K$15&amp;$C$2&amp;1</f>
        <v>EXPGAS1</v>
      </c>
      <c r="N15" s="203" t="str">
        <f>"Export of "&amp;$D$2&amp; " Step "&amp;RIGHT(M15,1)</f>
        <v>Export of Natural Gas Step 1</v>
      </c>
      <c r="O15" s="200" t="str">
        <f>$E$2</f>
        <v>PJ</v>
      </c>
      <c r="P15" s="200"/>
      <c r="Q15" s="200"/>
      <c r="R15" s="200"/>
      <c r="S15" s="200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4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4">
        <v>4.5</v>
      </c>
      <c r="I17" s="109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6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2"/>
      <c r="C24" s="1" t="s">
        <v>181</v>
      </c>
      <c r="I24" s="9"/>
      <c r="T24" s="1"/>
    </row>
    <row r="25" spans="1:20" x14ac:dyDescent="0.25">
      <c r="A25" s="1"/>
      <c r="B25" s="110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topLeftCell="A3" zoomScaleNormal="100" workbookViewId="0">
      <selection activeCell="H9" sqref="H9"/>
    </sheetView>
  </sheetViews>
  <sheetFormatPr baseColWidth="10" defaultColWidth="8.7265625" defaultRowHeight="12.5" x14ac:dyDescent="0.25"/>
  <cols>
    <col min="1" max="1" width="2" bestFit="1" customWidth="1"/>
    <col min="2" max="2" width="13.26953125" bestFit="1" customWidth="1"/>
    <col min="3" max="3" width="11.26953125" bestFit="1" customWidth="1"/>
    <col min="4" max="4" width="11.7265625" customWidth="1"/>
    <col min="5" max="5" width="7.54296875" bestFit="1" customWidth="1"/>
    <col min="6" max="6" width="8.26953125" bestFit="1" customWidth="1"/>
    <col min="7" max="7" width="14.54296875" bestFit="1" customWidth="1"/>
    <col min="8" max="8" width="8.1796875" customWidth="1"/>
    <col min="9" max="9" width="13.453125" customWidth="1"/>
    <col min="10" max="10" width="2" bestFit="1" customWidth="1"/>
    <col min="11" max="11" width="13.7265625" customWidth="1"/>
    <col min="12" max="12" width="7.1796875" customWidth="1"/>
    <col min="13" max="13" width="11.453125" bestFit="1" customWidth="1"/>
    <col min="14" max="14" width="51.81640625" bestFit="1" customWidth="1"/>
    <col min="15" max="15" width="6.54296875" customWidth="1"/>
    <col min="16" max="16" width="11.54296875" customWidth="1"/>
    <col min="17" max="17" width="13" customWidth="1"/>
    <col min="18" max="18" width="15.1796875" customWidth="1"/>
    <col min="19" max="19" width="7.54296875" bestFit="1" customWidth="1"/>
  </cols>
  <sheetData>
    <row r="1" spans="1:25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5" x14ac:dyDescent="0.3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1:25" ht="13" x14ac:dyDescent="0.3"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1:25" ht="21" thickBot="1" x14ac:dyDescent="0.3">
      <c r="C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  <c r="V4" s="9"/>
      <c r="W4" s="9"/>
    </row>
    <row r="5" spans="1:25" x14ac:dyDescent="0.25">
      <c r="K5" s="199" t="s">
        <v>93</v>
      </c>
      <c r="L5" s="200"/>
      <c r="M5" s="199" t="str">
        <f>C2</f>
        <v>OIL</v>
      </c>
      <c r="N5" s="199" t="str">
        <f>D2</f>
        <v>Crude Oil</v>
      </c>
      <c r="O5" s="199" t="str">
        <f>$E$2</f>
        <v>PJ</v>
      </c>
      <c r="P5" s="199"/>
      <c r="Q5" s="199"/>
      <c r="R5" s="199"/>
      <c r="S5" s="199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  <c r="X7" s="9"/>
      <c r="Y7" s="9"/>
    </row>
    <row r="8" spans="1:25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1:25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1:25" s="9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2">
        <v>24000</v>
      </c>
      <c r="H11" s="114">
        <v>6.4</v>
      </c>
      <c r="I11" s="108">
        <f>EnergyBalance!$F$5*EnergyBalance!F37</f>
        <v>4302.8095999999996</v>
      </c>
      <c r="K11" s="199" t="str">
        <f>EnergyBalance!$B$5</f>
        <v>MIN</v>
      </c>
      <c r="L11" s="200"/>
      <c r="M11" s="200" t="str">
        <f>$K$11&amp;$C$2&amp;1</f>
        <v>MINOIL1</v>
      </c>
      <c r="N11" s="204" t="str">
        <f>"Domestic Supply of "&amp;$D$2&amp; " Step "&amp;RIGHT(M11,1)</f>
        <v>Domestic Supply of Crude Oil Step 1</v>
      </c>
      <c r="O11" s="200" t="str">
        <f>$E$2</f>
        <v>PJ</v>
      </c>
      <c r="P11" s="200"/>
      <c r="Q11" s="200"/>
      <c r="R11" s="200"/>
      <c r="S11" s="200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6">
        <v>5</v>
      </c>
      <c r="K12" s="200"/>
      <c r="L12" s="200"/>
      <c r="M12" s="200" t="str">
        <f>$K$11&amp;$C$2&amp;2</f>
        <v>MINOIL2</v>
      </c>
      <c r="N12" s="204" t="str">
        <f>"Domestic Supply of "&amp;$D$2&amp; " Step "&amp;RIGHT(M12,1)</f>
        <v>Domestic Supply of Crude Oil Step 2</v>
      </c>
      <c r="O12" s="200" t="str">
        <f>$E$2</f>
        <v>PJ</v>
      </c>
      <c r="P12" s="200"/>
      <c r="Q12" s="200"/>
      <c r="R12" s="200"/>
      <c r="S12" s="200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2">
        <v>6000</v>
      </c>
      <c r="H13" s="114">
        <v>7.3599999999999994</v>
      </c>
      <c r="I13" s="108">
        <f>EnergyBalance!$F$5*EnergyBalance!F38</f>
        <v>1075.7023999999999</v>
      </c>
      <c r="J13" s="9"/>
      <c r="K13" s="200"/>
      <c r="L13" s="200"/>
      <c r="M13" s="200" t="str">
        <f>$K$11&amp;$C$2&amp;3</f>
        <v>MINOIL3</v>
      </c>
      <c r="N13" s="204" t="str">
        <f>"Domestic Supply of "&amp;$D$2&amp; " Step "&amp;RIGHT(M13,1)</f>
        <v>Domestic Supply of Crude Oil Step 3</v>
      </c>
      <c r="O13" s="200" t="str">
        <f>$E$2</f>
        <v>PJ</v>
      </c>
      <c r="P13" s="200"/>
      <c r="Q13" s="200"/>
      <c r="R13" s="200"/>
      <c r="S13" s="200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6">
        <v>5</v>
      </c>
      <c r="J14" s="9"/>
      <c r="K14" s="200" t="str">
        <f>EnergyBalance!$B$6</f>
        <v>IMP</v>
      </c>
      <c r="L14" s="200"/>
      <c r="M14" s="200" t="str">
        <f>$K$14&amp;$C$2&amp;1</f>
        <v>IMPOIL1</v>
      </c>
      <c r="N14" s="204" t="str">
        <f>"Import of "&amp;$D$2&amp; " Step "&amp;RIGHT(M14,1)</f>
        <v>Import of Crude Oil Step 1</v>
      </c>
      <c r="O14" s="200" t="str">
        <f>$E$2</f>
        <v>PJ</v>
      </c>
      <c r="P14" s="200"/>
      <c r="Q14" s="200"/>
      <c r="R14" s="200"/>
      <c r="S14" s="200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2">
        <v>40000</v>
      </c>
      <c r="H15" s="114">
        <v>9.6000000000000014</v>
      </c>
      <c r="I15" s="176"/>
      <c r="K15" s="200" t="str">
        <f>EnergyBalance!B7</f>
        <v>EXP</v>
      </c>
      <c r="L15" s="200"/>
      <c r="M15" s="200" t="str">
        <f>$K$15&amp;$C$2&amp;1</f>
        <v>EXPOIL1</v>
      </c>
      <c r="N15" s="204" t="str">
        <f>"Export of "&amp;$D$2&amp; " Step "&amp;RIGHT(M15,1)</f>
        <v>Export of Crude Oil Step 1</v>
      </c>
      <c r="O15" s="200" t="str">
        <f>$E$2</f>
        <v>PJ</v>
      </c>
      <c r="P15" s="200"/>
      <c r="Q15" s="200"/>
      <c r="R15" s="200"/>
      <c r="S15" s="200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4">
        <v>8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4">
        <v>8</v>
      </c>
      <c r="I17" s="109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15" t="s">
        <v>191</v>
      </c>
      <c r="G18" s="20"/>
      <c r="H18" s="44"/>
      <c r="I18" s="176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2"/>
      <c r="C24" s="1" t="s">
        <v>181</v>
      </c>
    </row>
    <row r="25" spans="1:25" x14ac:dyDescent="0.25">
      <c r="B25" s="110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N13" sqref="N13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20.7265625" bestFit="1" customWidth="1"/>
    <col min="5" max="5" width="7.54296875" bestFit="1" customWidth="1"/>
    <col min="6" max="6" width="8.26953125" bestFit="1" customWidth="1"/>
    <col min="7" max="7" width="13.81640625" customWidth="1"/>
    <col min="8" max="8" width="8.453125" bestFit="1" customWidth="1"/>
    <col min="9" max="9" width="14.7265625" style="48" customWidth="1"/>
    <col min="10" max="10" width="2.54296875" style="48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40.54296875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2:20" ht="13" x14ac:dyDescent="0.3">
      <c r="H3" s="18"/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2:20" ht="21" thickBot="1" x14ac:dyDescent="0.3">
      <c r="B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2:20" x14ac:dyDescent="0.25">
      <c r="K5" s="199" t="s">
        <v>93</v>
      </c>
      <c r="L5" s="200"/>
      <c r="M5" s="199" t="str">
        <f>C2</f>
        <v>RNW</v>
      </c>
      <c r="N5" s="199" t="str">
        <f>D2</f>
        <v>Renewable Energies</v>
      </c>
      <c r="O5" s="199" t="str">
        <f>$E$2</f>
        <v>PJ</v>
      </c>
      <c r="P5" s="199"/>
      <c r="Q5" s="199"/>
      <c r="R5" s="199"/>
      <c r="S5" s="199"/>
    </row>
    <row r="6" spans="2:20" x14ac:dyDescent="0.25">
      <c r="M6" t="str">
        <f>D12</f>
        <v>RNW1</v>
      </c>
      <c r="N6" t="s">
        <v>217</v>
      </c>
    </row>
    <row r="7" spans="2:20" ht="13" x14ac:dyDescent="0.3">
      <c r="F7" s="7" t="s">
        <v>13</v>
      </c>
      <c r="H7" s="7"/>
      <c r="I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199" t="str">
        <f>EnergyBalance!$B$5</f>
        <v>MIN</v>
      </c>
      <c r="L11" s="200"/>
      <c r="M11" s="200" t="str">
        <f>$K$11&amp;$C$2&amp;1</f>
        <v>MINRNW1</v>
      </c>
      <c r="N11" s="203" t="str">
        <f>"Domestic Supply of "&amp;$D$2&amp; " Step "&amp;RIGHT(M11,1)</f>
        <v>Domestic Supply of Renewable Energies Step 1</v>
      </c>
      <c r="O11" s="200" t="str">
        <f>$E$2</f>
        <v>PJ</v>
      </c>
      <c r="P11" s="200"/>
      <c r="Q11" s="200"/>
      <c r="R11" s="200"/>
      <c r="S11" s="200"/>
    </row>
    <row r="12" spans="2:20" s="50" customFormat="1" ht="25" x14ac:dyDescent="0.25">
      <c r="B12" s="224" t="s">
        <v>216</v>
      </c>
      <c r="C12" s="15"/>
      <c r="D12" s="224" t="s">
        <v>213</v>
      </c>
      <c r="E12" s="15"/>
      <c r="F12" s="15"/>
      <c r="G12" s="20"/>
      <c r="H12" s="44"/>
      <c r="I12" s="9"/>
      <c r="K12" s="9"/>
      <c r="L12" s="9"/>
      <c r="M12" s="9" t="str">
        <f>B12</f>
        <v>MINRN1_1</v>
      </c>
      <c r="N12" s="203" t="s">
        <v>218</v>
      </c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5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0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baseColWidth="10" defaultColWidth="8.81640625" defaultRowHeight="12.5" x14ac:dyDescent="0.25"/>
  <cols>
    <col min="1" max="1" width="2" style="48" bestFit="1" customWidth="1"/>
    <col min="2" max="2" width="13.81640625" customWidth="1"/>
    <col min="3" max="3" width="11.81640625" bestFit="1" customWidth="1"/>
    <col min="4" max="4" width="16" bestFit="1" customWidth="1"/>
    <col min="5" max="5" width="7.54296875" bestFit="1" customWidth="1"/>
    <col min="6" max="6" width="8.26953125" bestFit="1" customWidth="1"/>
    <col min="7" max="7" width="13.1796875" bestFit="1" customWidth="1"/>
    <col min="8" max="8" width="8.453125" bestFit="1" customWidth="1"/>
    <col min="9" max="9" width="13.81640625" customWidth="1"/>
    <col min="10" max="10" width="2" style="48" bestFit="1" customWidth="1"/>
    <col min="11" max="11" width="11.81640625" bestFit="1" customWidth="1"/>
    <col min="12" max="12" width="7.453125" bestFit="1" customWidth="1"/>
    <col min="13" max="13" width="12.1796875" bestFit="1" customWidth="1"/>
    <col min="14" max="14" width="37.26953125" bestFit="1" customWidth="1"/>
    <col min="15" max="15" width="6.1796875" bestFit="1" customWidth="1"/>
    <col min="16" max="16" width="10.453125" bestFit="1" customWidth="1"/>
    <col min="17" max="17" width="12.81640625" bestFit="1" customWidth="1"/>
    <col min="18" max="18" width="14.1796875" bestFit="1" customWidth="1"/>
    <col min="19" max="19" width="8" bestFit="1" customWidth="1"/>
    <col min="20" max="16384" width="8.81640625" style="48"/>
  </cols>
  <sheetData>
    <row r="1" spans="2:20" ht="29" x14ac:dyDescent="0.3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5" x14ac:dyDescent="0.3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4" t="s">
        <v>14</v>
      </c>
      <c r="L2" s="194"/>
      <c r="M2" s="195"/>
      <c r="N2" s="195"/>
      <c r="O2" s="195"/>
      <c r="P2" s="195"/>
      <c r="Q2" s="195"/>
      <c r="R2" s="195"/>
      <c r="S2" s="195"/>
    </row>
    <row r="3" spans="2:20" ht="13" x14ac:dyDescent="0.3">
      <c r="H3" s="18"/>
      <c r="K3" s="196" t="s">
        <v>7</v>
      </c>
      <c r="L3" s="197" t="s">
        <v>30</v>
      </c>
      <c r="M3" s="196" t="s">
        <v>0</v>
      </c>
      <c r="N3" s="196" t="s">
        <v>3</v>
      </c>
      <c r="O3" s="196" t="s">
        <v>4</v>
      </c>
      <c r="P3" s="196" t="s">
        <v>8</v>
      </c>
      <c r="Q3" s="196" t="s">
        <v>9</v>
      </c>
      <c r="R3" s="196" t="s">
        <v>10</v>
      </c>
      <c r="S3" s="196" t="s">
        <v>12</v>
      </c>
    </row>
    <row r="4" spans="2:20" ht="21" thickBot="1" x14ac:dyDescent="0.3">
      <c r="B4" s="1"/>
      <c r="K4" s="198" t="s">
        <v>40</v>
      </c>
      <c r="L4" s="198" t="s">
        <v>31</v>
      </c>
      <c r="M4" s="198" t="s">
        <v>26</v>
      </c>
      <c r="N4" s="198" t="s">
        <v>27</v>
      </c>
      <c r="O4" s="198" t="s">
        <v>4</v>
      </c>
      <c r="P4" s="198" t="s">
        <v>43</v>
      </c>
      <c r="Q4" s="198" t="s">
        <v>44</v>
      </c>
      <c r="R4" s="198" t="s">
        <v>28</v>
      </c>
      <c r="S4" s="198" t="s">
        <v>29</v>
      </c>
    </row>
    <row r="5" spans="2:20" x14ac:dyDescent="0.25">
      <c r="K5" s="199" t="s">
        <v>93</v>
      </c>
      <c r="L5" s="200"/>
      <c r="M5" s="199" t="str">
        <f>C2</f>
        <v>NUC</v>
      </c>
      <c r="N5" s="199" t="str">
        <f>D2</f>
        <v>Nuclear Energy</v>
      </c>
      <c r="O5" s="199" t="str">
        <f>$E$2</f>
        <v>PJ</v>
      </c>
      <c r="P5" s="199"/>
      <c r="Q5" s="199"/>
      <c r="R5" s="199"/>
      <c r="S5" s="199"/>
    </row>
    <row r="7" spans="2:20" ht="13" x14ac:dyDescent="0.3">
      <c r="F7" s="7" t="s">
        <v>13</v>
      </c>
      <c r="H7" s="7"/>
      <c r="K7" s="194" t="s">
        <v>15</v>
      </c>
      <c r="L7" s="194"/>
      <c r="M7" s="201"/>
      <c r="N7" s="201"/>
      <c r="O7" s="201"/>
      <c r="P7" s="201"/>
      <c r="Q7" s="201"/>
      <c r="R7" s="201"/>
      <c r="S7" s="201"/>
    </row>
    <row r="8" spans="2:20" ht="13" x14ac:dyDescent="0.3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8" t="s">
        <v>37</v>
      </c>
      <c r="H8" s="138" t="s">
        <v>38</v>
      </c>
      <c r="I8" s="138" t="s">
        <v>100</v>
      </c>
      <c r="K8" s="196" t="s">
        <v>11</v>
      </c>
      <c r="L8" s="197" t="s">
        <v>30</v>
      </c>
      <c r="M8" s="196" t="s">
        <v>1</v>
      </c>
      <c r="N8" s="196" t="s">
        <v>2</v>
      </c>
      <c r="O8" s="196" t="s">
        <v>16</v>
      </c>
      <c r="P8" s="196" t="s">
        <v>17</v>
      </c>
      <c r="Q8" s="196" t="s">
        <v>18</v>
      </c>
      <c r="R8" s="196" t="s">
        <v>19</v>
      </c>
      <c r="S8" s="196" t="s">
        <v>20</v>
      </c>
    </row>
    <row r="9" spans="2:20" ht="21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8" t="s">
        <v>41</v>
      </c>
      <c r="L9" s="198" t="s">
        <v>31</v>
      </c>
      <c r="M9" s="198" t="s">
        <v>21</v>
      </c>
      <c r="N9" s="198" t="s">
        <v>22</v>
      </c>
      <c r="O9" s="198" t="s">
        <v>23</v>
      </c>
      <c r="P9" s="198" t="s">
        <v>24</v>
      </c>
      <c r="Q9" s="198" t="s">
        <v>46</v>
      </c>
      <c r="R9" s="198" t="s">
        <v>45</v>
      </c>
      <c r="S9" s="198" t="s">
        <v>25</v>
      </c>
    </row>
    <row r="10" spans="2:20" s="50" customFormat="1" ht="13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8" t="s">
        <v>103</v>
      </c>
      <c r="L10" s="202"/>
      <c r="M10" s="202"/>
      <c r="N10" s="202"/>
      <c r="O10" s="202"/>
      <c r="P10" s="202"/>
      <c r="Q10" s="202"/>
      <c r="R10" s="202"/>
      <c r="S10" s="202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39"/>
      <c r="H11" s="140"/>
      <c r="I11" s="141"/>
      <c r="K11" s="199" t="str">
        <f>EnergyBalance!$B$5</f>
        <v>MIN</v>
      </c>
      <c r="L11" s="200"/>
      <c r="M11" s="200" t="str">
        <f>$K$11&amp;$C$2&amp;1</f>
        <v>MINNUC1</v>
      </c>
      <c r="N11" s="203" t="str">
        <f>"Domestic Supply of "&amp;$D$2&amp; " Step "&amp;RIGHT(M11,1)</f>
        <v>Domestic Supply of Nuclear Energy Step 1</v>
      </c>
      <c r="O11" s="200" t="str">
        <f>$E$2</f>
        <v>PJ</v>
      </c>
      <c r="P11" s="200"/>
      <c r="Q11" s="200"/>
      <c r="R11" s="200"/>
      <c r="S11" s="200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5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0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4"/>
  <sheetViews>
    <sheetView tabSelected="1" topLeftCell="A16" zoomScaleNormal="100" workbookViewId="0">
      <selection activeCell="M30" sqref="M30"/>
    </sheetView>
  </sheetViews>
  <sheetFormatPr baseColWidth="10" defaultColWidth="8.7265625" defaultRowHeight="12.5" x14ac:dyDescent="0.25"/>
  <cols>
    <col min="1" max="1" width="3" customWidth="1"/>
    <col min="2" max="2" width="17.6328125" customWidth="1"/>
    <col min="3" max="3" width="12.26953125" customWidth="1"/>
    <col min="4" max="4" width="11.81640625" bestFit="1" customWidth="1"/>
    <col min="5" max="5" width="12.81640625" customWidth="1"/>
    <col min="6" max="6" width="8.81640625" bestFit="1" customWidth="1"/>
    <col min="7" max="7" width="7.81640625" bestFit="1" customWidth="1"/>
    <col min="8" max="8" width="13.453125" customWidth="1"/>
    <col min="9" max="9" width="2.1796875" bestFit="1" customWidth="1"/>
    <col min="10" max="10" width="12.453125" customWidth="1"/>
    <col min="11" max="11" width="7.1796875" customWidth="1"/>
    <col min="12" max="12" width="18.6328125" customWidth="1"/>
    <col min="13" max="13" width="64.453125" customWidth="1"/>
    <col min="14" max="14" width="6.1796875" customWidth="1"/>
    <col min="15" max="15" width="10.453125" bestFit="1" customWidth="1"/>
    <col min="16" max="16" width="12.81640625" bestFit="1" customWidth="1"/>
    <col min="17" max="17" width="14.1796875" bestFit="1" customWidth="1"/>
    <col min="18" max="18" width="8.1796875" customWidth="1"/>
  </cols>
  <sheetData>
    <row r="1" spans="2:18" ht="14.5" x14ac:dyDescent="0.3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5" x14ac:dyDescent="0.3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4" t="s">
        <v>14</v>
      </c>
      <c r="K2" s="194"/>
      <c r="L2" s="195"/>
      <c r="M2" s="195"/>
      <c r="N2" s="195"/>
      <c r="O2" s="195"/>
      <c r="P2" s="195"/>
      <c r="Q2" s="195"/>
      <c r="R2" s="195"/>
    </row>
    <row r="3" spans="2:18" ht="13" x14ac:dyDescent="0.3">
      <c r="J3" s="196" t="s">
        <v>7</v>
      </c>
      <c r="K3" s="197" t="s">
        <v>30</v>
      </c>
      <c r="L3" s="196" t="s">
        <v>0</v>
      </c>
      <c r="M3" s="196" t="s">
        <v>3</v>
      </c>
      <c r="N3" s="196" t="s">
        <v>4</v>
      </c>
      <c r="O3" s="196" t="s">
        <v>8</v>
      </c>
      <c r="P3" s="196" t="s">
        <v>9</v>
      </c>
      <c r="Q3" s="196" t="s">
        <v>10</v>
      </c>
      <c r="R3" s="196" t="s">
        <v>12</v>
      </c>
    </row>
    <row r="4" spans="2:18" s="9" customFormat="1" ht="22" thickBot="1" x14ac:dyDescent="0.4">
      <c r="B4" s="17"/>
      <c r="C4" s="17"/>
      <c r="D4" s="17"/>
      <c r="E4" s="17"/>
      <c r="G4"/>
      <c r="H4"/>
      <c r="J4" s="198" t="s">
        <v>40</v>
      </c>
      <c r="K4" s="198" t="s">
        <v>31</v>
      </c>
      <c r="L4" s="198" t="s">
        <v>26</v>
      </c>
      <c r="M4" s="198" t="s">
        <v>27</v>
      </c>
      <c r="N4" s="198" t="s">
        <v>4</v>
      </c>
      <c r="O4" s="198" t="s">
        <v>43</v>
      </c>
      <c r="P4" s="198" t="s">
        <v>44</v>
      </c>
      <c r="Q4" s="198" t="s">
        <v>28</v>
      </c>
      <c r="R4" s="198" t="s">
        <v>29</v>
      </c>
    </row>
    <row r="5" spans="2:18" x14ac:dyDescent="0.25">
      <c r="B5" s="11"/>
      <c r="C5" s="11"/>
      <c r="D5" s="11"/>
      <c r="E5" s="21"/>
      <c r="F5" s="21"/>
      <c r="J5" s="200" t="s">
        <v>93</v>
      </c>
      <c r="K5" s="200"/>
      <c r="L5" s="200" t="str">
        <f>EnergyBalance!$B$16&amp;EnergyBalance!$E$2</f>
        <v>RSDGAS</v>
      </c>
      <c r="M5" s="203" t="str">
        <f>EnergyBalance!$C$16&amp;" "&amp;EnergyBalance!$E$3</f>
        <v>Residential Natural Gas</v>
      </c>
      <c r="N5" s="200" t="str">
        <f t="shared" ref="N5:N12" si="0">$E$2</f>
        <v>PJ</v>
      </c>
      <c r="O5" s="200"/>
      <c r="P5" s="200"/>
      <c r="Q5" s="200"/>
      <c r="R5" s="200"/>
    </row>
    <row r="6" spans="2:18" x14ac:dyDescent="0.25">
      <c r="B6" s="11"/>
      <c r="C6" s="11"/>
      <c r="D6" s="11"/>
      <c r="E6" s="21"/>
      <c r="F6" s="21"/>
      <c r="J6" s="201"/>
      <c r="K6" s="201"/>
      <c r="L6" s="201" t="str">
        <f>EnergyBalance!$B$20&amp;EnergyBalance!$F$2</f>
        <v>TRAOIL</v>
      </c>
      <c r="M6" s="201" t="str">
        <f>EnergyBalance!$C$20&amp;" "&amp;EnergyBalance!$F$3</f>
        <v>Transport Crude Oil</v>
      </c>
      <c r="N6" s="201" t="str">
        <f t="shared" si="0"/>
        <v>PJ</v>
      </c>
      <c r="O6" s="200"/>
      <c r="P6" s="200"/>
      <c r="Q6" s="200"/>
      <c r="R6" s="200"/>
    </row>
    <row r="7" spans="2:18" x14ac:dyDescent="0.25">
      <c r="B7" s="11"/>
      <c r="C7" s="11"/>
      <c r="D7" s="11"/>
      <c r="E7" s="21"/>
      <c r="F7" s="21"/>
      <c r="J7" s="200"/>
      <c r="K7" s="200"/>
      <c r="L7" s="200" t="str">
        <f>Con_ELC!$B$2&amp;EnergyBalance!$D$2</f>
        <v>ELCCOA</v>
      </c>
      <c r="M7" s="203" t="str">
        <f>Con_ELC!$C$2&amp;" "&amp;EnergyBalance!$D$3</f>
        <v>Electricity Plants Solid Fuels</v>
      </c>
      <c r="N7" s="200" t="str">
        <f t="shared" si="0"/>
        <v>PJ</v>
      </c>
      <c r="O7" s="200"/>
      <c r="P7" s="200"/>
      <c r="Q7" s="200"/>
      <c r="R7" s="200"/>
    </row>
    <row r="8" spans="2:18" x14ac:dyDescent="0.25">
      <c r="B8" s="11"/>
      <c r="C8" s="11"/>
      <c r="D8" s="11"/>
      <c r="E8" s="21"/>
      <c r="F8" s="21"/>
      <c r="J8" s="200"/>
      <c r="K8" s="200"/>
      <c r="L8" s="200" t="str">
        <f>Con_ELC!$B$2&amp;EnergyBalance!$E$2</f>
        <v>ELCGAS</v>
      </c>
      <c r="M8" s="203" t="str">
        <f>Con_ELC!$C$2&amp;" "&amp;EnergyBalance!$E$3</f>
        <v>Electricity Plants Natural Gas</v>
      </c>
      <c r="N8" s="200" t="str">
        <f t="shared" si="0"/>
        <v>PJ</v>
      </c>
      <c r="O8" s="200"/>
      <c r="P8" s="200"/>
      <c r="Q8" s="200"/>
      <c r="R8" s="200"/>
    </row>
    <row r="9" spans="2:18" x14ac:dyDescent="0.25">
      <c r="B9" s="11"/>
      <c r="C9" s="11"/>
      <c r="D9" s="11"/>
      <c r="E9" s="21"/>
      <c r="F9" s="21"/>
      <c r="J9" s="200"/>
      <c r="K9" s="200"/>
      <c r="L9" s="200" t="str">
        <f>Con_ELC!$B$2&amp;EnergyBalance!$F$2</f>
        <v>ELCOIL</v>
      </c>
      <c r="M9" s="203" t="str">
        <f>Con_ELC!$C$2&amp;" "&amp;EnergyBalance!$F$3</f>
        <v>Electricity Plants Crude Oil</v>
      </c>
      <c r="N9" s="200" t="str">
        <f t="shared" si="0"/>
        <v>PJ</v>
      </c>
      <c r="O9" s="200"/>
      <c r="P9" s="200"/>
      <c r="Q9" s="200"/>
      <c r="R9" s="200"/>
    </row>
    <row r="10" spans="2:18" x14ac:dyDescent="0.25">
      <c r="B10" s="11"/>
      <c r="C10" s="11"/>
      <c r="D10" s="11"/>
      <c r="E10" s="21"/>
      <c r="F10" s="21"/>
      <c r="J10" s="200"/>
      <c r="K10" s="200"/>
      <c r="L10" s="200" t="str">
        <f>Con_ELC!$B$2&amp;EnergyBalance!$H$2</f>
        <v>ELCRNW</v>
      </c>
      <c r="M10" s="203" t="str">
        <f>Con_ELC!$C$2&amp;" "&amp;EnergyBalance!$H$3</f>
        <v>Electricity Plants Renewable Energies</v>
      </c>
      <c r="N10" s="200" t="str">
        <f t="shared" si="0"/>
        <v>PJ</v>
      </c>
      <c r="O10" s="200"/>
      <c r="P10" s="200"/>
      <c r="Q10" s="200"/>
      <c r="R10" s="200"/>
    </row>
    <row r="11" spans="2:18" x14ac:dyDescent="0.25">
      <c r="B11" s="11"/>
      <c r="C11" s="11"/>
      <c r="D11" s="11"/>
      <c r="E11" s="21"/>
      <c r="F11" s="21"/>
      <c r="J11" s="200"/>
      <c r="K11" s="200"/>
      <c r="L11" s="200" t="str">
        <f>Con_ELC!$B$2&amp;EnergyBalance!$G$2</f>
        <v>ELCNUC</v>
      </c>
      <c r="M11" s="203" t="str">
        <f>Con_ELC!$C$2&amp;" "&amp;EnergyBalance!$G$3</f>
        <v>Electricity Plants Nuclear Energy</v>
      </c>
      <c r="N11" s="200" t="str">
        <f t="shared" si="0"/>
        <v>PJ</v>
      </c>
      <c r="O11" s="200"/>
      <c r="P11" s="200"/>
      <c r="Q11" s="200"/>
      <c r="R11" s="200"/>
    </row>
    <row r="12" spans="2:18" x14ac:dyDescent="0.25">
      <c r="L12" s="51" t="str">
        <f>D27</f>
        <v>LFOIL</v>
      </c>
      <c r="M12" s="223" t="s">
        <v>211</v>
      </c>
      <c r="N12" s="200" t="str">
        <f t="shared" si="0"/>
        <v>PJ</v>
      </c>
    </row>
    <row r="13" spans="2:18" x14ac:dyDescent="0.25">
      <c r="L13" s="225" t="s">
        <v>219</v>
      </c>
      <c r="M13" s="223" t="s">
        <v>224</v>
      </c>
      <c r="N13" s="200"/>
    </row>
    <row r="14" spans="2:18" x14ac:dyDescent="0.25">
      <c r="L14" s="225"/>
      <c r="M14" s="223"/>
      <c r="N14" s="200"/>
    </row>
    <row r="15" spans="2:18" x14ac:dyDescent="0.25">
      <c r="L15" s="225"/>
      <c r="M15" s="223"/>
      <c r="N15" s="200"/>
    </row>
    <row r="16" spans="2:18" ht="13" x14ac:dyDescent="0.3">
      <c r="D16" s="7" t="s">
        <v>13</v>
      </c>
      <c r="E16" s="7"/>
      <c r="F16" s="7"/>
      <c r="J16" s="194" t="s">
        <v>15</v>
      </c>
      <c r="K16" s="194"/>
      <c r="L16" s="201"/>
      <c r="M16" s="201"/>
      <c r="N16" s="201"/>
      <c r="O16" s="201"/>
      <c r="P16" s="201"/>
      <c r="Q16" s="201"/>
      <c r="R16" s="201"/>
    </row>
    <row r="17" spans="2:18" ht="26" x14ac:dyDescent="0.3">
      <c r="B17" s="28" t="s">
        <v>1</v>
      </c>
      <c r="C17" s="28" t="s">
        <v>5</v>
      </c>
      <c r="D17" s="28" t="s">
        <v>6</v>
      </c>
      <c r="E17" s="142" t="s">
        <v>189</v>
      </c>
      <c r="F17" s="142" t="s">
        <v>108</v>
      </c>
      <c r="G17" s="142" t="s">
        <v>101</v>
      </c>
      <c r="H17" s="142" t="s">
        <v>226</v>
      </c>
      <c r="J17" s="196" t="s">
        <v>11</v>
      </c>
      <c r="K17" s="197" t="s">
        <v>30</v>
      </c>
      <c r="L17" s="196" t="s">
        <v>1</v>
      </c>
      <c r="M17" s="196" t="s">
        <v>2</v>
      </c>
      <c r="N17" s="196" t="s">
        <v>16</v>
      </c>
      <c r="O17" s="196" t="s">
        <v>17</v>
      </c>
      <c r="P17" s="196" t="s">
        <v>18</v>
      </c>
      <c r="Q17" s="196" t="s">
        <v>19</v>
      </c>
      <c r="R17" s="196" t="s">
        <v>20</v>
      </c>
    </row>
    <row r="18" spans="2:18" ht="21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16"/>
      <c r="J18" s="198" t="s">
        <v>41</v>
      </c>
      <c r="K18" s="198" t="s">
        <v>31</v>
      </c>
      <c r="L18" s="198" t="s">
        <v>21</v>
      </c>
      <c r="M18" s="198" t="s">
        <v>22</v>
      </c>
      <c r="N18" s="198" t="s">
        <v>23</v>
      </c>
      <c r="O18" s="198" t="s">
        <v>24</v>
      </c>
      <c r="P18" s="198" t="s">
        <v>46</v>
      </c>
      <c r="Q18" s="198" t="s">
        <v>45</v>
      </c>
      <c r="R18" s="198" t="s">
        <v>25</v>
      </c>
    </row>
    <row r="19" spans="2:18" ht="13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17"/>
      <c r="J19" s="198" t="s">
        <v>103</v>
      </c>
      <c r="K19" s="202"/>
      <c r="L19" s="202"/>
      <c r="M19" s="202"/>
      <c r="N19" s="202"/>
      <c r="O19" s="202"/>
      <c r="P19" s="202"/>
      <c r="Q19" s="202"/>
      <c r="R19" s="202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1">
        <v>1</v>
      </c>
      <c r="G20" s="112">
        <v>30</v>
      </c>
      <c r="H20" s="112"/>
      <c r="J20" s="199" t="s">
        <v>144</v>
      </c>
      <c r="K20" s="200"/>
      <c r="L20" s="200" t="str">
        <f t="shared" ref="L20:L26" si="3">"FT"&amp;$G$2&amp;"-"&amp;L5</f>
        <v>FTE-RSDGAS</v>
      </c>
      <c r="M20" s="203" t="str">
        <f>$D$2&amp;" "&amp;$G$1&amp;" "&amp;EnergyBalance!$C$16&amp; " Sector- "&amp;EnergyBalance!$E$3</f>
        <v>Sector Fuel Existing Residential Sector- Natural Gas</v>
      </c>
      <c r="N20" s="200" t="str">
        <f t="shared" ref="N20:N27" si="4">$E$2</f>
        <v>PJ</v>
      </c>
      <c r="O20" s="200" t="str">
        <f t="shared" ref="O20:O27" si="5">$E$2&amp;"a"</f>
        <v>PJa</v>
      </c>
      <c r="P20" s="200"/>
      <c r="Q20" s="200"/>
      <c r="R20" s="200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1"/>
      <c r="F21" s="111">
        <v>1</v>
      </c>
      <c r="G21" s="112">
        <v>30</v>
      </c>
      <c r="H21" s="112"/>
      <c r="J21" s="200"/>
      <c r="K21" s="200"/>
      <c r="L21" s="200" t="str">
        <f t="shared" si="3"/>
        <v>FTE-TRAOIL</v>
      </c>
      <c r="M21" s="203" t="str">
        <f>$D$2&amp;" "&amp;$G$1&amp;" "&amp;EnergyBalance!$C$20&amp; " Sector- "&amp;EnergyBalance!$F$3</f>
        <v>Sector Fuel Existing Transport Sector- Crude Oil</v>
      </c>
      <c r="N21" s="200" t="str">
        <f t="shared" si="4"/>
        <v>PJ</v>
      </c>
      <c r="O21" s="200" t="str">
        <f t="shared" si="5"/>
        <v>PJa</v>
      </c>
      <c r="P21" s="200"/>
      <c r="Q21" s="200"/>
      <c r="R21" s="200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1">
        <v>1</v>
      </c>
      <c r="G22" s="112">
        <v>30</v>
      </c>
      <c r="H22" s="112"/>
      <c r="J22" s="200"/>
      <c r="K22" s="200"/>
      <c r="L22" s="200" t="str">
        <f t="shared" si="3"/>
        <v>FTE-ELCCOA</v>
      </c>
      <c r="M22" s="203" t="str">
        <f>$D$2&amp;" Technology"&amp;" "&amp;$G$1&amp;" "&amp;M7</f>
        <v>Sector Fuel Technology Existing Electricity Plants Solid Fuels</v>
      </c>
      <c r="N22" s="200" t="str">
        <f t="shared" si="4"/>
        <v>PJ</v>
      </c>
      <c r="O22" s="200" t="str">
        <f t="shared" si="5"/>
        <v>PJa</v>
      </c>
      <c r="P22" s="200"/>
      <c r="Q22" s="200"/>
      <c r="R22" s="200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1">
        <v>1</v>
      </c>
      <c r="G23" s="112">
        <v>30</v>
      </c>
      <c r="H23" s="112"/>
      <c r="J23" s="200"/>
      <c r="K23" s="200"/>
      <c r="L23" s="200" t="str">
        <f t="shared" si="3"/>
        <v>FTE-ELCGAS</v>
      </c>
      <c r="M23" s="203" t="str">
        <f>$D$2&amp;" Technology"&amp;" "&amp;$G$1&amp;" "&amp;M8</f>
        <v>Sector Fuel Technology Existing Electricity Plants Natural Gas</v>
      </c>
      <c r="N23" s="200" t="str">
        <f t="shared" si="4"/>
        <v>PJ</v>
      </c>
      <c r="O23" s="200" t="str">
        <f t="shared" si="5"/>
        <v>PJa</v>
      </c>
      <c r="P23" s="200"/>
      <c r="Q23" s="200"/>
      <c r="R23" s="200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1">
        <v>1</v>
      </c>
      <c r="G24" s="112">
        <v>30</v>
      </c>
      <c r="H24" s="112"/>
      <c r="J24" s="200"/>
      <c r="K24" s="200"/>
      <c r="L24" s="200" t="str">
        <f t="shared" si="3"/>
        <v>FTE-ELCOIL</v>
      </c>
      <c r="M24" s="204" t="str">
        <f>$D$2&amp;" Technology"&amp;" "&amp;$G$1&amp;" "&amp;M9</f>
        <v>Sector Fuel Technology Existing Electricity Plants Crude Oil</v>
      </c>
      <c r="N24" s="200" t="str">
        <f t="shared" si="4"/>
        <v>PJ</v>
      </c>
      <c r="O24" s="200" t="str">
        <f t="shared" si="5"/>
        <v>PJa</v>
      </c>
      <c r="P24" s="200"/>
      <c r="Q24" s="200"/>
      <c r="R24" s="200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1">
        <v>1</v>
      </c>
      <c r="G25" s="112">
        <v>30</v>
      </c>
      <c r="H25" s="112"/>
      <c r="J25" s="200"/>
      <c r="K25" s="200"/>
      <c r="L25" s="200" t="str">
        <f t="shared" si="3"/>
        <v>FTE-ELCRNW</v>
      </c>
      <c r="M25" s="203" t="str">
        <f>$D$2&amp;" Technology"&amp;" "&amp;$G$1&amp;" "&amp;M10</f>
        <v>Sector Fuel Technology Existing Electricity Plants Renewable Energies</v>
      </c>
      <c r="N25" s="200" t="str">
        <f t="shared" si="4"/>
        <v>PJ</v>
      </c>
      <c r="O25" s="200" t="str">
        <f t="shared" si="5"/>
        <v>PJa</v>
      </c>
      <c r="P25" s="200"/>
      <c r="Q25" s="200"/>
      <c r="R25" s="200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1">
        <v>1</v>
      </c>
      <c r="G26" s="112">
        <v>30</v>
      </c>
      <c r="H26" s="112"/>
      <c r="J26" s="205"/>
      <c r="K26" s="206"/>
      <c r="L26" s="200" t="str">
        <f t="shared" si="3"/>
        <v>FTE-ELCNUC</v>
      </c>
      <c r="M26" s="203" t="str">
        <f>$D$2&amp;" Technology"&amp;" "&amp;$G$1&amp;" "&amp;M11</f>
        <v>Sector Fuel Technology Existing Electricity Plants Nuclear Energy</v>
      </c>
      <c r="N26" s="200" t="str">
        <f t="shared" si="4"/>
        <v>PJ</v>
      </c>
      <c r="O26" s="200" t="str">
        <f t="shared" si="5"/>
        <v>PJa</v>
      </c>
      <c r="P26" s="200"/>
      <c r="Q26" s="200"/>
      <c r="R26" s="200"/>
    </row>
    <row r="27" spans="2:18" x14ac:dyDescent="0.25">
      <c r="B27" t="s">
        <v>212</v>
      </c>
      <c r="C27" t="s">
        <v>49</v>
      </c>
      <c r="D27" t="s">
        <v>205</v>
      </c>
      <c r="F27" s="221">
        <v>0.9</v>
      </c>
      <c r="G27" s="222">
        <v>30</v>
      </c>
      <c r="H27" s="222"/>
      <c r="J27" s="49"/>
      <c r="K27" s="48"/>
      <c r="L27" s="200" t="str">
        <f>B27</f>
        <v>FTE-OIL</v>
      </c>
      <c r="M27" s="203" t="str">
        <f>$D$2&amp;" Technology"&amp;" "&amp;$G$1&amp;" "&amp;M12</f>
        <v>Sector Fuel Technology Existing Petrochemical Oil</v>
      </c>
      <c r="N27" s="200" t="str">
        <f t="shared" si="4"/>
        <v>PJ</v>
      </c>
      <c r="O27" s="200" t="str">
        <f t="shared" si="5"/>
        <v>PJa</v>
      </c>
      <c r="P27" s="9"/>
      <c r="Q27" s="9"/>
      <c r="R27" s="9"/>
    </row>
    <row r="28" spans="2:18" x14ac:dyDescent="0.25">
      <c r="B28" t="s">
        <v>222</v>
      </c>
      <c r="C28" t="s">
        <v>48</v>
      </c>
      <c r="D28" t="s">
        <v>219</v>
      </c>
      <c r="F28" s="221">
        <v>0.75</v>
      </c>
      <c r="G28" s="222">
        <v>30</v>
      </c>
      <c r="H28" s="222">
        <v>50</v>
      </c>
      <c r="J28" s="49"/>
      <c r="K28" s="48"/>
      <c r="L28" s="200" t="str">
        <f>B28</f>
        <v>FTE-GASTOH2</v>
      </c>
      <c r="M28" s="203" t="s">
        <v>223</v>
      </c>
      <c r="N28" s="200"/>
      <c r="O28" s="200"/>
      <c r="P28" s="9"/>
      <c r="Q28" s="9"/>
      <c r="R28" s="9"/>
    </row>
    <row r="29" spans="2:18" x14ac:dyDescent="0.25">
      <c r="B29" t="s">
        <v>225</v>
      </c>
      <c r="C29" t="s">
        <v>48</v>
      </c>
      <c r="D29" t="s">
        <v>219</v>
      </c>
      <c r="F29" s="221">
        <v>0.65</v>
      </c>
      <c r="G29" s="222">
        <v>30</v>
      </c>
      <c r="H29" s="222">
        <v>5</v>
      </c>
      <c r="J29" s="49"/>
      <c r="K29" s="48"/>
      <c r="L29" s="200" t="str">
        <f>B29</f>
        <v>FTE-GASTOH2_CCS</v>
      </c>
      <c r="M29" s="203" t="s">
        <v>227</v>
      </c>
      <c r="P29" s="9"/>
      <c r="Q29" s="9"/>
      <c r="R29" s="9"/>
    </row>
    <row r="30" spans="2:18" x14ac:dyDescent="0.25">
      <c r="B30" t="s">
        <v>228</v>
      </c>
      <c r="C30" t="s">
        <v>54</v>
      </c>
      <c r="D30" t="s">
        <v>219</v>
      </c>
      <c r="F30" s="221">
        <v>0.9</v>
      </c>
      <c r="G30" s="222"/>
      <c r="H30" s="222">
        <v>0</v>
      </c>
      <c r="J30" s="49"/>
      <c r="K30" s="48"/>
      <c r="L30" s="200" t="str">
        <f>B30</f>
        <v>FTE-ELCTOH2</v>
      </c>
      <c r="M30" s="203" t="s">
        <v>227</v>
      </c>
      <c r="P30" s="9"/>
      <c r="Q30" s="9"/>
      <c r="R30" s="9"/>
    </row>
    <row r="31" spans="2:18" x14ac:dyDescent="0.25">
      <c r="J31" s="48"/>
      <c r="K31" s="48"/>
      <c r="P31" s="9"/>
      <c r="Q31" s="9"/>
      <c r="R31" s="9"/>
    </row>
    <row r="32" spans="2:18" x14ac:dyDescent="0.25">
      <c r="B32" s="75"/>
      <c r="C32" s="1" t="s">
        <v>181</v>
      </c>
      <c r="J32" s="54"/>
      <c r="K32" s="52"/>
      <c r="P32" s="9"/>
      <c r="Q32" s="9"/>
      <c r="R32" s="9"/>
    </row>
    <row r="33" spans="2:18" x14ac:dyDescent="0.25">
      <c r="B33" s="110"/>
      <c r="C33" s="1" t="s">
        <v>182</v>
      </c>
      <c r="J33" s="55"/>
      <c r="K33" s="55"/>
      <c r="P33" s="55"/>
      <c r="Q33" s="55"/>
      <c r="R33" s="9"/>
    </row>
    <row r="34" spans="2:18" x14ac:dyDescent="0.25">
      <c r="J34" s="9"/>
      <c r="K34" s="9"/>
      <c r="L34" s="9"/>
      <c r="M34" s="9"/>
      <c r="N34" s="9"/>
      <c r="O34" s="9"/>
      <c r="P34" s="9"/>
      <c r="Q34" s="9"/>
      <c r="R34" s="9"/>
    </row>
  </sheetData>
  <phoneticPr fontId="29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A7" zoomScale="90" zoomScaleNormal="90" workbookViewId="0">
      <selection activeCell="N9" sqref="N9"/>
    </sheetView>
  </sheetViews>
  <sheetFormatPr baseColWidth="10" defaultColWidth="8.81640625" defaultRowHeight="12.5" x14ac:dyDescent="0.25"/>
  <cols>
    <col min="1" max="1" width="3" style="48" customWidth="1"/>
    <col min="2" max="2" width="16.453125" style="48" customWidth="1"/>
    <col min="3" max="3" width="12.1796875" style="48" bestFit="1" customWidth="1"/>
    <col min="4" max="4" width="11.26953125" style="48" bestFit="1" customWidth="1"/>
    <col min="5" max="5" width="12" style="48" bestFit="1" customWidth="1"/>
    <col min="6" max="6" width="13.1796875" style="48" customWidth="1"/>
    <col min="7" max="7" width="10" style="48" customWidth="1"/>
    <col min="8" max="8" width="8.1796875" style="48" customWidth="1"/>
    <col min="9" max="9" width="9.7265625" style="48" customWidth="1"/>
    <col min="10" max="10" width="7.1796875" style="48" bestFit="1" customWidth="1"/>
    <col min="11" max="11" width="9.26953125" style="48" customWidth="1"/>
    <col min="12" max="12" width="7.81640625" style="48" customWidth="1"/>
    <col min="13" max="13" width="7" style="48" bestFit="1" customWidth="1"/>
    <col min="14" max="14" width="9.54296875" style="48" customWidth="1"/>
    <col min="15" max="15" width="15.1796875" style="48" customWidth="1"/>
    <col min="16" max="16" width="2" style="51" customWidth="1"/>
    <col min="17" max="17" width="13.54296875" style="51" bestFit="1" customWidth="1"/>
    <col min="18" max="18" width="2" style="51" customWidth="1"/>
    <col min="19" max="19" width="12.7265625" bestFit="1" customWidth="1"/>
    <col min="20" max="20" width="7.453125" bestFit="1" customWidth="1"/>
    <col min="21" max="21" width="14.1796875" customWidth="1"/>
    <col min="22" max="22" width="55" bestFit="1" customWidth="1"/>
    <col min="23" max="23" width="6.26953125" customWidth="1"/>
    <col min="24" max="24" width="11.453125" bestFit="1" customWidth="1"/>
    <col min="25" max="25" width="13.54296875" bestFit="1" customWidth="1"/>
    <col min="26" max="26" width="15" bestFit="1" customWidth="1"/>
    <col min="27" max="27" width="8.1796875" bestFit="1" customWidth="1"/>
    <col min="28" max="16384" width="8.81640625" style="48"/>
  </cols>
  <sheetData>
    <row r="1" spans="2:27" ht="29" x14ac:dyDescent="0.3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" x14ac:dyDescent="0.3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4" t="s">
        <v>14</v>
      </c>
      <c r="T2" s="194"/>
      <c r="U2" s="195"/>
      <c r="V2" s="195"/>
      <c r="W2" s="195"/>
      <c r="X2" s="195"/>
      <c r="Y2" s="195"/>
      <c r="Z2" s="195"/>
      <c r="AA2" s="195"/>
    </row>
    <row r="3" spans="2:27" ht="13" x14ac:dyDescent="0.3">
      <c r="S3" s="196" t="s">
        <v>7</v>
      </c>
      <c r="T3" s="197" t="s">
        <v>30</v>
      </c>
      <c r="U3" s="196" t="s">
        <v>0</v>
      </c>
      <c r="V3" s="196" t="s">
        <v>3</v>
      </c>
      <c r="W3" s="196" t="s">
        <v>4</v>
      </c>
      <c r="X3" s="196" t="s">
        <v>8</v>
      </c>
      <c r="Y3" s="196" t="s">
        <v>9</v>
      </c>
      <c r="Z3" s="196" t="s">
        <v>10</v>
      </c>
      <c r="AA3" s="196" t="s">
        <v>12</v>
      </c>
    </row>
    <row r="4" spans="2:27" s="50" customFormat="1" ht="22" thickBot="1" x14ac:dyDescent="0.4">
      <c r="B4" s="57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8" t="s">
        <v>40</v>
      </c>
      <c r="T4" s="198" t="s">
        <v>31</v>
      </c>
      <c r="U4" s="198" t="s">
        <v>26</v>
      </c>
      <c r="V4" s="198" t="s">
        <v>27</v>
      </c>
      <c r="W4" s="198" t="s">
        <v>4</v>
      </c>
      <c r="X4" s="198" t="s">
        <v>43</v>
      </c>
      <c r="Y4" s="198" t="s">
        <v>44</v>
      </c>
      <c r="Z4" s="198" t="s">
        <v>28</v>
      </c>
      <c r="AA4" s="198" t="s">
        <v>29</v>
      </c>
    </row>
    <row r="5" spans="2:27" s="50" customFormat="1" ht="15.5" x14ac:dyDescent="0.35">
      <c r="B5" s="56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199" t="s">
        <v>93</v>
      </c>
      <c r="T5" s="200"/>
      <c r="U5" s="199" t="str">
        <f>EnergyBalance!$K$2</f>
        <v>ELC</v>
      </c>
      <c r="V5" s="199" t="str">
        <f>EnergyBalance!$K$3</f>
        <v>Electricity</v>
      </c>
      <c r="W5" s="199" t="str">
        <f>$E$2</f>
        <v>PJ</v>
      </c>
      <c r="X5" s="199"/>
      <c r="Y5" s="199"/>
      <c r="Z5" s="199"/>
      <c r="AA5" s="199" t="s">
        <v>54</v>
      </c>
    </row>
    <row r="6" spans="2:27" x14ac:dyDescent="0.25">
      <c r="S6" s="201" t="s">
        <v>137</v>
      </c>
      <c r="T6" s="201"/>
      <c r="U6" s="201" t="str">
        <f>$B$2&amp;EnergyBalance!$C$46</f>
        <v>ELCCO2</v>
      </c>
      <c r="V6" s="201" t="str">
        <f>$C$2&amp;" "&amp;EnergyBalance!$C$47</f>
        <v>Electricity Plants Carbon dioxide</v>
      </c>
      <c r="W6" s="201" t="str">
        <f>EnergyBalance!$S$2</f>
        <v>kt</v>
      </c>
      <c r="X6" s="201"/>
      <c r="Y6" s="201"/>
      <c r="Z6" s="201"/>
      <c r="AA6" s="201"/>
    </row>
    <row r="7" spans="2:27" ht="13" x14ac:dyDescent="0.3">
      <c r="S7" s="2"/>
      <c r="T7" s="2"/>
    </row>
    <row r="8" spans="2:27" ht="13" x14ac:dyDescent="0.3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29"/>
      <c r="Q8" s="48"/>
      <c r="S8" s="194" t="s">
        <v>15</v>
      </c>
      <c r="T8" s="194"/>
      <c r="U8" s="195"/>
      <c r="V8" s="195"/>
      <c r="W8" s="195"/>
      <c r="X8" s="195"/>
      <c r="Y8" s="195"/>
      <c r="Z8" s="195"/>
      <c r="AA8" s="195"/>
    </row>
    <row r="9" spans="2:27" ht="13" x14ac:dyDescent="0.3">
      <c r="B9" s="28" t="s">
        <v>1</v>
      </c>
      <c r="C9" s="28" t="s">
        <v>5</v>
      </c>
      <c r="D9" s="28" t="s">
        <v>6</v>
      </c>
      <c r="E9" s="144" t="s">
        <v>189</v>
      </c>
      <c r="F9" s="144" t="s">
        <v>190</v>
      </c>
      <c r="G9" s="145" t="s">
        <v>108</v>
      </c>
      <c r="H9" s="145" t="s">
        <v>124</v>
      </c>
      <c r="I9" s="145" t="s">
        <v>106</v>
      </c>
      <c r="J9" s="145" t="s">
        <v>107</v>
      </c>
      <c r="K9" s="145" t="s">
        <v>157</v>
      </c>
      <c r="L9" s="144" t="s">
        <v>101</v>
      </c>
      <c r="M9" s="144" t="s">
        <v>187</v>
      </c>
      <c r="N9" s="144" t="s">
        <v>129</v>
      </c>
      <c r="O9" s="144" t="s">
        <v>196</v>
      </c>
      <c r="P9" s="61"/>
      <c r="Q9" s="137" t="s">
        <v>169</v>
      </c>
      <c r="R9" s="61"/>
      <c r="S9" s="196" t="s">
        <v>11</v>
      </c>
      <c r="T9" s="197" t="s">
        <v>30</v>
      </c>
      <c r="U9" s="196" t="s">
        <v>1</v>
      </c>
      <c r="V9" s="196" t="s">
        <v>2</v>
      </c>
      <c r="W9" s="196" t="s">
        <v>16</v>
      </c>
      <c r="X9" s="196" t="s">
        <v>17</v>
      </c>
      <c r="Y9" s="196" t="s">
        <v>18</v>
      </c>
      <c r="Z9" s="196" t="s">
        <v>19</v>
      </c>
      <c r="AA9" s="196" t="s">
        <v>20</v>
      </c>
    </row>
    <row r="10" spans="2:27" ht="23.5" customHeight="1" thickBot="1" x14ac:dyDescent="0.3">
      <c r="B10" s="26" t="s">
        <v>42</v>
      </c>
      <c r="C10" s="26" t="s">
        <v>32</v>
      </c>
      <c r="D10" s="26" t="s">
        <v>33</v>
      </c>
      <c r="E10" s="143" t="s">
        <v>34</v>
      </c>
      <c r="F10" s="146" t="s">
        <v>171</v>
      </c>
      <c r="G10" s="143" t="s">
        <v>113</v>
      </c>
      <c r="H10" s="146" t="s">
        <v>125</v>
      </c>
      <c r="I10" s="143" t="s">
        <v>122</v>
      </c>
      <c r="J10" s="143" t="s">
        <v>121</v>
      </c>
      <c r="K10" s="143" t="s">
        <v>159</v>
      </c>
      <c r="L10" s="143" t="s">
        <v>195</v>
      </c>
      <c r="M10" s="143"/>
      <c r="N10" s="143" t="s">
        <v>136</v>
      </c>
      <c r="O10" s="143" t="s">
        <v>160</v>
      </c>
      <c r="P10" s="62"/>
      <c r="Q10" s="136" t="s">
        <v>158</v>
      </c>
      <c r="R10" s="62"/>
      <c r="S10" s="198" t="s">
        <v>41</v>
      </c>
      <c r="T10" s="198" t="s">
        <v>31</v>
      </c>
      <c r="U10" s="198" t="s">
        <v>21</v>
      </c>
      <c r="V10" s="198" t="s">
        <v>22</v>
      </c>
      <c r="W10" s="198" t="s">
        <v>23</v>
      </c>
      <c r="X10" s="198" t="s">
        <v>24</v>
      </c>
      <c r="Y10" s="198" t="s">
        <v>46</v>
      </c>
      <c r="Z10" s="198" t="s">
        <v>45</v>
      </c>
      <c r="AA10" s="198" t="s">
        <v>25</v>
      </c>
    </row>
    <row r="11" spans="2:27" ht="21" thickBot="1" x14ac:dyDescent="0.3">
      <c r="B11" s="25" t="s">
        <v>114</v>
      </c>
      <c r="C11" s="25"/>
      <c r="D11" s="25"/>
      <c r="E11" s="23" t="str">
        <f>$F$2</f>
        <v>GW</v>
      </c>
      <c r="F11" s="147" t="str">
        <f>$F$2</f>
        <v>GW</v>
      </c>
      <c r="G11" s="23"/>
      <c r="H11" s="147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2"/>
      <c r="Q11" s="192" t="s">
        <v>172</v>
      </c>
      <c r="R11" s="62"/>
      <c r="S11" s="198" t="s">
        <v>103</v>
      </c>
      <c r="T11" s="198"/>
      <c r="U11" s="198"/>
      <c r="V11" s="198"/>
      <c r="W11" s="198"/>
      <c r="X11" s="198"/>
      <c r="Y11" s="198"/>
      <c r="Z11" s="198"/>
      <c r="AA11" s="198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1">
        <f>(-EnergyBalance!D11*G12)/(H12*O12)</f>
        <v>137.49657086578924</v>
      </c>
      <c r="F12" s="131"/>
      <c r="G12" s="119">
        <v>0.38400000000000001</v>
      </c>
      <c r="H12" s="119">
        <v>0.85</v>
      </c>
      <c r="I12" s="118"/>
      <c r="J12" s="119">
        <v>40</v>
      </c>
      <c r="K12" s="119">
        <v>0.5</v>
      </c>
      <c r="L12" s="118">
        <v>30</v>
      </c>
      <c r="O12" s="186">
        <v>31.536000000000001</v>
      </c>
      <c r="P12" s="155"/>
      <c r="Q12" s="60">
        <f>E12*$H12*$O12</f>
        <v>3685.6780800000001</v>
      </c>
      <c r="R12" s="62"/>
      <c r="S12" s="200" t="s">
        <v>156</v>
      </c>
      <c r="T12" s="200"/>
      <c r="U12" s="200" t="str">
        <f>$B$2&amp;$C$5&amp;$I$2&amp;RIGHT(Sector_Fuels!$L$7,3)&amp;"00"</f>
        <v>ELCTECOA00</v>
      </c>
      <c r="V12" s="204" t="str">
        <f>$D$2&amp;" "&amp;$I$1&amp;RIGHT(U12,2)&amp;" - "&amp;EnergyBalance!D3</f>
        <v>Power Plants Existing00 - Solid Fuels</v>
      </c>
      <c r="W12" s="200" t="str">
        <f t="shared" ref="W12:W19" si="0">$E$2</f>
        <v>PJ</v>
      </c>
      <c r="X12" s="200" t="str">
        <f t="shared" ref="X12:X19" si="1">$F$2</f>
        <v>GW</v>
      </c>
      <c r="Y12" s="199"/>
      <c r="Z12" s="200"/>
      <c r="AA12" s="200"/>
    </row>
    <row r="13" spans="2:27" x14ac:dyDescent="0.25">
      <c r="D13" s="48" t="str">
        <f>$U$6</f>
        <v>ELCCO2</v>
      </c>
      <c r="E13" s="131"/>
      <c r="F13" s="131"/>
      <c r="G13" s="119"/>
      <c r="H13" s="119"/>
      <c r="I13" s="118"/>
      <c r="J13" s="119"/>
      <c r="K13" s="119"/>
      <c r="L13" s="118"/>
      <c r="N13" s="185">
        <f>99.8/G12</f>
        <v>259.89583333333331</v>
      </c>
      <c r="P13" s="155"/>
      <c r="Q13" s="60"/>
      <c r="R13" s="63"/>
      <c r="S13" s="200"/>
      <c r="T13" s="200"/>
      <c r="U13" s="200" t="str">
        <f>$B$2&amp;$C$5&amp;$I$2&amp;RIGHT(Sector_Fuels!$L$8,3)&amp;"00"</f>
        <v>ELCTEGAS00</v>
      </c>
      <c r="V13" s="204" t="str">
        <f>$D$2&amp;" "&amp;$I$1&amp;RIGHT(U13,2)&amp;" - "&amp;EnergyBalance!E3</f>
        <v>Power Plants Existing00 - Natural Gas</v>
      </c>
      <c r="W13" s="200" t="str">
        <f t="shared" si="0"/>
        <v>PJ</v>
      </c>
      <c r="X13" s="200" t="str">
        <f t="shared" si="1"/>
        <v>GW</v>
      </c>
      <c r="Y13" s="200"/>
      <c r="Z13" s="200"/>
      <c r="AA13" s="200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1">
        <f>(-EnergyBalance!E11*G14)/(H14*O14)</f>
        <v>103.62609445787447</v>
      </c>
      <c r="F14" s="131"/>
      <c r="G14" s="133">
        <v>0.4929</v>
      </c>
      <c r="H14" s="119">
        <v>0.85</v>
      </c>
      <c r="I14" s="118"/>
      <c r="J14" s="119">
        <v>35</v>
      </c>
      <c r="K14" s="119">
        <v>0.4</v>
      </c>
      <c r="L14" s="118">
        <v>20</v>
      </c>
      <c r="N14" s="53"/>
      <c r="O14" s="186">
        <v>31.536000000000001</v>
      </c>
      <c r="P14" s="155"/>
      <c r="Q14" s="60">
        <f>E14*H14*O14</f>
        <v>2777.7596376000001</v>
      </c>
      <c r="R14" s="63"/>
      <c r="S14" s="200"/>
      <c r="T14" s="200"/>
      <c r="U14" s="200" t="str">
        <f>$B$2&amp;$C$5&amp;$I$2&amp;RIGHT(Sector_Fuels!$L$9,3)&amp;"00"</f>
        <v>ELCTEOIL00</v>
      </c>
      <c r="V14" s="204" t="str">
        <f>$D$2&amp;" "&amp;$I$1&amp;RIGHT(U14,2)&amp;" - "&amp;EnergyBalance!F3</f>
        <v>Power Plants Existing00 - Crude Oil</v>
      </c>
      <c r="W14" s="200" t="str">
        <f t="shared" si="0"/>
        <v>PJ</v>
      </c>
      <c r="X14" s="200" t="str">
        <f t="shared" si="1"/>
        <v>GW</v>
      </c>
      <c r="Y14" s="200"/>
      <c r="Z14" s="200"/>
      <c r="AA14" s="200"/>
    </row>
    <row r="15" spans="2:27" x14ac:dyDescent="0.25">
      <c r="D15" s="48" t="str">
        <f>$U$6</f>
        <v>ELCCO2</v>
      </c>
      <c r="E15" s="131"/>
      <c r="F15" s="131"/>
      <c r="G15" s="119"/>
      <c r="H15" s="119"/>
      <c r="I15" s="118"/>
      <c r="J15" s="119"/>
      <c r="K15" s="119"/>
      <c r="L15" s="118"/>
      <c r="N15" s="185">
        <f>56.1/G14</f>
        <v>113.81618989653074</v>
      </c>
      <c r="P15" s="155"/>
      <c r="Q15" s="60"/>
      <c r="R15" s="63"/>
      <c r="S15" s="200"/>
      <c r="T15" s="200"/>
      <c r="U15" s="200" t="str">
        <f>$B$2&amp;$E$5&amp;$I$2&amp;RIGHT(Sector_Fuels!$L$10,3)&amp;"00"</f>
        <v>ELCRERNW00</v>
      </c>
      <c r="V15" s="204" t="str">
        <f>$D$2&amp;" "&amp;$I$1&amp;RIGHT(U15,2)&amp;" - "&amp;EnergyBalance!H3</f>
        <v>Power Plants Existing00 - Renewable Energies</v>
      </c>
      <c r="W15" s="200" t="str">
        <f t="shared" si="0"/>
        <v>PJ</v>
      </c>
      <c r="X15" s="200" t="str">
        <f t="shared" si="1"/>
        <v>GW</v>
      </c>
      <c r="Y15" s="200"/>
      <c r="Z15" s="200"/>
      <c r="AA15" s="200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1">
        <f>((-EnergyBalance!F11*G16)/(H16*O16))</f>
        <v>11.421204897484106</v>
      </c>
      <c r="F16" s="131"/>
      <c r="G16" s="133">
        <v>0.25</v>
      </c>
      <c r="H16" s="133">
        <v>0.85</v>
      </c>
      <c r="I16" s="120"/>
      <c r="J16" s="133">
        <v>20</v>
      </c>
      <c r="K16" s="133">
        <v>0.2</v>
      </c>
      <c r="L16" s="120">
        <v>30</v>
      </c>
      <c r="M16" s="130"/>
      <c r="N16" s="53"/>
      <c r="O16" s="186">
        <v>31.536000000000001</v>
      </c>
      <c r="P16" s="155"/>
      <c r="Q16" s="60">
        <f>E16*H16*O16</f>
        <v>306.15224999999992</v>
      </c>
      <c r="R16" s="63"/>
      <c r="S16" s="200"/>
      <c r="T16" s="200"/>
      <c r="U16" s="200" t="str">
        <f>$B$2&amp;$C$5&amp;$I$2&amp;RIGHT(Sector_Fuels!$L$11,3)&amp;"00"</f>
        <v>ELCTENUC00</v>
      </c>
      <c r="V16" s="204" t="str">
        <f>$D$2&amp;" "&amp;$I$1&amp;RIGHT(U16,2)&amp;" - "&amp;EnergyBalance!G3</f>
        <v>Power Plants Existing00 - Nuclear Energy</v>
      </c>
      <c r="W16" s="200" t="str">
        <f t="shared" si="0"/>
        <v>PJ</v>
      </c>
      <c r="X16" s="200" t="str">
        <f t="shared" si="1"/>
        <v>GW</v>
      </c>
      <c r="Y16" s="199"/>
      <c r="Z16" s="200"/>
      <c r="AA16" s="200"/>
    </row>
    <row r="17" spans="2:27" x14ac:dyDescent="0.25">
      <c r="D17" s="48" t="str">
        <f>$U$6</f>
        <v>ELCCO2</v>
      </c>
      <c r="E17" s="132"/>
      <c r="F17" s="132"/>
      <c r="G17" s="133"/>
      <c r="H17" s="133"/>
      <c r="I17" s="120"/>
      <c r="J17" s="133"/>
      <c r="K17" s="133"/>
      <c r="L17" s="120"/>
      <c r="M17" s="130"/>
      <c r="N17" s="185">
        <f>76.4/G16</f>
        <v>305.60000000000002</v>
      </c>
      <c r="O17" s="52"/>
      <c r="P17" s="156"/>
      <c r="Q17" s="60"/>
      <c r="R17" s="63"/>
      <c r="S17" s="200"/>
      <c r="T17" s="200"/>
      <c r="U17" s="200" t="str">
        <f>$B$2&amp;$C$5&amp;$J$2&amp;RIGHT(Sector_Fuels!$L$7,3)&amp;"00"</f>
        <v>ELCTNCOA00</v>
      </c>
      <c r="V17" s="204" t="str">
        <f>$D$2&amp;" "&amp;$J$1&amp;RIGHT(U17,2)&amp;" - "&amp;EnergyBalance!D3</f>
        <v>Power Plants New00 - Solid Fuels</v>
      </c>
      <c r="W17" s="200" t="str">
        <f t="shared" si="0"/>
        <v>PJ</v>
      </c>
      <c r="X17" s="200" t="str">
        <f t="shared" si="1"/>
        <v>GW</v>
      </c>
      <c r="Y17" s="199"/>
      <c r="Z17" s="200"/>
      <c r="AA17" s="200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1">
        <f>(-EnergyBalance!H11*G18)/(H18*O18)</f>
        <v>88.483849145949605</v>
      </c>
      <c r="F18" s="131">
        <f>E18</f>
        <v>88.483849145949605</v>
      </c>
      <c r="G18" s="119">
        <v>1</v>
      </c>
      <c r="H18" s="119">
        <v>0.45</v>
      </c>
      <c r="I18" s="118"/>
      <c r="J18" s="119">
        <v>70</v>
      </c>
      <c r="K18" s="119"/>
      <c r="L18" s="134"/>
      <c r="N18" s="53"/>
      <c r="O18" s="186">
        <v>31.536000000000001</v>
      </c>
      <c r="P18" s="155"/>
      <c r="Q18" s="60">
        <f>E18*H18*O18</f>
        <v>1255.692</v>
      </c>
      <c r="R18" s="63"/>
      <c r="S18" s="200"/>
      <c r="T18" s="200"/>
      <c r="U18" s="200" t="str">
        <f>$B$2&amp;$C$5&amp;$J$2&amp;RIGHT(Sector_Fuels!$L$8,3)&amp;"00"</f>
        <v>ELCTNGAS00</v>
      </c>
      <c r="V18" s="204" t="str">
        <f>$D$2&amp;" "&amp;$J$1&amp;RIGHT(U18,2)&amp;" - "&amp;EnergyBalance!E3</f>
        <v>Power Plants New00 - Natural Gas</v>
      </c>
      <c r="W18" s="200" t="str">
        <f t="shared" si="0"/>
        <v>PJ</v>
      </c>
      <c r="X18" s="200" t="str">
        <f t="shared" si="1"/>
        <v>GW</v>
      </c>
      <c r="Y18" s="200"/>
      <c r="Z18" s="200"/>
      <c r="AA18" s="200"/>
    </row>
    <row r="19" spans="2:27" x14ac:dyDescent="0.25">
      <c r="B19" s="177" t="str">
        <f>U16</f>
        <v>ELCTENUC00</v>
      </c>
      <c r="C19" s="177" t="str">
        <f>$B$2&amp;RIGHT(Sector_Fuels!$L$11,3)</f>
        <v>ELCNUC</v>
      </c>
      <c r="D19" s="177" t="str">
        <f>$U$5</f>
        <v>ELC</v>
      </c>
      <c r="E19" s="178">
        <f>(-EnergyBalance!G11*G19)/(H19*O19)</f>
        <v>125.28183557415862</v>
      </c>
      <c r="F19" s="178">
        <f>E19</f>
        <v>125.28183557415862</v>
      </c>
      <c r="G19" s="180">
        <v>0.33</v>
      </c>
      <c r="H19" s="179">
        <v>0.9</v>
      </c>
      <c r="I19" s="180"/>
      <c r="J19" s="179">
        <v>38</v>
      </c>
      <c r="K19" s="180">
        <v>0.27</v>
      </c>
      <c r="L19" s="183"/>
      <c r="M19" s="177"/>
      <c r="N19" s="182"/>
      <c r="O19" s="187">
        <v>31.536000000000001</v>
      </c>
      <c r="P19" s="193"/>
      <c r="Q19" s="60">
        <f>E19*H19*O19</f>
        <v>3555.7991699999998</v>
      </c>
      <c r="R19" s="63"/>
      <c r="S19" s="200"/>
      <c r="T19" s="200"/>
      <c r="U19" s="200" t="str">
        <f>$B$2&amp;$C$5&amp;$J$2&amp;RIGHT(Sector_Fuels!$L$9,3)&amp;"00"</f>
        <v>ELCTNOIL00</v>
      </c>
      <c r="V19" s="204" t="str">
        <f>$D$2&amp;" "&amp;$J$1&amp;RIGHT(U19,2)&amp;" - "&amp;EnergyBalance!F3</f>
        <v>Power Plants New00 - Crude Oil</v>
      </c>
      <c r="W19" s="200" t="str">
        <f t="shared" si="0"/>
        <v>PJ</v>
      </c>
      <c r="X19" s="200" t="str">
        <f t="shared" si="1"/>
        <v>GW</v>
      </c>
      <c r="Y19" s="200"/>
      <c r="Z19" s="200"/>
      <c r="AA19" s="200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3"/>
      <c r="F20" s="53"/>
      <c r="G20" s="119">
        <v>0.42</v>
      </c>
      <c r="H20" s="119">
        <v>0.85</v>
      </c>
      <c r="I20" s="118">
        <v>1650</v>
      </c>
      <c r="J20" s="119">
        <v>35</v>
      </c>
      <c r="K20" s="119">
        <v>0.4</v>
      </c>
      <c r="L20" s="118">
        <v>40</v>
      </c>
      <c r="M20" s="185">
        <v>2006</v>
      </c>
      <c r="N20" s="53"/>
      <c r="O20" s="186">
        <v>31.536000000000001</v>
      </c>
      <c r="P20" s="155"/>
      <c r="Q20" s="48"/>
      <c r="R20" s="63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3"/>
      <c r="F21" s="53"/>
      <c r="G21" s="119"/>
      <c r="H21" s="119"/>
      <c r="I21" s="118"/>
      <c r="J21" s="119"/>
      <c r="K21" s="119"/>
      <c r="L21" s="118"/>
      <c r="M21" s="53"/>
      <c r="N21" s="185">
        <f>99.8/G20</f>
        <v>237.61904761904762</v>
      </c>
      <c r="P21" s="155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8">
        <v>0.52</v>
      </c>
      <c r="H22" s="119">
        <v>0.85</v>
      </c>
      <c r="I22" s="118">
        <v>750</v>
      </c>
      <c r="J22" s="119">
        <v>30</v>
      </c>
      <c r="K22" s="119">
        <v>0.35</v>
      </c>
      <c r="L22" s="118">
        <v>30</v>
      </c>
      <c r="M22" s="185">
        <v>2006</v>
      </c>
      <c r="N22" s="53"/>
      <c r="O22" s="186">
        <v>31.536000000000001</v>
      </c>
      <c r="P22" s="155"/>
      <c r="Q22" s="48"/>
    </row>
    <row r="23" spans="2:27" x14ac:dyDescent="0.25">
      <c r="D23" s="48" t="str">
        <f>$U$6</f>
        <v>ELCCO2</v>
      </c>
      <c r="G23" s="118"/>
      <c r="H23" s="118"/>
      <c r="I23" s="118"/>
      <c r="J23" s="119"/>
      <c r="K23" s="119"/>
      <c r="L23" s="118"/>
      <c r="M23" s="53"/>
      <c r="N23" s="185">
        <f>56.1/G22</f>
        <v>107.88461538461539</v>
      </c>
      <c r="P23" s="155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19">
        <v>0.3</v>
      </c>
      <c r="H24" s="119">
        <v>0.85</v>
      </c>
      <c r="I24" s="120">
        <v>250</v>
      </c>
      <c r="J24" s="133">
        <v>15</v>
      </c>
      <c r="K24" s="133">
        <v>0.2</v>
      </c>
      <c r="L24" s="118">
        <v>40</v>
      </c>
      <c r="M24" s="185">
        <v>2006</v>
      </c>
      <c r="N24" s="53"/>
      <c r="O24" s="186">
        <v>31.536000000000001</v>
      </c>
      <c r="P24" s="155"/>
      <c r="Q24" s="48"/>
    </row>
    <row r="25" spans="2:27" x14ac:dyDescent="0.25">
      <c r="D25" s="48" t="str">
        <f>$U$6</f>
        <v>ELCCO2</v>
      </c>
      <c r="G25" s="118"/>
      <c r="H25" s="118"/>
      <c r="I25" s="118"/>
      <c r="J25" s="118"/>
      <c r="K25" s="118"/>
      <c r="L25" s="118"/>
      <c r="M25" s="50"/>
      <c r="N25" s="185">
        <f>76.4/G24</f>
        <v>254.66666666666669</v>
      </c>
      <c r="P25" s="50"/>
      <c r="Q25" s="48"/>
    </row>
    <row r="26" spans="2:27" x14ac:dyDescent="0.25">
      <c r="N26" s="53"/>
      <c r="Q26" s="191"/>
    </row>
    <row r="28" spans="2:27" x14ac:dyDescent="0.25">
      <c r="Q28" s="191"/>
    </row>
    <row r="30" spans="2:27" x14ac:dyDescent="0.25">
      <c r="Q30" s="191"/>
      <c r="S30" s="9"/>
      <c r="T30" s="9"/>
      <c r="U30" s="9"/>
      <c r="V30" s="34"/>
      <c r="W30" s="9"/>
      <c r="X30" s="9"/>
      <c r="Y30" s="15"/>
    </row>
    <row r="31" spans="2:27" x14ac:dyDescent="0.25">
      <c r="B31" s="75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0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cp:lastPrinted>2004-11-16T14:57:57Z</cp:lastPrinted>
  <dcterms:created xsi:type="dcterms:W3CDTF">2000-12-13T15:53:11Z</dcterms:created>
  <dcterms:modified xsi:type="dcterms:W3CDTF">2021-12-27T16:30:15Z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