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Model_LSBtest\"/>
    </mc:Choice>
  </mc:AlternateContent>
  <xr:revisionPtr revIDLastSave="0" documentId="13_ncr:1_{E12F13CA-75F6-4A93-BB5A-A3282536B587}" xr6:coauthVersionLast="47" xr6:coauthVersionMax="47" xr10:uidLastSave="{00000000-0000-0000-0000-000000000000}"/>
  <bookViews>
    <workbookView xWindow="-108" yWindow="-108" windowWidth="23256" windowHeight="12456" tabRatio="901" firstSheet="2" activeTab="2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PCH" sheetId="147" r:id="rId10"/>
    <sheet name="DemTechs_TPS" sheetId="145" r:id="rId11"/>
    <sheet name="DemTechs_ELC" sheetId="146" r:id="rId12"/>
    <sheet name="DemTechs_TRA" sheetId="141" r:id="rId13"/>
    <sheet name="DemTechs_RSD" sheetId="138" r:id="rId14"/>
    <sheet name="Demands" sheetId="134" r:id="rId15"/>
  </sheets>
  <externalReferences>
    <externalReference r:id="rId1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140" l="1"/>
  <c r="C31" i="140"/>
  <c r="L30" i="140"/>
  <c r="L14" i="140"/>
  <c r="L29" i="140"/>
  <c r="O16" i="147"/>
  <c r="D16" i="147"/>
  <c r="M13" i="142"/>
  <c r="M6" i="142"/>
  <c r="O15" i="147"/>
  <c r="L13" i="140"/>
  <c r="L28" i="140"/>
  <c r="I14" i="147"/>
  <c r="O5" i="147"/>
  <c r="R14" i="147"/>
  <c r="R13" i="147"/>
  <c r="O13" i="147"/>
  <c r="O14" i="147"/>
  <c r="O12" i="147"/>
  <c r="C12" i="147"/>
  <c r="D13" i="147"/>
  <c r="D14" i="147"/>
  <c r="D15" i="147"/>
  <c r="D12" i="147"/>
  <c r="I12" i="147"/>
  <c r="E11" i="147"/>
  <c r="Q5" i="147"/>
  <c r="F2" i="147"/>
  <c r="I11" i="147" s="1"/>
  <c r="E2" i="147"/>
  <c r="R12" i="147" s="1"/>
  <c r="D2" i="147"/>
  <c r="C2" i="147"/>
  <c r="B2" i="147"/>
  <c r="H12" i="134"/>
  <c r="U20" i="143"/>
  <c r="Q12" i="143"/>
  <c r="C26" i="143"/>
  <c r="L27" i="140"/>
  <c r="L12" i="140"/>
  <c r="I12" i="137"/>
  <c r="I11" i="132"/>
  <c r="N13" i="143"/>
  <c r="N25" i="143"/>
  <c r="N23" i="143"/>
  <c r="N21" i="143"/>
  <c r="N17" i="143"/>
  <c r="N15" i="143"/>
  <c r="L11" i="133"/>
  <c r="K24" i="133"/>
  <c r="E12" i="134" s="1"/>
  <c r="L15" i="138"/>
  <c r="L13" i="138"/>
  <c r="L15" i="141"/>
  <c r="L13" i="141"/>
  <c r="I18" i="137"/>
  <c r="F2" i="146"/>
  <c r="I11" i="146" s="1"/>
  <c r="E2" i="146"/>
  <c r="P12" i="146" s="1"/>
  <c r="C2" i="146"/>
  <c r="B2" i="146"/>
  <c r="N12" i="146" s="1"/>
  <c r="B12" i="146" s="1"/>
  <c r="C12" i="146" s="1"/>
  <c r="F2" i="145"/>
  <c r="H11" i="145" s="1"/>
  <c r="E2" i="145"/>
  <c r="P12" i="145" s="1"/>
  <c r="B2" i="145"/>
  <c r="N5" i="145" s="1"/>
  <c r="C2" i="145"/>
  <c r="I12" i="146"/>
  <c r="D2" i="146"/>
  <c r="O12" i="146" s="1"/>
  <c r="I12" i="145"/>
  <c r="D2" i="145"/>
  <c r="O12" i="145" s="1"/>
  <c r="N12" i="145" s="1"/>
  <c r="B12" i="145" s="1"/>
  <c r="C12" i="145" s="1"/>
  <c r="E11" i="134"/>
  <c r="E10" i="134"/>
  <c r="E16" i="143"/>
  <c r="Q16" i="143" s="1"/>
  <c r="E18" i="143"/>
  <c r="F18" i="143" s="1"/>
  <c r="E12" i="141"/>
  <c r="E12" i="138"/>
  <c r="E19" i="143"/>
  <c r="Q19" i="143" s="1"/>
  <c r="E14" i="143"/>
  <c r="Q14" i="143" s="1"/>
  <c r="E12" i="143"/>
  <c r="I14" i="137"/>
  <c r="I13" i="136"/>
  <c r="I11" i="136"/>
  <c r="I13" i="132"/>
  <c r="N11" i="143"/>
  <c r="L11" i="141"/>
  <c r="I14" i="141"/>
  <c r="L11" i="138"/>
  <c r="I14" i="138"/>
  <c r="P13" i="138"/>
  <c r="B14" i="138" s="1"/>
  <c r="F11" i="143"/>
  <c r="E11" i="143"/>
  <c r="X17" i="143"/>
  <c r="X18" i="143"/>
  <c r="X19" i="143"/>
  <c r="I17" i="136"/>
  <c r="I17" i="132"/>
  <c r="L6" i="140"/>
  <c r="L21" i="140" s="1"/>
  <c r="B21" i="140" s="1"/>
  <c r="L5" i="140"/>
  <c r="D20" i="140" s="1"/>
  <c r="C20" i="140" s="1"/>
  <c r="M21" i="140"/>
  <c r="M20" i="140"/>
  <c r="M6" i="140"/>
  <c r="F24" i="133"/>
  <c r="E2" i="141"/>
  <c r="E11" i="141" s="1"/>
  <c r="S11" i="141"/>
  <c r="C2" i="141"/>
  <c r="Q6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 s="1"/>
  <c r="H24" i="133" s="1"/>
  <c r="G8" i="133"/>
  <c r="G21" i="133" s="1"/>
  <c r="G24" i="133" s="1"/>
  <c r="F8" i="133"/>
  <c r="E8" i="133"/>
  <c r="E21" i="133" s="1"/>
  <c r="D8" i="133"/>
  <c r="D21" i="133"/>
  <c r="X16" i="143"/>
  <c r="D2" i="144"/>
  <c r="N5" i="144" s="1"/>
  <c r="C2" i="144"/>
  <c r="M5" i="144" s="1"/>
  <c r="D11" i="144" s="1"/>
  <c r="K11" i="144"/>
  <c r="M11" i="144" s="1"/>
  <c r="G2" i="144"/>
  <c r="E2" i="144"/>
  <c r="O11" i="144" s="1"/>
  <c r="W6" i="143"/>
  <c r="G2" i="143"/>
  <c r="J11" i="143" s="1"/>
  <c r="E2" i="143"/>
  <c r="O11" i="143" s="1"/>
  <c r="C2" i="143"/>
  <c r="M9" i="140" s="1"/>
  <c r="M24" i="140" s="1"/>
  <c r="B2" i="143"/>
  <c r="V5" i="143"/>
  <c r="U5" i="143"/>
  <c r="D22" i="143" s="1"/>
  <c r="D14" i="143"/>
  <c r="X15" i="143"/>
  <c r="X14" i="143"/>
  <c r="X13" i="143"/>
  <c r="X12" i="143"/>
  <c r="G2" i="142"/>
  <c r="H11" i="142" s="1"/>
  <c r="E2" i="142"/>
  <c r="G11" i="142" s="1"/>
  <c r="K12" i="142"/>
  <c r="D2" i="142"/>
  <c r="N5" i="142" s="1"/>
  <c r="C2" i="142"/>
  <c r="M5" i="142" s="1"/>
  <c r="D12" i="142" s="1"/>
  <c r="M12" i="142"/>
  <c r="B12" i="142" s="1"/>
  <c r="P12" i="138"/>
  <c r="B12" i="138" s="1"/>
  <c r="D2" i="138"/>
  <c r="Q12" i="138" s="1"/>
  <c r="C2" i="138"/>
  <c r="Q6" i="138" s="1"/>
  <c r="B2" i="141"/>
  <c r="P6" i="141" s="1"/>
  <c r="B2" i="138"/>
  <c r="P5" i="138" s="1"/>
  <c r="R6" i="141"/>
  <c r="F2" i="141"/>
  <c r="H11" i="141" s="1"/>
  <c r="R6" i="138"/>
  <c r="M5" i="140"/>
  <c r="F2" i="140"/>
  <c r="E2" i="140"/>
  <c r="N7" i="140" s="1"/>
  <c r="G2" i="134"/>
  <c r="E2" i="134"/>
  <c r="E8" i="134" s="1"/>
  <c r="F2" i="138"/>
  <c r="H11" i="138" s="1"/>
  <c r="E2" i="138"/>
  <c r="E11" i="138" s="1"/>
  <c r="E2" i="137"/>
  <c r="I11" i="137" s="1"/>
  <c r="G2" i="137"/>
  <c r="E2" i="136"/>
  <c r="O11" i="136" s="1"/>
  <c r="G2" i="136"/>
  <c r="H10" i="136" s="1"/>
  <c r="E2" i="132"/>
  <c r="O5" i="132" s="1"/>
  <c r="G2" i="132"/>
  <c r="K12" i="137"/>
  <c r="K11" i="136"/>
  <c r="K11" i="132"/>
  <c r="D2" i="137"/>
  <c r="N5" i="137" s="1"/>
  <c r="C2" i="137"/>
  <c r="K16" i="137"/>
  <c r="K15" i="137"/>
  <c r="D2" i="136"/>
  <c r="N11" i="136" s="1"/>
  <c r="C2" i="136"/>
  <c r="M15" i="136" s="1"/>
  <c r="B17" i="136" s="1"/>
  <c r="K15" i="136"/>
  <c r="K14" i="136"/>
  <c r="K15" i="132"/>
  <c r="M15" i="132" s="1"/>
  <c r="K14" i="132"/>
  <c r="M14" i="132" s="1"/>
  <c r="D2" i="132"/>
  <c r="N5" i="132" s="1"/>
  <c r="C2" i="132"/>
  <c r="M13" i="132" s="1"/>
  <c r="P5" i="145"/>
  <c r="O5" i="145"/>
  <c r="Q12" i="146"/>
  <c r="I11" i="141"/>
  <c r="R5" i="141"/>
  <c r="O15" i="137"/>
  <c r="D20" i="143"/>
  <c r="O14" i="136"/>
  <c r="G10" i="136"/>
  <c r="O15" i="136"/>
  <c r="I10" i="136"/>
  <c r="Q18" i="143"/>
  <c r="O13" i="136"/>
  <c r="M13" i="136"/>
  <c r="B15" i="136" s="1"/>
  <c r="S12" i="141"/>
  <c r="L8" i="140"/>
  <c r="L23" i="140" s="1"/>
  <c r="B23" i="140" s="1"/>
  <c r="L9" i="140"/>
  <c r="D24" i="140" s="1"/>
  <c r="C24" i="140" s="1"/>
  <c r="Q12" i="141"/>
  <c r="R12" i="141"/>
  <c r="N5" i="146"/>
  <c r="C12" i="134" s="1"/>
  <c r="O5" i="142"/>
  <c r="H11" i="137"/>
  <c r="G10" i="132"/>
  <c r="M12" i="136"/>
  <c r="B13" i="136" s="1"/>
  <c r="S13" i="138"/>
  <c r="P5" i="146"/>
  <c r="M10" i="140"/>
  <c r="M25" i="140" s="1"/>
  <c r="M5" i="136"/>
  <c r="D15" i="136" s="1"/>
  <c r="D12" i="143"/>
  <c r="W19" i="143"/>
  <c r="I11" i="142"/>
  <c r="M11" i="136"/>
  <c r="B11" i="136" s="1"/>
  <c r="M14" i="136"/>
  <c r="B16" i="136" s="1"/>
  <c r="O12" i="142"/>
  <c r="W14" i="143"/>
  <c r="E11" i="146"/>
  <c r="W18" i="143"/>
  <c r="W5" i="143"/>
  <c r="W13" i="143"/>
  <c r="Q11" i="141"/>
  <c r="O12" i="137"/>
  <c r="C17" i="136"/>
  <c r="D16" i="136"/>
  <c r="D13" i="136"/>
  <c r="D11" i="136"/>
  <c r="D24" i="133"/>
  <c r="E9" i="134" s="1"/>
  <c r="O5" i="146"/>
  <c r="H10" i="144"/>
  <c r="Q12" i="145"/>
  <c r="G10" i="144"/>
  <c r="M7" i="140"/>
  <c r="M22" i="140" s="1"/>
  <c r="D16" i="143"/>
  <c r="M12" i="132"/>
  <c r="N12" i="132" s="1"/>
  <c r="H11" i="146"/>
  <c r="E11" i="145"/>
  <c r="O5" i="144"/>
  <c r="P5" i="141"/>
  <c r="D14" i="141" s="1"/>
  <c r="I10" i="144"/>
  <c r="P12" i="141"/>
  <c r="B14" i="141" s="1"/>
  <c r="C14" i="141" s="1"/>
  <c r="Q13" i="138"/>
  <c r="M8" i="140"/>
  <c r="M23" i="140" s="1"/>
  <c r="M11" i="140"/>
  <c r="M26" i="140" s="1"/>
  <c r="V6" i="143"/>
  <c r="D12" i="141"/>
  <c r="C11" i="134"/>
  <c r="D23" i="140" l="1"/>
  <c r="C23" i="140" s="1"/>
  <c r="U13" i="143"/>
  <c r="V13" i="143" s="1"/>
  <c r="N11" i="140"/>
  <c r="N9" i="140"/>
  <c r="N12" i="142"/>
  <c r="O26" i="140"/>
  <c r="N23" i="140"/>
  <c r="O24" i="140"/>
  <c r="N8" i="140"/>
  <c r="O20" i="140"/>
  <c r="E19" i="140"/>
  <c r="N25" i="140"/>
  <c r="N6" i="140"/>
  <c r="N26" i="140"/>
  <c r="O25" i="140"/>
  <c r="O22" i="140"/>
  <c r="N20" i="140"/>
  <c r="D21" i="140"/>
  <c r="C21" i="140" s="1"/>
  <c r="N10" i="140"/>
  <c r="N5" i="140"/>
  <c r="O21" i="140"/>
  <c r="N24" i="140"/>
  <c r="O23" i="140"/>
  <c r="N22" i="140"/>
  <c r="N21" i="140"/>
  <c r="C22" i="143"/>
  <c r="Q12" i="147"/>
  <c r="H11" i="147"/>
  <c r="L24" i="140"/>
  <c r="B24" i="140" s="1"/>
  <c r="L20" i="140"/>
  <c r="B20" i="140" s="1"/>
  <c r="O16" i="137"/>
  <c r="O13" i="137"/>
  <c r="O5" i="137"/>
  <c r="M13" i="137"/>
  <c r="B14" i="137" s="1"/>
  <c r="N11" i="144"/>
  <c r="B11" i="144"/>
  <c r="I12" i="134"/>
  <c r="F12" i="134"/>
  <c r="G12" i="134"/>
  <c r="D12" i="138"/>
  <c r="C10" i="134"/>
  <c r="C9" i="134"/>
  <c r="D12" i="145"/>
  <c r="W12" i="143"/>
  <c r="O13" i="132"/>
  <c r="O15" i="132"/>
  <c r="B13" i="132"/>
  <c r="K11" i="143"/>
  <c r="D12" i="146"/>
  <c r="D19" i="143"/>
  <c r="O12" i="136"/>
  <c r="R13" i="138"/>
  <c r="N12" i="136"/>
  <c r="O14" i="132"/>
  <c r="H10" i="132"/>
  <c r="R5" i="138"/>
  <c r="W16" i="143"/>
  <c r="L14" i="133"/>
  <c r="M15" i="137"/>
  <c r="B17" i="137" s="1"/>
  <c r="O11" i="132"/>
  <c r="F19" i="143"/>
  <c r="W15" i="143"/>
  <c r="C14" i="138"/>
  <c r="O12" i="132"/>
  <c r="S12" i="138"/>
  <c r="L8" i="133"/>
  <c r="W17" i="143"/>
  <c r="D24" i="143"/>
  <c r="D18" i="143"/>
  <c r="Q5" i="141"/>
  <c r="I10" i="132"/>
  <c r="O5" i="136"/>
  <c r="R12" i="138"/>
  <c r="R11" i="141"/>
  <c r="G11" i="137"/>
  <c r="N15" i="132"/>
  <c r="B17" i="132"/>
  <c r="N13" i="132"/>
  <c r="B15" i="132"/>
  <c r="D15" i="141"/>
  <c r="D13" i="141"/>
  <c r="E24" i="133"/>
  <c r="L21" i="133"/>
  <c r="L24" i="133" s="1"/>
  <c r="N14" i="132"/>
  <c r="B16" i="132"/>
  <c r="N14" i="136"/>
  <c r="C16" i="143"/>
  <c r="C24" i="143"/>
  <c r="U19" i="143"/>
  <c r="U18" i="143"/>
  <c r="U14" i="143"/>
  <c r="L7" i="140"/>
  <c r="U17" i="143" s="1"/>
  <c r="C14" i="143"/>
  <c r="N13" i="136"/>
  <c r="P11" i="141"/>
  <c r="B12" i="141" s="1"/>
  <c r="C12" i="141" s="1"/>
  <c r="M5" i="132"/>
  <c r="N5" i="136"/>
  <c r="I11" i="138"/>
  <c r="Q5" i="138"/>
  <c r="U6" i="143"/>
  <c r="M11" i="132"/>
  <c r="M12" i="137"/>
  <c r="I11" i="145"/>
  <c r="D14" i="138"/>
  <c r="L11" i="140"/>
  <c r="L10" i="140"/>
  <c r="U15" i="143" s="1"/>
  <c r="O14" i="137"/>
  <c r="P6" i="138"/>
  <c r="C12" i="138"/>
  <c r="N15" i="136"/>
  <c r="M14" i="137"/>
  <c r="M5" i="137"/>
  <c r="D16" i="137" s="1"/>
  <c r="M16" i="137"/>
  <c r="I11" i="143"/>
  <c r="B14" i="143" l="1"/>
  <c r="N15" i="137"/>
  <c r="N13" i="137"/>
  <c r="C20" i="143"/>
  <c r="U12" i="143"/>
  <c r="B12" i="143" s="1"/>
  <c r="B18" i="143"/>
  <c r="V15" i="143"/>
  <c r="N14" i="137"/>
  <c r="B16" i="137"/>
  <c r="D26" i="140"/>
  <c r="C26" i="140" s="1"/>
  <c r="U16" i="143"/>
  <c r="L26" i="140"/>
  <c r="B26" i="140" s="1"/>
  <c r="C19" i="143"/>
  <c r="N11" i="132"/>
  <c r="B11" i="132"/>
  <c r="V19" i="143"/>
  <c r="B24" i="143"/>
  <c r="N16" i="137"/>
  <c r="B18" i="137"/>
  <c r="C18" i="143"/>
  <c r="D15" i="138"/>
  <c r="D13" i="138"/>
  <c r="D13" i="143"/>
  <c r="D17" i="143"/>
  <c r="D15" i="143"/>
  <c r="D23" i="143"/>
  <c r="D21" i="143"/>
  <c r="D25" i="143"/>
  <c r="D15" i="132"/>
  <c r="D13" i="132"/>
  <c r="D16" i="132"/>
  <c r="D11" i="132"/>
  <c r="C17" i="132"/>
  <c r="D22" i="140"/>
  <c r="C22" i="140" s="1"/>
  <c r="L22" i="140"/>
  <c r="B22" i="140" s="1"/>
  <c r="C12" i="143"/>
  <c r="B20" i="143"/>
  <c r="V17" i="143"/>
  <c r="V14" i="143"/>
  <c r="B16" i="143"/>
  <c r="D14" i="137"/>
  <c r="D12" i="137"/>
  <c r="D17" i="137"/>
  <c r="C18" i="137"/>
  <c r="D25" i="140"/>
  <c r="C25" i="140" s="1"/>
  <c r="L25" i="140"/>
  <c r="B25" i="140" s="1"/>
  <c r="N12" i="137"/>
  <c r="B12" i="137"/>
  <c r="B22" i="143"/>
  <c r="V18" i="143"/>
  <c r="V12" i="143" l="1"/>
  <c r="B19" i="143"/>
  <c r="V16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 value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E18" authorId="2" shapeId="0" xr:uid="{00000000-0006-0000-0200-00000B000000}">
      <text>
        <r>
          <rPr>
            <sz val="9"/>
            <color indexed="81"/>
            <rFont val="Tahoma"/>
            <family val="2"/>
          </rPr>
          <t xml:space="preserve">This is a flag to activate intrpolation/extrapolation routine in VEDA-TIMES.
</t>
        </r>
        <r>
          <rPr>
            <sz val="9"/>
            <color indexed="81"/>
            <rFont val="Tahoma"/>
            <family val="2"/>
          </rPr>
          <t xml:space="preserve">
The inter/extra routine will be enabled for the process EXPCOA1 and the attribute ACT_BND (cell I16)</t>
        </r>
      </text>
    </comment>
    <comment ref="I18" authorId="2" shapeId="0" xr:uid="{00000000-0006-0000-0200-00000C000000}">
      <text>
        <r>
          <rPr>
            <sz val="9"/>
            <color indexed="81"/>
            <rFont val="Tahoma"/>
            <family val="2"/>
          </rPr>
          <t>Option code for the interpolation/Extrapolation.
The code 5 means full interpolation and forward extrapolation.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9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9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9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0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9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9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9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9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0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7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7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7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8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S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58D44EB5-3567-47A0-A578-AAF5A853B1D3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07D8DEA5-D3C2-4606-BAAB-5C848DAC350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7E4BEE64-BF39-4B49-B2A8-D3170D02E1F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2FBF4EF2-6CD3-4257-B534-6DDC13FDD3EA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4FC38B48-4FA4-4FDC-B751-DE1355EC5554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9" authorId="2" shapeId="0" xr:uid="{677D955C-A88D-45C1-A795-6DA3142F3E0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9" authorId="1" shapeId="0" xr:uid="{0EB6F265-8651-4AFB-8A48-94B418935B5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9" authorId="2" shapeId="0" xr:uid="{81805994-48EB-41AC-920F-2028B0B101C8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0" authorId="2" shapeId="0" xr:uid="{54D80243-8490-4BBB-861E-D0415FBC28C8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<sst xmlns="http://schemas.openxmlformats.org/spreadsheetml/2006/main" count="1068" uniqueCount="243">
  <si>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</si>
  <si>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</si>
  <si>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</si>
  <si>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</si>
  <si>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</si>
  <si>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</si>
  <si>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</si>
  <si>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</si>
  <si>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</si>
  <si>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</si>
  <si>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</si>
  <si>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</si>
  <si>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</si>
  <si>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</si>
  <si>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</si>
  <si>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</si>
  <si>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</si>
  <si>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</si>
  <si>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</si>
  <si>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</si>
  <si>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</si>
  <si>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</si>
  <si>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</si>
  <si>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</si>
  <si>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</si>
  <si>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</si>
  <si>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</si>
  <si>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</si>
  <si>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</si>
  <si>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</si>
  <si>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</si>
  <si>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</si>
  <si>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</si>
  <si>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</si>
  <si>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</si>
  <si>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</si>
  <si>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</si>
  <si>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</si>
  <si>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</si>
  <si>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</si>
  <si>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</si>
  <si>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</si>
  <si>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</si>
  <si>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</si>
  <si>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</si>
  <si>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</si>
  <si>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</si>
  <si>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</si>
  <si>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</si>
  <si>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</si>
  <si>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</si>
  <si>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</si>
  <si>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</si>
  <si>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</si>
  <si>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</si>
  <si>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</si>
  <si>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</si>
  <si>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</si>
  <si>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</si>
  <si>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</si>
  <si>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</si>
  <si>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</si>
  <si>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</si>
  <si>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</si>
  <si>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</si>
  <si>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</si>
  <si>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</si>
  <si>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</si>
  <si>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</si>
  <si>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</si>
  <si>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</si>
  <si>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</si>
  <si>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</si>
  <si>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</si>
  <si>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</si>
  <si>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</si>
  <si>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</si>
  <si>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</si>
  <si>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</si>
  <si>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</si>
  <si>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</si>
  <si>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</si>
  <si>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</si>
  <si>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</si>
  <si>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</si>
  <si>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</si>
  <si>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</si>
  <si>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</si>
  <si>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</si>
  <si>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</si>
  <si>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</si>
  <si>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</si>
  <si>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</si>
  <si>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</si>
  <si>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</si>
  <si>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</si>
  <si>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</si>
  <si>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</si>
  <si>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</si>
  <si>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</si>
  <si>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</si>
  <si>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</si>
  <si>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</si>
  <si>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</si>
  <si>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</si>
  <si>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</si>
  <si>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</si>
  <si>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</si>
  <si>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</si>
  <si>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</si>
  <si>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</si>
  <si>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</si>
  <si>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</si>
  <si>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</si>
  <si>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</si>
  <si>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</si>
  <si>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</si>
  <si>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</si>
  <si>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</si>
  <si>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</si>
  <si>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</si>
  <si>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</si>
  <si>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</si>
  <si>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</si>
  <si>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</si>
  <si>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</si>
  <si>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</si>
  <si>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</si>
  <si>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</si>
  <si>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</si>
  <si>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</si>
  <si>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OT</t>
  </si>
  <si>
    <t>D1</t>
  </si>
  <si>
    <t>Demand 1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</si>
  <si>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</si>
  <si>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</si>
  <si>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</si>
  <si>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</si>
  <si>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</si>
  <si>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</si>
  <si>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</si>
  <si>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</si>
  <si>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</si>
  <si>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</si>
  <si>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</si>
  <si>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</si>
  <si>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</si>
  <si>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</si>
  <si>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</si>
  <si>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</si>
  <si>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</si>
  <si>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</si>
  <si>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</si>
  <si>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</si>
  <si>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</si>
  <si>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</si>
  <si>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</si>
  <si>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</si>
  <si>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</si>
  <si>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</si>
  <si>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</si>
  <si>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</si>
  <si>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</si>
  <si>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</si>
  <si>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</si>
  <si>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</si>
  <si>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</si>
  <si>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</si>
  <si>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</si>
  <si>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</si>
  <si>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</si>
  <si>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</si>
  <si>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</si>
  <si>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</si>
  <si>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</si>
  <si>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</si>
  <si>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</si>
  <si>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</si>
  <si>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</si>
  <si>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</si>
  <si>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</si>
  <si>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</si>
  <si>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</si>
  <si>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</si>
  <si>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</si>
  <si>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</si>
  <si>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</si>
  <si>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</si>
  <si>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</si>
  <si>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</si>
  <si>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</si>
  <si>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</si>
  <si>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</si>
  <si>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</si>
  <si>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</si>
  <si>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Lifetime</t>
  </si>
  <si>
    <t>CAP2ACT</t>
  </si>
  <si>
    <t>Run name: DemoS_003</t>
  </si>
  <si>
    <t>ENV commodity</t>
  </si>
  <si>
    <t>Crude Oil</t>
  </si>
  <si>
    <t>_SysCost result table</t>
  </si>
  <si>
    <t>Reference Energy System</t>
  </si>
  <si>
    <t>MINOILS1</t>
  </si>
  <si>
    <t>OILS</t>
  </si>
  <si>
    <t>Shale Oil</t>
  </si>
  <si>
    <t>Domestic Supply of Shale Oil Step 1</t>
  </si>
  <si>
    <t>ELCOILS</t>
  </si>
  <si>
    <t>Electricity Plants Shale Oil</t>
  </si>
  <si>
    <t>FTE-ELCOILS</t>
  </si>
  <si>
    <t>Sector Fuel Technology Existing Electricity Plants Shale Oil</t>
  </si>
  <si>
    <t>PJa</t>
  </si>
  <si>
    <t>ELCCO2</t>
  </si>
  <si>
    <t>ELCTNOILS00</t>
  </si>
  <si>
    <t>Power Plants New00 - Shale Oil</t>
  </si>
  <si>
    <t>DPCH</t>
  </si>
  <si>
    <t>DPCHGAS</t>
  </si>
  <si>
    <t>DPCHGAS2</t>
  </si>
  <si>
    <t>LOIL</t>
  </si>
  <si>
    <t>DPCHLOIL</t>
  </si>
  <si>
    <t>Demand PetroChemical Using Gas</t>
  </si>
  <si>
    <t>Demand PetroChemical Using Gas 2</t>
  </si>
  <si>
    <t>Demand PetroChemical Using Fuel Oil</t>
  </si>
  <si>
    <t xml:space="preserve">Demand Of PetroChemical </t>
  </si>
  <si>
    <t>FTE-LOIL</t>
  </si>
  <si>
    <t xml:space="preserve">Petrochemical Oil </t>
  </si>
  <si>
    <t>Sector Fuel Technology Existing Losses to get Petrochemical Oil</t>
  </si>
  <si>
    <t>RNW1</t>
  </si>
  <si>
    <t>DPCHRNW1</t>
  </si>
  <si>
    <t>Demand PetroChemical Using RNW1</t>
  </si>
  <si>
    <t>MINRN1_1</t>
  </si>
  <si>
    <t>Domestic Supply of Renewable Energies Step 1 from RNW1</t>
  </si>
  <si>
    <t>Renewable Energies 1</t>
  </si>
  <si>
    <t>H2</t>
  </si>
  <si>
    <t>DPCH_H2</t>
  </si>
  <si>
    <t>Demand PetroChemical Using H2</t>
  </si>
  <si>
    <t>FTE-GASTOH2</t>
  </si>
  <si>
    <t>Hydrogen</t>
  </si>
  <si>
    <t>Sector Fuel Technology Existing Gas converting to Hydrogen</t>
  </si>
  <si>
    <t>FTE-GASTOH2_CCS</t>
  </si>
  <si>
    <t>ENV_ACT~ELCCO2</t>
  </si>
  <si>
    <t>Sector Fuel Technology Existing Gas converting to Hydrogen + CCS</t>
  </si>
  <si>
    <t>FTE-ELCTOH2</t>
  </si>
  <si>
    <t>Sector Fuel Technology Existing ELC TO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</si>
</sst>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General_)"/>
    <numFmt numFmtId="166" formatCode="0.0"/>
    <numFmt numFmtId="167" formatCode="\Te\x\t"/>
  </numFmts>
  <fonts count="29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339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8" applyNumberFormat="0" applyAlignment="0" applyProtection="0"/>
    <xf numFmtId="43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8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</cellStyleXfs>
  <cellXfs count="233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8" xfId="0" applyFont="1" applyFill="1" applyBorder="1"/>
    <xf numFmtId="0" fontId="4" fillId="0" borderId="2" xfId="0" applyFont="1" applyBorder="1"/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5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0" fontId="0" fillId="16" borderId="0" xfId="0" applyFill="1"/>
    <xf numFmtId="165" fontId="9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5" fontId="15" fillId="7" borderId="5" xfId="5" applyNumberFormat="1" applyBorder="1" applyAlignment="1">
      <alignment horizontal="right" vertical="center"/>
    </xf>
    <xf numFmtId="1" fontId="15" fillId="7" borderId="19" xfId="5" applyNumberFormat="1" applyBorder="1" applyAlignment="1">
      <alignment horizontal="right"/>
    </xf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65" fontId="9" fillId="16" borderId="6" xfId="0" applyNumberFormat="1" applyFont="1" applyFill="1" applyBorder="1" applyAlignment="1">
      <alignment horizontal="left" vertical="center"/>
    </xf>
    <xf numFmtId="165" fontId="9" fillId="16" borderId="12" xfId="0" applyNumberFormat="1" applyFont="1" applyFill="1" applyBorder="1" applyAlignment="1">
      <alignment horizontal="left" vertical="center"/>
    </xf>
    <xf numFmtId="165" fontId="9" fillId="15" borderId="6" xfId="0" applyNumberFormat="1" applyFont="1" applyFill="1" applyBorder="1" applyAlignment="1">
      <alignment horizontal="left" vertical="center"/>
    </xf>
    <xf numFmtId="165" fontId="9" fillId="15" borderId="12" xfId="0" applyNumberFormat="1" applyFont="1" applyFill="1" applyBorder="1" applyAlignment="1">
      <alignment horizontal="left" vertical="center"/>
    </xf>
    <xf numFmtId="165" fontId="9" fillId="15" borderId="7" xfId="0" applyNumberFormat="1" applyFont="1" applyFill="1" applyBorder="1" applyAlignment="1">
      <alignment horizontal="left" vertical="center"/>
    </xf>
    <xf numFmtId="165" fontId="9" fillId="15" borderId="10" xfId="0" applyNumberFormat="1" applyFont="1" applyFill="1" applyBorder="1" applyAlignment="1">
      <alignment horizontal="left" vertical="center"/>
    </xf>
    <xf numFmtId="165" fontId="9" fillId="15" borderId="13" xfId="0" applyNumberFormat="1" applyFont="1" applyFill="1" applyBorder="1" applyAlignment="1">
      <alignment horizontal="left" vertical="center"/>
    </xf>
    <xf numFmtId="165" fontId="9" fillId="15" borderId="14" xfId="0" applyNumberFormat="1" applyFont="1" applyFill="1" applyBorder="1" applyAlignment="1">
      <alignment horizontal="left" vertical="center"/>
    </xf>
    <xf numFmtId="165" fontId="9" fillId="15" borderId="15" xfId="0" applyNumberFormat="1" applyFont="1" applyFill="1" applyBorder="1" applyAlignment="1">
      <alignment horizontal="left" vertical="center"/>
    </xf>
    <xf numFmtId="0" fontId="3" fillId="14" borderId="16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5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5" fontId="9" fillId="15" borderId="7" xfId="0" applyNumberFormat="1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9" fontId="11" fillId="16" borderId="0" xfId="17" applyFont="1" applyFill="1" applyBorder="1"/>
    <xf numFmtId="9" fontId="11" fillId="16" borderId="2" xfId="17" applyFont="1" applyFill="1" applyBorder="1"/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26" fillId="4" borderId="4" xfId="2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21" fillId="3" borderId="1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12" applyFont="1" applyFill="1" applyBorder="1" applyAlignment="1">
      <alignment horizontal="center" vertical="center"/>
    </xf>
    <xf numFmtId="0" fontId="21" fillId="3" borderId="4" xfId="1" applyFont="1" applyBorder="1" applyAlignment="1">
      <alignment horizontal="center" wrapText="1"/>
    </xf>
    <xf numFmtId="0" fontId="21" fillId="3" borderId="17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1" fontId="4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ont="1" applyFill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165" fontId="8" fillId="0" borderId="16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11" xfId="0" applyBorder="1" applyAlignment="1"/>
    <xf numFmtId="165" fontId="9" fillId="13" borderId="10" xfId="0" applyNumberFormat="1" applyFont="1" applyFill="1" applyBorder="1" applyAlignment="1">
      <alignment horizontal="left" vertical="center"/>
    </xf>
    <xf numFmtId="1" fontId="3" fillId="13" borderId="13" xfId="0" applyNumberFormat="1" applyFont="1" applyFill="1" applyBorder="1" applyAlignment="1"/>
    <xf numFmtId="165" fontId="8" fillId="0" borderId="14" xfId="0" applyNumberFormat="1" applyFont="1" applyBorder="1" applyAlignment="1">
      <alignment horizontal="left" vertical="center"/>
    </xf>
    <xf numFmtId="0" fontId="3" fillId="0" borderId="15" xfId="0" applyFont="1" applyBorder="1" applyAlignment="1"/>
    <xf numFmtId="1" fontId="3" fillId="16" borderId="13" xfId="0" applyNumberFormat="1" applyFont="1" applyFill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3" xfId="0" applyNumberFormat="1" applyFont="1" applyFill="1" applyBorder="1" applyAlignment="1"/>
    <xf numFmtId="1" fontId="3" fillId="15" borderId="15" xfId="0" applyNumberFormat="1" applyFont="1" applyFill="1" applyBorder="1" applyAlignment="1"/>
    <xf numFmtId="1" fontId="4" fillId="16" borderId="0" xfId="0" applyNumberFormat="1" applyFont="1" applyFill="1" applyBorder="1"/>
    <xf numFmtId="0" fontId="4" fillId="0" borderId="2" xfId="10" applyBorder="1"/>
    <xf numFmtId="1" fontId="4" fillId="17" borderId="2" xfId="10" applyNumberFormat="1" applyFill="1" applyBorder="1"/>
    <xf numFmtId="2" fontId="4" fillId="16" borderId="2" xfId="10" applyNumberFormat="1" applyFill="1" applyBorder="1"/>
    <xf numFmtId="0" fontId="4" fillId="16" borderId="2" xfId="10" applyFill="1" applyBorder="1"/>
    <xf numFmtId="1" fontId="0" fillId="0" borderId="0" xfId="0" applyNumberFormat="1" applyFill="1" applyBorder="1"/>
    <xf numFmtId="1" fontId="4" fillId="0" borderId="2" xfId="10" applyNumberFormat="1" applyBorder="1"/>
    <xf numFmtId="0" fontId="4" fillId="0" borderId="2" xfId="10" applyFill="1" applyBorder="1"/>
    <xf numFmtId="0" fontId="0" fillId="19" borderId="0" xfId="0" applyFill="1"/>
    <xf numFmtId="1" fontId="4" fillId="16" borderId="0" xfId="10" applyNumberFormat="1" applyFill="1"/>
    <xf numFmtId="164" fontId="4" fillId="16" borderId="0" xfId="10" applyNumberFormat="1" applyFill="1"/>
    <xf numFmtId="164" fontId="4" fillId="16" borderId="2" xfId="10" applyNumberFormat="1" applyFill="1" applyBorder="1"/>
    <xf numFmtId="166" fontId="0" fillId="16" borderId="0" xfId="0" applyNumberFormat="1" applyFill="1" applyBorder="1"/>
    <xf numFmtId="166" fontId="0" fillId="16" borderId="0" xfId="0" applyNumberFormat="1" applyFill="1"/>
    <xf numFmtId="166" fontId="0" fillId="0" borderId="0" xfId="0" applyNumberFormat="1"/>
    <xf numFmtId="1" fontId="4" fillId="0" borderId="0" xfId="10" applyNumberFormat="1" applyFill="1" applyBorder="1"/>
    <xf numFmtId="0" fontId="21" fillId="12" borderId="3" xfId="2" applyFont="1" applyFill="1" applyBorder="1" applyAlignment="1">
      <alignment horizontal="center" wrapText="1"/>
    </xf>
    <xf numFmtId="2" fontId="4" fillId="0" borderId="2" xfId="10" applyNumberFormat="1" applyFill="1" applyBorder="1"/>
    <xf numFmtId="167" fontId="5" fillId="0" borderId="0" xfId="0" applyNumberFormat="1" applyFont="1"/>
    <xf numFmtId="167" fontId="4" fillId="0" borderId="0" xfId="0" applyNumberFormat="1" applyFont="1"/>
    <xf numFmtId="167" fontId="3" fillId="2" borderId="1" xfId="0" applyNumberFormat="1" applyFont="1" applyFill="1" applyBorder="1" applyAlignment="1">
      <alignment horizontal="left"/>
    </xf>
    <xf numFmtId="167" fontId="3" fillId="2" borderId="4" xfId="0" applyNumberFormat="1" applyFont="1" applyFill="1" applyBorder="1" applyAlignment="1">
      <alignment horizontal="left"/>
    </xf>
    <xf numFmtId="167" fontId="21" fillId="3" borderId="3" xfId="1" applyNumberFormat="1" applyFont="1" applyBorder="1" applyAlignment="1">
      <alignment horizontal="left" wrapText="1"/>
    </xf>
    <xf numFmtId="167" fontId="4" fillId="0" borderId="0" xfId="0" applyNumberFormat="1" applyFont="1" applyFill="1"/>
    <xf numFmtId="167" fontId="0" fillId="0" borderId="0" xfId="0" applyNumberFormat="1" applyFill="1"/>
    <xf numFmtId="167" fontId="0" fillId="0" borderId="0" xfId="0" applyNumberFormat="1"/>
    <xf numFmtId="167" fontId="21" fillId="3" borderId="3" xfId="1" applyNumberFormat="1" applyFont="1" applyBorder="1" applyAlignment="1">
      <alignment horizontal="center" wrapText="1"/>
    </xf>
    <xf numFmtId="167" fontId="0" fillId="0" borderId="0" xfId="0" applyNumberFormat="1" applyFill="1" applyAlignment="1">
      <alignment wrapText="1"/>
    </xf>
    <xf numFmtId="167" fontId="0" fillId="0" borderId="0" xfId="0" applyNumberFormat="1" applyFill="1" applyAlignment="1"/>
    <xf numFmtId="167" fontId="4" fillId="0" borderId="0" xfId="10" applyNumberFormat="1" applyFont="1"/>
    <xf numFmtId="167" fontId="4" fillId="0" borderId="0" xfId="10" applyNumberFormat="1"/>
    <xf numFmtId="167" fontId="5" fillId="0" borderId="0" xfId="10" applyNumberFormat="1" applyFont="1"/>
    <xf numFmtId="167" fontId="3" fillId="2" borderId="1" xfId="10" applyNumberFormat="1" applyFont="1" applyFill="1" applyBorder="1" applyAlignment="1">
      <alignment horizontal="left"/>
    </xf>
    <xf numFmtId="167" fontId="3" fillId="2" borderId="4" xfId="10" applyNumberFormat="1" applyFont="1" applyFill="1" applyBorder="1" applyAlignment="1">
      <alignment horizontal="left"/>
    </xf>
    <xf numFmtId="167" fontId="4" fillId="0" borderId="0" xfId="10" applyNumberFormat="1" applyFont="1" applyFill="1"/>
    <xf numFmtId="167" fontId="4" fillId="0" borderId="0" xfId="10" applyNumberFormat="1" applyFill="1"/>
    <xf numFmtId="167" fontId="4" fillId="0" borderId="0" xfId="10" applyNumberFormat="1" applyFill="1" applyAlignment="1"/>
    <xf numFmtId="0" fontId="1" fillId="0" borderId="0" xfId="0" applyFont="1" applyFill="1"/>
    <xf numFmtId="0" fontId="21" fillId="3" borderId="3" xfId="1" applyFont="1" applyBorder="1" applyAlignment="1">
      <alignment horizontal="center" vertical="center" wrapText="1"/>
    </xf>
    <xf numFmtId="2" fontId="1" fillId="16" borderId="0" xfId="0" applyNumberFormat="1" applyFont="1" applyFill="1" applyBorder="1"/>
    <xf numFmtId="0" fontId="1" fillId="0" borderId="0" xfId="0" applyFont="1"/>
    <xf numFmtId="167" fontId="1" fillId="0" borderId="0" xfId="0" applyNumberFormat="1" applyFont="1" applyFill="1"/>
    <xf numFmtId="167" fontId="1" fillId="0" borderId="0" xfId="0" applyNumberFormat="1" applyFont="1" applyFill="1" applyAlignment="1">
      <alignment wrapText="1"/>
    </xf>
    <xf numFmtId="0" fontId="1" fillId="0" borderId="0" xfId="10" applyFont="1"/>
    <xf numFmtId="0" fontId="0" fillId="0" borderId="0" xfId="0" applyFont="1" applyFill="1" applyBorder="1"/>
    <xf numFmtId="0" fontId="1" fillId="0" borderId="0" xfId="0" applyFont="1" applyFill="1" applyBorder="1"/>
    <xf numFmtId="0" fontId="3" fillId="2" borderId="0" xfId="12" applyFont="1" applyFill="1" applyBorder="1" applyAlignment="1">
      <alignment horizontal="center" vertical="center" wrapText="1"/>
    </xf>
    <xf numFmtId="0" fontId="21" fillId="3" borderId="0" xfId="1" applyFont="1" applyBorder="1" applyAlignment="1">
      <alignment horizontal="left" wrapText="1"/>
    </xf>
    <xf numFmtId="0" fontId="21" fillId="3" borderId="0" xfId="1" applyFont="1" applyBorder="1" applyAlignment="1">
      <alignment horizontal="center" wrapText="1"/>
    </xf>
    <xf numFmtId="0" fontId="1" fillId="0" borderId="0" xfId="10" applyFont="1" applyBorder="1"/>
    <xf numFmtId="167" fontId="1" fillId="0" borderId="0" xfId="10" applyNumberFormat="1" applyFont="1" applyFill="1" applyAlignment="1"/>
    <xf numFmtId="0" fontId="1" fillId="0" borderId="0" xfId="10" applyFont="1" applyFill="1"/>
    <xf numFmtId="167" fontId="1" fillId="0" borderId="0" xfId="10" applyNumberFormat="1" applyFont="1" applyFill="1"/>
    <xf numFmtId="2" fontId="1" fillId="16" borderId="0" xfId="9" applyNumberFormat="1" applyFont="1" applyFill="1"/>
    <xf numFmtId="0" fontId="1" fillId="16" borderId="0" xfId="9" applyFont="1" applyFill="1"/>
    <xf numFmtId="0" fontId="1" fillId="0" borderId="0" xfId="10" applyFont="1" applyFill="1" applyAlignment="1">
      <alignment wrapText="1"/>
    </xf>
  </cellXfs>
  <cellStyles count="22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4" xfId="20" xr:uid="{00000000-0005-0000-0000-000014000000}"/>
    <cellStyle name="Standard_Sce_D_Extraction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20955</xdr:rowOff>
    </xdr:from>
    <xdr:to>
      <xdr:col>11</xdr:col>
      <xdr:colOff>703367</xdr:colOff>
      <xdr:row>31</xdr:row>
      <xdr:rowOff>150427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163A3F-8E5B-4901-B7BF-D299C95EA797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34</xdr:row>
      <xdr:rowOff>9314</xdr:rowOff>
    </xdr:from>
    <xdr:to>
      <xdr:col>13</xdr:col>
      <xdr:colOff>22246</xdr:colOff>
      <xdr:row>38</xdr:row>
      <xdr:rowOff>36890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80DE28-5D66-4E67-9FE5-0E352CEED71A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61985</xdr:colOff>
      <xdr:row>16</xdr:row>
      <xdr:rowOff>162365</xdr:rowOff>
    </xdr:from>
    <xdr:to>
      <xdr:col>18</xdr:col>
      <xdr:colOff>127592</xdr:colOff>
      <xdr:row>21</xdr:row>
      <xdr:rowOff>160460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F1A68B-2261-4D28-9774-7B4EAE289549}"/>
            </a:ext>
          </a:extLst>
        </xdr:cNvPr>
        <xdr:cNvSpPr txBox="1"/>
      </xdr:nvSpPr>
      <xdr:spPr>
        <a:xfrm>
          <a:off x="8033677" y="3374488"/>
          <a:ext cx="6308146" cy="84801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062FBA-3665-4C76-BAB1-D96764D6064A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1533A-EAA8-41C9-A01C-9AA073BC7E31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3844732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60B21-86D2-47E5-9A6D-FDAC9634EDD5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3A7F99-5BD8-4E0C-A603-A429EF6F7122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30D20E-09C2-4F27-89D7-B439181E8CEE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19050</xdr:rowOff>
    </xdr:from>
    <xdr:to>
      <xdr:col>2</xdr:col>
      <xdr:colOff>285750</xdr:colOff>
      <xdr:row>30</xdr:row>
      <xdr:rowOff>152400</xdr:rowOff>
    </xdr:to>
    <xdr:pic>
      <xdr:nvPicPr>
        <xdr:cNvPr id="58167" name="Picture 6">
          <a:extLst>
            <a:ext uri="{FF2B5EF4-FFF2-40B4-BE49-F238E27FC236}">
              <a16:creationId xmlns:a16="http://schemas.microsoft.com/office/drawing/2014/main" id="{435952CD-A4A6-4A05-B6A5-FFFA2FEAD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128</xdr:row>
      <xdr:rowOff>9525</xdr:rowOff>
    </xdr:from>
    <xdr:to>
      <xdr:col>18</xdr:col>
      <xdr:colOff>561975</xdr:colOff>
      <xdr:row>139</xdr:row>
      <xdr:rowOff>133350</xdr:rowOff>
    </xdr:to>
    <xdr:pic>
      <xdr:nvPicPr>
        <xdr:cNvPr id="58168" name="Picture 8">
          <a:extLst>
            <a:ext uri="{FF2B5EF4-FFF2-40B4-BE49-F238E27FC236}">
              <a16:creationId xmlns:a16="http://schemas.microsoft.com/office/drawing/2014/main" id="{5CE82AD8-C54C-4D50-A2E2-D46F5BB6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18</xdr:row>
      <xdr:rowOff>19050</xdr:rowOff>
    </xdr:from>
    <xdr:to>
      <xdr:col>23</xdr:col>
      <xdr:colOff>428625</xdr:colOff>
      <xdr:row>28</xdr:row>
      <xdr:rowOff>142875</xdr:rowOff>
    </xdr:to>
    <xdr:pic>
      <xdr:nvPicPr>
        <xdr:cNvPr id="58169" name="Picture 3">
          <a:extLst>
            <a:ext uri="{FF2B5EF4-FFF2-40B4-BE49-F238E27FC236}">
              <a16:creationId xmlns:a16="http://schemas.microsoft.com/office/drawing/2014/main" id="{BDE42BAE-97CA-4821-89D5-107D662C7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2971800"/>
          <a:ext cx="2609850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28</xdr:row>
      <xdr:rowOff>142875</xdr:rowOff>
    </xdr:from>
    <xdr:to>
      <xdr:col>23</xdr:col>
      <xdr:colOff>428625</xdr:colOff>
      <xdr:row>38</xdr:row>
      <xdr:rowOff>123825</xdr:rowOff>
    </xdr:to>
    <xdr:pic>
      <xdr:nvPicPr>
        <xdr:cNvPr id="58170" name="Picture 21">
          <a:extLst>
            <a:ext uri="{FF2B5EF4-FFF2-40B4-BE49-F238E27FC236}">
              <a16:creationId xmlns:a16="http://schemas.microsoft.com/office/drawing/2014/main" id="{A2009485-5DBB-44C5-98BD-F0788EC8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4714875"/>
          <a:ext cx="26098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28575</xdr:colOff>
      <xdr:row>18</xdr:row>
      <xdr:rowOff>47625</xdr:rowOff>
    </xdr:from>
    <xdr:to>
      <xdr:col>17</xdr:col>
      <xdr:colOff>66675</xdr:colOff>
      <xdr:row>37</xdr:row>
      <xdr:rowOff>9525</xdr:rowOff>
    </xdr:to>
    <xdr:pic>
      <xdr:nvPicPr>
        <xdr:cNvPr id="58171" name="Picture 18">
          <a:extLst>
            <a:ext uri="{FF2B5EF4-FFF2-40B4-BE49-F238E27FC236}">
              <a16:creationId xmlns:a16="http://schemas.microsoft.com/office/drawing/2014/main" id="{24B10EA7-B79A-457B-9D91-1C1191900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3000375"/>
          <a:ext cx="3400425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18</xdr:row>
      <xdr:rowOff>28575</xdr:rowOff>
    </xdr:from>
    <xdr:to>
      <xdr:col>8</xdr:col>
      <xdr:colOff>552450</xdr:colOff>
      <xdr:row>30</xdr:row>
      <xdr:rowOff>76200</xdr:rowOff>
    </xdr:to>
    <xdr:pic>
      <xdr:nvPicPr>
        <xdr:cNvPr id="58172" name="Picture 3">
          <a:extLst>
            <a:ext uri="{FF2B5EF4-FFF2-40B4-BE49-F238E27FC236}">
              <a16:creationId xmlns:a16="http://schemas.microsoft.com/office/drawing/2014/main" id="{AB44670E-0BC7-41EF-A231-A53D58F72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81325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66675</xdr:rowOff>
    </xdr:from>
    <xdr:to>
      <xdr:col>8</xdr:col>
      <xdr:colOff>552450</xdr:colOff>
      <xdr:row>43</xdr:row>
      <xdr:rowOff>28575</xdr:rowOff>
    </xdr:to>
    <xdr:pic>
      <xdr:nvPicPr>
        <xdr:cNvPr id="58173" name="Picture 4">
          <a:extLst>
            <a:ext uri="{FF2B5EF4-FFF2-40B4-BE49-F238E27FC236}">
              <a16:creationId xmlns:a16="http://schemas.microsoft.com/office/drawing/2014/main" id="{1DAAD73A-EC01-4711-A90B-A5E080275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62525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43</xdr:row>
      <xdr:rowOff>9525</xdr:rowOff>
    </xdr:from>
    <xdr:to>
      <xdr:col>8</xdr:col>
      <xdr:colOff>552450</xdr:colOff>
      <xdr:row>56</xdr:row>
      <xdr:rowOff>9525</xdr:rowOff>
    </xdr:to>
    <xdr:pic>
      <xdr:nvPicPr>
        <xdr:cNvPr id="58174" name="Picture 5">
          <a:extLst>
            <a:ext uri="{FF2B5EF4-FFF2-40B4-BE49-F238E27FC236}">
              <a16:creationId xmlns:a16="http://schemas.microsoft.com/office/drawing/2014/main" id="{48A2940A-3D47-47C0-9AA5-A12B5F817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010400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55</xdr:row>
      <xdr:rowOff>152400</xdr:rowOff>
    </xdr:from>
    <xdr:to>
      <xdr:col>8</xdr:col>
      <xdr:colOff>552450</xdr:colOff>
      <xdr:row>65</xdr:row>
      <xdr:rowOff>57150</xdr:rowOff>
    </xdr:to>
    <xdr:pic>
      <xdr:nvPicPr>
        <xdr:cNvPr id="58175" name="Picture 6">
          <a:extLst>
            <a:ext uri="{FF2B5EF4-FFF2-40B4-BE49-F238E27FC236}">
              <a16:creationId xmlns:a16="http://schemas.microsoft.com/office/drawing/2014/main" id="{67017F06-4A92-4C64-9AC8-CB97C49BE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96375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133350</xdr:rowOff>
    </xdr:from>
    <xdr:to>
      <xdr:col>8</xdr:col>
      <xdr:colOff>552450</xdr:colOff>
      <xdr:row>73</xdr:row>
      <xdr:rowOff>152400</xdr:rowOff>
    </xdr:to>
    <xdr:pic>
      <xdr:nvPicPr>
        <xdr:cNvPr id="58176" name="Picture 7">
          <a:extLst>
            <a:ext uri="{FF2B5EF4-FFF2-40B4-BE49-F238E27FC236}">
              <a16:creationId xmlns:a16="http://schemas.microsoft.com/office/drawing/2014/main" id="{F0C39636-4D50-4EEE-B9E7-B1BA15880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34650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38</xdr:row>
      <xdr:rowOff>123825</xdr:rowOff>
    </xdr:from>
    <xdr:to>
      <xdr:col>23</xdr:col>
      <xdr:colOff>438150</xdr:colOff>
      <xdr:row>46</xdr:row>
      <xdr:rowOff>28575</xdr:rowOff>
    </xdr:to>
    <xdr:pic>
      <xdr:nvPicPr>
        <xdr:cNvPr id="58177" name="Picture 8">
          <a:extLst>
            <a:ext uri="{FF2B5EF4-FFF2-40B4-BE49-F238E27FC236}">
              <a16:creationId xmlns:a16="http://schemas.microsoft.com/office/drawing/2014/main" id="{495A271C-D30B-4001-ADF8-0AF1EF85A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6315075"/>
          <a:ext cx="2619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10</xdr:col>
      <xdr:colOff>40893</xdr:colOff>
      <xdr:row>11</xdr:row>
      <xdr:rowOff>117238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ED807C5-C0A4-4C88-A12B-531A91383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01875" y="158750"/>
          <a:ext cx="3057143" cy="18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B22B65-46BB-4E15-95C9-5032A4724B83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  <xdr:twoCellAnchor editAs="oneCell">
    <xdr:from>
      <xdr:col>0</xdr:col>
      <xdr:colOff>114300</xdr:colOff>
      <xdr:row>32</xdr:row>
      <xdr:rowOff>19050</xdr:rowOff>
    </xdr:from>
    <xdr:to>
      <xdr:col>10</xdr:col>
      <xdr:colOff>63500</xdr:colOff>
      <xdr:row>50</xdr:row>
      <xdr:rowOff>44450</xdr:rowOff>
    </xdr:to>
    <xdr:pic>
      <xdr:nvPicPr>
        <xdr:cNvPr id="24186" name="Picture 2">
          <a:extLst>
            <a:ext uri="{FF2B5EF4-FFF2-40B4-BE49-F238E27FC236}">
              <a16:creationId xmlns:a16="http://schemas.microsoft.com/office/drawing/2014/main" id="{50E6A9CA-AC32-4673-AAAD-19207ADB2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734050"/>
          <a:ext cx="6181725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125183-CF68-40D8-9BA0-A6644388E94C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14</xdr:col>
      <xdr:colOff>0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5E36C7-3823-493D-91A1-8A0336D4BDBC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79863</xdr:colOff>
      <xdr:row>17</xdr:row>
      <xdr:rowOff>9525</xdr:rowOff>
    </xdr:from>
    <xdr:to>
      <xdr:col>13</xdr:col>
      <xdr:colOff>2765853</xdr:colOff>
      <xdr:row>23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A7CEF7-5E1A-4F73-8917-E44FE9D8FC7C}"/>
            </a:ext>
          </a:extLst>
        </xdr:cNvPr>
        <xdr:cNvSpPr txBox="1"/>
      </xdr:nvSpPr>
      <xdr:spPr>
        <a:xfrm>
          <a:off x="7213355" y="3168894"/>
          <a:ext cx="4843036" cy="10961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00CF51-169B-4899-A08D-A72C03849054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19961</xdr:colOff>
      <xdr:row>33</xdr:row>
      <xdr:rowOff>151572</xdr:rowOff>
    </xdr:from>
    <xdr:to>
      <xdr:col>12</xdr:col>
      <xdr:colOff>4300496</xdr:colOff>
      <xdr:row>39</xdr:row>
      <xdr:rowOff>161097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9091DA-3837-4586-97D8-98AC7413A0E1}"/>
            </a:ext>
          </a:extLst>
        </xdr:cNvPr>
        <xdr:cNvSpPr txBox="1"/>
      </xdr:nvSpPr>
      <xdr:spPr>
        <a:xfrm>
          <a:off x="4996152" y="4909102"/>
          <a:ext cx="6626170" cy="100343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91649</xdr:colOff>
      <xdr:row>25</xdr:row>
      <xdr:rowOff>88054</xdr:rowOff>
    </xdr:from>
    <xdr:to>
      <xdr:col>25</xdr:col>
      <xdr:colOff>105812</xdr:colOff>
      <xdr:row>31</xdr:row>
      <xdr:rowOff>88932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E2B285-BF10-4268-BE15-FD8DCCBDBF54}"/>
            </a:ext>
          </a:extLst>
        </xdr:cNvPr>
        <xdr:cNvSpPr txBox="1"/>
      </xdr:nvSpPr>
      <xdr:spPr>
        <a:xfrm>
          <a:off x="12571516" y="5108787"/>
          <a:ext cx="7414029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opLeftCell="A3" zoomScale="115" zoomScaleNormal="115" workbookViewId="0">
      <selection activeCell="F4" sqref="F4"/>
    </sheetView>
  </sheetViews>
  <sheetFormatPr defaultColWidth="8.77734375" defaultRowHeight="13.2" x14ac:dyDescent="0.25"/>
  <cols>
    <col min="1" max="1" width="3" bestFit="1" customWidth="1"/>
    <col min="2" max="2" width="18.44140625" bestFit="1" customWidth="1"/>
    <col min="3" max="3" width="41.109375" bestFit="1" customWidth="1"/>
    <col min="4" max="5" width="12.6640625" customWidth="1"/>
    <col min="6" max="6" width="13.6640625" bestFit="1" customWidth="1"/>
    <col min="7" max="11" width="12.6640625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 x14ac:dyDescent="0.25">
      <c r="P1" s="35" t="s">
        <v>118</v>
      </c>
      <c r="Q1" s="1" t="s">
        <v>119</v>
      </c>
      <c r="R1" s="1" t="s">
        <v>120</v>
      </c>
      <c r="S1" s="1" t="s">
        <v>134</v>
      </c>
    </row>
    <row r="2" spans="1:19" ht="15.6" x14ac:dyDescent="0.3">
      <c r="C2" s="10"/>
      <c r="D2" s="70" t="s">
        <v>47</v>
      </c>
      <c r="E2" s="70" t="s">
        <v>48</v>
      </c>
      <c r="F2" s="70" t="s">
        <v>49</v>
      </c>
      <c r="G2" s="70" t="s">
        <v>50</v>
      </c>
      <c r="H2" s="70" t="s">
        <v>51</v>
      </c>
      <c r="I2" s="70" t="s">
        <v>52</v>
      </c>
      <c r="J2" s="70" t="s">
        <v>53</v>
      </c>
      <c r="K2" s="70" t="s">
        <v>54</v>
      </c>
      <c r="L2" s="46"/>
      <c r="M2" s="9"/>
      <c r="P2" s="11"/>
      <c r="Q2" s="68" t="s">
        <v>179</v>
      </c>
      <c r="R2" s="19" t="s">
        <v>97</v>
      </c>
      <c r="S2" s="19" t="s">
        <v>135</v>
      </c>
    </row>
    <row r="3" spans="1:19" ht="40.950000000000003" customHeight="1" x14ac:dyDescent="0.25">
      <c r="C3" s="12"/>
      <c r="D3" s="71" t="s">
        <v>55</v>
      </c>
      <c r="E3" s="71" t="s">
        <v>56</v>
      </c>
      <c r="F3" s="71" t="s">
        <v>199</v>
      </c>
      <c r="G3" s="71" t="s">
        <v>57</v>
      </c>
      <c r="H3" s="71" t="s">
        <v>58</v>
      </c>
      <c r="I3" s="71" t="s">
        <v>59</v>
      </c>
      <c r="J3" s="71" t="s">
        <v>60</v>
      </c>
      <c r="K3" s="71" t="s">
        <v>111</v>
      </c>
      <c r="L3" s="66" t="s">
        <v>61</v>
      </c>
      <c r="M3" s="9"/>
    </row>
    <row r="4" spans="1:19" x14ac:dyDescent="0.25">
      <c r="C4" s="164" t="s">
        <v>62</v>
      </c>
      <c r="D4" s="165"/>
      <c r="E4" s="165"/>
      <c r="F4" s="165"/>
      <c r="G4" s="166"/>
      <c r="H4" s="166"/>
      <c r="I4" s="166"/>
      <c r="J4" s="166"/>
      <c r="K4" s="166"/>
      <c r="L4" s="167"/>
      <c r="M4" s="9"/>
    </row>
    <row r="5" spans="1:19" ht="14.4" x14ac:dyDescent="0.3">
      <c r="B5" s="72" t="s">
        <v>63</v>
      </c>
      <c r="C5" s="168" t="s">
        <v>64</v>
      </c>
      <c r="D5" s="82">
        <v>8098.3580000000002</v>
      </c>
      <c r="E5" s="81">
        <v>7899.4970000000003</v>
      </c>
      <c r="F5" s="81">
        <v>5378.5119999999997</v>
      </c>
      <c r="G5" s="69">
        <v>10775.148999999999</v>
      </c>
      <c r="H5" s="69">
        <v>5026.6000000000004</v>
      </c>
      <c r="I5" s="69">
        <v>0</v>
      </c>
      <c r="J5" s="69">
        <v>0</v>
      </c>
      <c r="K5" s="69">
        <v>0</v>
      </c>
      <c r="L5" s="169">
        <f>SUM(D5:K5)</f>
        <v>37178.115999999995</v>
      </c>
      <c r="M5" s="9"/>
      <c r="P5" s="13"/>
    </row>
    <row r="6" spans="1:19" ht="14.4" x14ac:dyDescent="0.3">
      <c r="B6" s="72" t="s">
        <v>65</v>
      </c>
      <c r="C6" s="168" t="s">
        <v>66</v>
      </c>
      <c r="D6" s="83">
        <v>6462.6710000000003</v>
      </c>
      <c r="E6" s="79">
        <v>13291.728999999999</v>
      </c>
      <c r="F6" s="79">
        <v>39959.980000000003</v>
      </c>
      <c r="G6" s="69">
        <v>0</v>
      </c>
      <c r="H6" s="69">
        <v>113.01900000000001</v>
      </c>
      <c r="I6" s="69">
        <v>7.0000000000000001E-3</v>
      </c>
      <c r="J6" s="69">
        <v>0.153</v>
      </c>
      <c r="K6" s="69">
        <v>1167.52</v>
      </c>
      <c r="L6" s="169">
        <f>SUM(D6:K6)</f>
        <v>60995.078999999998</v>
      </c>
      <c r="M6" s="9"/>
    </row>
    <row r="7" spans="1:19" ht="14.4" x14ac:dyDescent="0.3">
      <c r="B7" s="72" t="s">
        <v>67</v>
      </c>
      <c r="C7" s="168" t="s">
        <v>68</v>
      </c>
      <c r="D7" s="83">
        <v>-1147.069</v>
      </c>
      <c r="E7" s="79">
        <v>-2516.3310000000001</v>
      </c>
      <c r="F7" s="79">
        <v>-14830.662</v>
      </c>
      <c r="G7" s="69">
        <v>0</v>
      </c>
      <c r="H7" s="69">
        <v>-72.403999999999996</v>
      </c>
      <c r="I7" s="69">
        <v>0</v>
      </c>
      <c r="J7" s="69">
        <v>-0.129</v>
      </c>
      <c r="K7" s="69">
        <v>-1126.8040000000001</v>
      </c>
      <c r="L7" s="169">
        <f>SUM(D7:K7)</f>
        <v>-19693.399000000001</v>
      </c>
      <c r="M7" s="9"/>
      <c r="P7" s="13"/>
    </row>
    <row r="8" spans="1:19" ht="14.4" x14ac:dyDescent="0.3">
      <c r="B8" s="160" t="s">
        <v>192</v>
      </c>
      <c r="C8" s="87" t="s">
        <v>193</v>
      </c>
      <c r="D8" s="88">
        <f t="shared" ref="D8:L8" si="0">SUM(D5:D7)</f>
        <v>13413.960000000001</v>
      </c>
      <c r="E8" s="89">
        <f t="shared" si="0"/>
        <v>18674.894999999997</v>
      </c>
      <c r="F8" s="89">
        <f t="shared" si="0"/>
        <v>30507.830000000005</v>
      </c>
      <c r="G8" s="89">
        <f t="shared" si="0"/>
        <v>10775.148999999999</v>
      </c>
      <c r="H8" s="89">
        <f t="shared" si="0"/>
        <v>5067.2150000000001</v>
      </c>
      <c r="I8" s="89">
        <f t="shared" si="0"/>
        <v>7.0000000000000001E-3</v>
      </c>
      <c r="J8" s="89">
        <f t="shared" si="0"/>
        <v>2.3999999999999994E-2</v>
      </c>
      <c r="K8" s="89">
        <f t="shared" si="0"/>
        <v>40.715999999999894</v>
      </c>
      <c r="L8" s="90">
        <f t="shared" si="0"/>
        <v>78479.795999999988</v>
      </c>
      <c r="M8" s="9"/>
    </row>
    <row r="9" spans="1:19" x14ac:dyDescent="0.25">
      <c r="B9" s="67"/>
      <c r="C9" s="170" t="s">
        <v>69</v>
      </c>
      <c r="D9" s="12"/>
      <c r="E9" s="12"/>
      <c r="F9" s="12"/>
      <c r="G9" s="12"/>
      <c r="H9" s="12"/>
      <c r="I9" s="12"/>
      <c r="J9" s="12"/>
      <c r="K9" s="12"/>
      <c r="L9" s="171"/>
      <c r="M9" s="9"/>
    </row>
    <row r="10" spans="1:19" x14ac:dyDescent="0.25">
      <c r="B10" s="72" t="s">
        <v>70</v>
      </c>
      <c r="C10" s="92" t="s">
        <v>71</v>
      </c>
      <c r="D10" s="74">
        <v>-57.637999999999998</v>
      </c>
      <c r="E10" s="74">
        <v>-792.98</v>
      </c>
      <c r="F10" s="74">
        <v>-1848.605</v>
      </c>
      <c r="G10" s="74">
        <v>0</v>
      </c>
      <c r="H10" s="74">
        <v>-4.2830000000000004</v>
      </c>
      <c r="I10" s="74">
        <v>-1.52</v>
      </c>
      <c r="J10" s="75">
        <v>0</v>
      </c>
      <c r="K10" s="75">
        <v>0</v>
      </c>
      <c r="L10" s="172">
        <f>SUM(D10:K10)</f>
        <v>-2705.0259999999998</v>
      </c>
      <c r="M10" s="9"/>
    </row>
    <row r="11" spans="1:19" ht="14.4" x14ac:dyDescent="0.3">
      <c r="B11" s="72" t="s">
        <v>54</v>
      </c>
      <c r="C11" s="93" t="s">
        <v>72</v>
      </c>
      <c r="D11" s="79">
        <v>-9598.1200000000008</v>
      </c>
      <c r="E11" s="79">
        <v>-5635.5439999999999</v>
      </c>
      <c r="F11" s="79">
        <v>-1224.6089999999999</v>
      </c>
      <c r="G11" s="79">
        <v>-10775.148999999999</v>
      </c>
      <c r="H11" s="79">
        <v>-1255.692</v>
      </c>
      <c r="I11" s="74">
        <v>-32.948999999999998</v>
      </c>
      <c r="J11" s="74">
        <v>1737.559</v>
      </c>
      <c r="K11" s="79">
        <v>11581.038888888888</v>
      </c>
      <c r="L11" s="172">
        <f>SUM(D11:K11)</f>
        <v>-15203.465111111109</v>
      </c>
      <c r="M11" s="9"/>
    </row>
    <row r="12" spans="1:19" x14ac:dyDescent="0.25">
      <c r="B12" s="72" t="s">
        <v>73</v>
      </c>
      <c r="C12" s="93" t="s">
        <v>74</v>
      </c>
      <c r="D12" s="74">
        <v>-161.39599999999999</v>
      </c>
      <c r="E12" s="74">
        <v>-301.30099999999999</v>
      </c>
      <c r="F12" s="74">
        <v>-49.649000000000001</v>
      </c>
      <c r="G12" s="74">
        <v>0</v>
      </c>
      <c r="H12" s="74">
        <v>-140.20699999999999</v>
      </c>
      <c r="I12" s="74">
        <v>-1.569</v>
      </c>
      <c r="J12" s="74">
        <v>658.74300000000005</v>
      </c>
      <c r="K12" s="74">
        <v>0</v>
      </c>
      <c r="L12" s="172">
        <f>SUM(D12:K12)</f>
        <v>4.6210000000000946</v>
      </c>
      <c r="M12" s="9"/>
    </row>
    <row r="13" spans="1:19" x14ac:dyDescent="0.25">
      <c r="B13" s="72" t="s">
        <v>75</v>
      </c>
      <c r="C13" s="93" t="s">
        <v>76</v>
      </c>
      <c r="D13" s="136"/>
      <c r="E13" s="75"/>
      <c r="F13" s="74">
        <v>-31736.460999999999</v>
      </c>
      <c r="G13" s="75"/>
      <c r="H13" s="75"/>
      <c r="I13" s="75"/>
      <c r="J13" s="75"/>
      <c r="K13" s="75"/>
      <c r="L13" s="172">
        <f>SUM(D13:K13)</f>
        <v>-31736.460999999999</v>
      </c>
      <c r="M13" s="9"/>
    </row>
    <row r="14" spans="1:19" ht="14.4" x14ac:dyDescent="0.3">
      <c r="B14" s="67"/>
      <c r="C14" s="87" t="s">
        <v>77</v>
      </c>
      <c r="D14" s="91">
        <f t="shared" ref="D14:L14" si="1">SUM(D10:D13)</f>
        <v>-9817.1540000000023</v>
      </c>
      <c r="E14" s="89">
        <f t="shared" si="1"/>
        <v>-6729.8249999999998</v>
      </c>
      <c r="F14" s="89">
        <f t="shared" si="1"/>
        <v>-34859.324000000001</v>
      </c>
      <c r="G14" s="89">
        <f t="shared" si="1"/>
        <v>-10775.148999999999</v>
      </c>
      <c r="H14" s="89">
        <f t="shared" si="1"/>
        <v>-1400.1819999999998</v>
      </c>
      <c r="I14" s="89">
        <f t="shared" si="1"/>
        <v>-36.038000000000004</v>
      </c>
      <c r="J14" s="89">
        <f t="shared" si="1"/>
        <v>2396.3020000000001</v>
      </c>
      <c r="K14" s="89">
        <f t="shared" si="1"/>
        <v>11581.038888888888</v>
      </c>
      <c r="L14" s="90">
        <f t="shared" si="1"/>
        <v>-49640.331111111111</v>
      </c>
      <c r="M14" s="9"/>
    </row>
    <row r="15" spans="1:19" x14ac:dyDescent="0.25">
      <c r="B15" s="67"/>
      <c r="C15" s="170" t="s">
        <v>78</v>
      </c>
      <c r="D15" s="12"/>
      <c r="E15" s="12"/>
      <c r="F15" s="12"/>
      <c r="G15" s="12"/>
      <c r="H15" s="12"/>
      <c r="I15" s="12"/>
      <c r="J15" s="12"/>
      <c r="K15" s="12"/>
      <c r="L15" s="171"/>
      <c r="M15" s="9"/>
    </row>
    <row r="16" spans="1:19" ht="14.4" x14ac:dyDescent="0.3">
      <c r="A16" s="9"/>
      <c r="B16" s="72" t="s">
        <v>79</v>
      </c>
      <c r="C16" s="94" t="s">
        <v>80</v>
      </c>
      <c r="D16" s="173">
        <v>356.55500000000001</v>
      </c>
      <c r="E16" s="79">
        <v>5159.7929999999997</v>
      </c>
      <c r="F16" s="173">
        <v>2289.2930000000001</v>
      </c>
      <c r="G16" s="174">
        <v>0</v>
      </c>
      <c r="H16" s="173">
        <v>1293.9269999999999</v>
      </c>
      <c r="I16" s="173">
        <v>0</v>
      </c>
      <c r="J16" s="173">
        <v>865.48500000000001</v>
      </c>
      <c r="K16" s="173">
        <v>2871.7420000000002</v>
      </c>
      <c r="L16" s="175">
        <f t="shared" ref="L16:L23" si="2">SUM(D16:K16)</f>
        <v>12836.795</v>
      </c>
      <c r="M16" s="9"/>
    </row>
    <row r="17" spans="1:13" x14ac:dyDescent="0.25">
      <c r="A17" s="9"/>
      <c r="B17" s="72" t="s">
        <v>81</v>
      </c>
      <c r="C17" s="95" t="s">
        <v>82</v>
      </c>
      <c r="D17" s="173">
        <v>56.924999999999997</v>
      </c>
      <c r="E17" s="173">
        <v>1751.73</v>
      </c>
      <c r="F17" s="173">
        <v>854.81</v>
      </c>
      <c r="G17" s="174">
        <v>0</v>
      </c>
      <c r="H17" s="173">
        <v>67.406000000000006</v>
      </c>
      <c r="I17" s="173">
        <v>1.2170000000000001</v>
      </c>
      <c r="J17" s="173">
        <v>254.64599999999999</v>
      </c>
      <c r="K17" s="173">
        <v>2527.3910000000001</v>
      </c>
      <c r="L17" s="175">
        <f t="shared" si="2"/>
        <v>5514.125</v>
      </c>
      <c r="M17" s="9"/>
    </row>
    <row r="18" spans="1:13" x14ac:dyDescent="0.25">
      <c r="A18" s="9"/>
      <c r="B18" s="72" t="s">
        <v>83</v>
      </c>
      <c r="C18" s="95" t="s">
        <v>84</v>
      </c>
      <c r="D18" s="173">
        <v>1896.9860000000001</v>
      </c>
      <c r="E18" s="173">
        <v>4437.1610000000001</v>
      </c>
      <c r="F18" s="173">
        <v>2016.1110000000001</v>
      </c>
      <c r="G18" s="174">
        <v>0</v>
      </c>
      <c r="H18" s="173">
        <v>721.67100000000005</v>
      </c>
      <c r="I18" s="173">
        <v>117.19199999999999</v>
      </c>
      <c r="J18" s="173">
        <v>633.58299999999997</v>
      </c>
      <c r="K18" s="173">
        <v>4088.444</v>
      </c>
      <c r="L18" s="175">
        <f t="shared" si="2"/>
        <v>13911.147999999999</v>
      </c>
      <c r="M18" s="9"/>
    </row>
    <row r="19" spans="1:13" x14ac:dyDescent="0.25">
      <c r="A19" s="9"/>
      <c r="B19" s="72" t="s">
        <v>85</v>
      </c>
      <c r="C19" s="95" t="s">
        <v>86</v>
      </c>
      <c r="D19" s="173">
        <v>44.1</v>
      </c>
      <c r="E19" s="173">
        <v>201.20599999999999</v>
      </c>
      <c r="F19" s="173">
        <v>797.37199999999996</v>
      </c>
      <c r="G19" s="174">
        <v>0</v>
      </c>
      <c r="H19" s="173">
        <v>63.085999999999999</v>
      </c>
      <c r="I19" s="173">
        <v>1E-3</v>
      </c>
      <c r="J19" s="173">
        <v>15.574</v>
      </c>
      <c r="K19" s="173">
        <v>19.386000000000003</v>
      </c>
      <c r="L19" s="175">
        <f t="shared" si="2"/>
        <v>1140.7249999999999</v>
      </c>
      <c r="M19" s="9"/>
    </row>
    <row r="20" spans="1:13" ht="14.4" x14ac:dyDescent="0.3">
      <c r="A20" s="9"/>
      <c r="B20" s="72" t="s">
        <v>87</v>
      </c>
      <c r="C20" s="95" t="s">
        <v>88</v>
      </c>
      <c r="D20" s="173">
        <v>0.55600000000000005</v>
      </c>
      <c r="E20" s="173">
        <v>21.248999999999999</v>
      </c>
      <c r="F20" s="79">
        <v>14851.249</v>
      </c>
      <c r="G20" s="174">
        <v>0</v>
      </c>
      <c r="H20" s="173">
        <v>130.685</v>
      </c>
      <c r="I20" s="173">
        <v>0</v>
      </c>
      <c r="J20" s="173">
        <v>0</v>
      </c>
      <c r="K20" s="173">
        <v>265.97199999999998</v>
      </c>
      <c r="L20" s="175">
        <f t="shared" si="2"/>
        <v>15269.710999999999</v>
      </c>
      <c r="M20" s="9"/>
    </row>
    <row r="21" spans="1:13" x14ac:dyDescent="0.25">
      <c r="A21" s="9"/>
      <c r="B21" s="72" t="s">
        <v>89</v>
      </c>
      <c r="C21" s="96" t="s">
        <v>90</v>
      </c>
      <c r="D21" s="78">
        <f>IF((SUM(D16:D20,D22:D23)-SUM(D10:D12))&gt;D8,0,(D8-SUM(D16:D20,D22:D23)+SUM(D10:D12)))</f>
        <v>1189.2309999999979</v>
      </c>
      <c r="E21" s="78">
        <f>IF((SUM(E16:E20,E22:E23)-SUM(E10:E12))&gt;E8,0,(E8-SUM(E16:E20,E22:E23)+SUM(E10:E12)))</f>
        <v>0</v>
      </c>
      <c r="F21" s="78">
        <v>392.53200000000402</v>
      </c>
      <c r="G21" s="78">
        <f>IF((SUM(G16:G20,G22:G23)-SUM(G10:G12))&gt;G8,0,(G8-SUM(G16:G20,G22:G23)+SUM(G10:G12)))</f>
        <v>0</v>
      </c>
      <c r="H21" s="78">
        <f>IF((SUM(H16:H20,H22:H23)-SUM(H10:H12))&gt;H8,0,(H8-SUM(H16:H20,H22:H23)+SUM(H10:H12)))</f>
        <v>1390.2580000000007</v>
      </c>
      <c r="I21" s="78">
        <f>IF((SUM(I16:I20,I22:I23)-SUM(I10:I12))&gt;I8,0,(I8-SUM(I16:I20,I22:I23)+SUM(I10:I12)))</f>
        <v>0</v>
      </c>
      <c r="J21" s="78">
        <f>IF((SUM(J16:J20,J22:J23)-SUM(J10:J12))&gt;J8,0,(J8-SUM(J16:J20,J22:J23)+SUM(J10:J12)))</f>
        <v>627.03800000000001</v>
      </c>
      <c r="K21" s="78">
        <v>650</v>
      </c>
      <c r="L21" s="176">
        <f t="shared" si="2"/>
        <v>4249.0590000000029</v>
      </c>
      <c r="M21" s="9"/>
    </row>
    <row r="22" spans="1:13" x14ac:dyDescent="0.25">
      <c r="A22" s="9"/>
      <c r="B22" s="72" t="s">
        <v>109</v>
      </c>
      <c r="C22" s="95" t="s">
        <v>91</v>
      </c>
      <c r="D22" s="173">
        <v>52.453000000000003</v>
      </c>
      <c r="E22" s="173">
        <v>633.82299999999998</v>
      </c>
      <c r="F22" s="173">
        <v>4072.5079999999998</v>
      </c>
      <c r="G22" s="174"/>
      <c r="H22" s="173">
        <v>0</v>
      </c>
      <c r="I22" s="173">
        <v>0</v>
      </c>
      <c r="J22" s="173">
        <v>0</v>
      </c>
      <c r="K22" s="173">
        <v>0</v>
      </c>
      <c r="L22" s="175">
        <f t="shared" si="2"/>
        <v>4758.7839999999997</v>
      </c>
      <c r="M22" s="9"/>
    </row>
    <row r="23" spans="1:13" x14ac:dyDescent="0.25">
      <c r="A23" s="9"/>
      <c r="B23" s="72" t="s">
        <v>110</v>
      </c>
      <c r="C23" s="95" t="s">
        <v>92</v>
      </c>
      <c r="D23" s="173">
        <v>0</v>
      </c>
      <c r="E23" s="173">
        <v>0</v>
      </c>
      <c r="F23" s="173">
        <v>2111.0920000000001</v>
      </c>
      <c r="G23" s="174"/>
      <c r="H23" s="173">
        <v>0</v>
      </c>
      <c r="I23" s="173">
        <v>0</v>
      </c>
      <c r="J23" s="173">
        <v>0</v>
      </c>
      <c r="K23" s="173">
        <v>0</v>
      </c>
      <c r="L23" s="175">
        <f t="shared" si="2"/>
        <v>2111.0920000000001</v>
      </c>
      <c r="M23" s="9"/>
    </row>
    <row r="24" spans="1:13" ht="14.4" x14ac:dyDescent="0.3">
      <c r="A24" s="9"/>
      <c r="B24" s="160" t="s">
        <v>112</v>
      </c>
      <c r="C24" s="87" t="s">
        <v>194</v>
      </c>
      <c r="D24" s="85">
        <f t="shared" ref="D24:L24" si="3">SUM(D16:D23)</f>
        <v>3596.8059999999982</v>
      </c>
      <c r="E24" s="84">
        <f t="shared" si="3"/>
        <v>12204.962</v>
      </c>
      <c r="F24" s="84">
        <f t="shared" si="3"/>
        <v>27384.967000000001</v>
      </c>
      <c r="G24" s="84">
        <f t="shared" si="3"/>
        <v>0</v>
      </c>
      <c r="H24" s="84">
        <f t="shared" si="3"/>
        <v>3667.0330000000004</v>
      </c>
      <c r="I24" s="84">
        <f t="shared" si="3"/>
        <v>118.41</v>
      </c>
      <c r="J24" s="84">
        <f t="shared" si="3"/>
        <v>2396.326</v>
      </c>
      <c r="K24" s="85">
        <f>SUM(K16:K23)</f>
        <v>10422.934999999999</v>
      </c>
      <c r="L24" s="86">
        <f t="shared" si="3"/>
        <v>59791.438999999998</v>
      </c>
      <c r="M24" s="9"/>
    </row>
    <row r="25" spans="1:13" x14ac:dyDescent="0.25">
      <c r="A25" s="9"/>
      <c r="D25" s="13"/>
      <c r="F25" s="13"/>
      <c r="G25" s="13"/>
      <c r="H25" s="13"/>
      <c r="I25" s="13"/>
      <c r="J25" s="13"/>
      <c r="K25" s="13"/>
      <c r="L25" s="13"/>
      <c r="M25" s="9"/>
    </row>
    <row r="26" spans="1:13" x14ac:dyDescent="0.25">
      <c r="A26" s="9"/>
      <c r="D26" s="13"/>
      <c r="F26" s="13"/>
      <c r="G26" s="13"/>
      <c r="H26" s="13"/>
      <c r="I26" s="13"/>
      <c r="J26" s="13"/>
      <c r="K26" s="13"/>
      <c r="L26" s="13"/>
      <c r="M26" s="13"/>
    </row>
    <row r="27" spans="1:13" ht="14.4" x14ac:dyDescent="0.3">
      <c r="A27" s="9"/>
      <c r="C27" s="79" t="s">
        <v>180</v>
      </c>
      <c r="D27" s="79"/>
      <c r="E27" s="79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A28" s="9"/>
      <c r="D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9"/>
      <c r="D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5">
      <c r="A30" s="9"/>
      <c r="D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25">
      <c r="A31" s="9"/>
      <c r="D31" s="13"/>
      <c r="F31" s="13"/>
      <c r="G31" s="13"/>
      <c r="H31" s="13"/>
      <c r="I31" s="13"/>
      <c r="J31" s="13"/>
      <c r="K31" s="13"/>
      <c r="L31" s="13"/>
      <c r="M31" s="13"/>
    </row>
    <row r="32" spans="1:13" x14ac:dyDescent="0.25">
      <c r="A32" s="9"/>
      <c r="D32" s="13"/>
      <c r="F32" s="13"/>
      <c r="G32" s="13"/>
      <c r="H32" s="13"/>
      <c r="I32" s="13"/>
      <c r="J32" s="13"/>
      <c r="K32" s="13"/>
      <c r="L32" s="13"/>
      <c r="M32" s="13"/>
    </row>
    <row r="33" spans="1:14" x14ac:dyDescent="0.25">
      <c r="A33" s="9"/>
      <c r="D33" s="13"/>
      <c r="F33" s="13"/>
      <c r="G33" s="13"/>
      <c r="H33" s="13"/>
      <c r="I33" s="13"/>
      <c r="J33" s="13"/>
      <c r="K33" s="13"/>
      <c r="L33" s="13"/>
      <c r="M33" s="13"/>
    </row>
    <row r="34" spans="1:14" x14ac:dyDescent="0.25">
      <c r="A34" s="9"/>
      <c r="D34" s="13"/>
      <c r="F34" s="13"/>
      <c r="G34" s="13"/>
      <c r="H34" s="13"/>
      <c r="I34" s="13"/>
      <c r="J34" s="13"/>
      <c r="K34" s="13"/>
      <c r="L34" s="13"/>
      <c r="M34" s="13"/>
    </row>
    <row r="35" spans="1:14" x14ac:dyDescent="0.25">
      <c r="A35" s="9"/>
      <c r="D35" s="13"/>
      <c r="F35" s="13"/>
      <c r="G35" s="13"/>
      <c r="H35" s="13"/>
      <c r="I35" s="13"/>
      <c r="J35" s="13"/>
      <c r="K35" s="13"/>
      <c r="L35" s="13"/>
      <c r="M35" s="13"/>
    </row>
    <row r="36" spans="1:14" x14ac:dyDescent="0.25">
      <c r="A36" s="9"/>
      <c r="D36" s="36" t="s">
        <v>47</v>
      </c>
      <c r="E36" s="36" t="s">
        <v>48</v>
      </c>
      <c r="F36" s="36" t="s">
        <v>49</v>
      </c>
      <c r="G36" s="41"/>
      <c r="H36" s="41"/>
      <c r="I36" s="41"/>
      <c r="J36" s="41"/>
      <c r="K36" s="41"/>
      <c r="L36" s="41"/>
      <c r="M36" s="41"/>
    </row>
    <row r="37" spans="1:14" x14ac:dyDescent="0.25">
      <c r="A37" s="9"/>
      <c r="C37" s="37" t="s">
        <v>148</v>
      </c>
      <c r="D37" s="38">
        <v>0.75</v>
      </c>
      <c r="E37" s="38">
        <v>0.5</v>
      </c>
      <c r="F37" s="38">
        <v>0.8</v>
      </c>
      <c r="G37" s="42"/>
      <c r="H37" s="42"/>
      <c r="I37" s="42"/>
      <c r="J37" s="42"/>
      <c r="K37" s="42"/>
      <c r="L37" s="42"/>
      <c r="M37" s="42"/>
    </row>
    <row r="38" spans="1:14" x14ac:dyDescent="0.25">
      <c r="A38" s="9"/>
      <c r="C38" s="39" t="s">
        <v>149</v>
      </c>
      <c r="D38" s="40">
        <v>0.25</v>
      </c>
      <c r="E38" s="40">
        <v>0.5</v>
      </c>
      <c r="F38" s="40">
        <v>0.2</v>
      </c>
      <c r="G38" s="42"/>
      <c r="H38" s="42"/>
      <c r="I38" s="42"/>
      <c r="J38" s="42"/>
      <c r="K38" s="42"/>
      <c r="L38" s="42"/>
      <c r="M38" s="42"/>
    </row>
    <row r="39" spans="1:14" x14ac:dyDescent="0.25">
      <c r="A39" s="9"/>
      <c r="C39" s="41"/>
      <c r="D39" s="42"/>
    </row>
    <row r="40" spans="1:14" x14ac:dyDescent="0.25">
      <c r="A40" s="9"/>
      <c r="C40" s="41"/>
      <c r="D40" s="42"/>
    </row>
    <row r="41" spans="1:14" ht="26.4" x14ac:dyDescent="0.25">
      <c r="A41" s="9"/>
      <c r="B41" s="46" t="s">
        <v>130</v>
      </c>
      <c r="C41" s="102" t="s">
        <v>151</v>
      </c>
      <c r="D41" s="71" t="s">
        <v>55</v>
      </c>
      <c r="E41" s="71" t="s">
        <v>56</v>
      </c>
      <c r="F41" s="71" t="s">
        <v>174</v>
      </c>
      <c r="G41" s="71" t="s">
        <v>57</v>
      </c>
      <c r="H41" s="71" t="s">
        <v>58</v>
      </c>
      <c r="I41" s="71" t="s">
        <v>59</v>
      </c>
      <c r="J41" s="71" t="s">
        <v>60</v>
      </c>
      <c r="K41" s="71" t="s">
        <v>111</v>
      </c>
      <c r="L41" s="47"/>
    </row>
    <row r="42" spans="1:14" ht="14.4" x14ac:dyDescent="0.3">
      <c r="A42" s="9"/>
      <c r="B42" s="72" t="s">
        <v>79</v>
      </c>
      <c r="C42" s="95" t="s">
        <v>131</v>
      </c>
      <c r="D42" s="97"/>
      <c r="E42" s="79">
        <v>1</v>
      </c>
      <c r="F42" s="73"/>
      <c r="G42" s="73"/>
      <c r="H42" s="73"/>
      <c r="I42" s="73"/>
      <c r="J42" s="73"/>
      <c r="K42" s="98"/>
      <c r="L42" s="11"/>
      <c r="N42" s="94" t="s">
        <v>90</v>
      </c>
    </row>
    <row r="43" spans="1:14" ht="14.4" x14ac:dyDescent="0.3">
      <c r="A43" s="9"/>
      <c r="B43" s="72" t="s">
        <v>87</v>
      </c>
      <c r="C43" s="96" t="s">
        <v>132</v>
      </c>
      <c r="D43" s="99"/>
      <c r="E43" s="77"/>
      <c r="F43" s="80">
        <v>1</v>
      </c>
      <c r="G43" s="77"/>
      <c r="H43" s="77"/>
      <c r="I43" s="77"/>
      <c r="J43" s="77"/>
      <c r="K43" s="100"/>
      <c r="L43" s="11"/>
      <c r="N43" s="96" t="s">
        <v>133</v>
      </c>
    </row>
    <row r="44" spans="1:14" x14ac:dyDescent="0.25">
      <c r="A44" s="9"/>
    </row>
    <row r="45" spans="1:14" x14ac:dyDescent="0.25">
      <c r="A45" s="9"/>
    </row>
    <row r="46" spans="1:14" x14ac:dyDescent="0.25">
      <c r="A46" s="9"/>
      <c r="C46" s="106" t="s">
        <v>138</v>
      </c>
      <c r="D46" s="108" t="s">
        <v>139</v>
      </c>
      <c r="E46" s="107" t="s">
        <v>140</v>
      </c>
    </row>
    <row r="47" spans="1:14" x14ac:dyDescent="0.25">
      <c r="A47" s="9"/>
      <c r="B47" s="35" t="s">
        <v>152</v>
      </c>
      <c r="C47" s="101" t="s">
        <v>141</v>
      </c>
      <c r="D47" s="101" t="s">
        <v>142</v>
      </c>
      <c r="E47" s="104" t="s">
        <v>140</v>
      </c>
    </row>
    <row r="48" spans="1:14" x14ac:dyDescent="0.25">
      <c r="A48" s="9"/>
      <c r="B48" s="72" t="s">
        <v>79</v>
      </c>
      <c r="C48" s="103">
        <v>1</v>
      </c>
      <c r="D48" s="103"/>
      <c r="E48" s="103"/>
    </row>
    <row r="49" spans="1:5" x14ac:dyDescent="0.25">
      <c r="A49" s="9"/>
      <c r="B49" s="72" t="s">
        <v>87</v>
      </c>
      <c r="C49" s="103">
        <v>1</v>
      </c>
      <c r="D49" s="103"/>
      <c r="E49" s="103"/>
    </row>
    <row r="50" spans="1:5" x14ac:dyDescent="0.25">
      <c r="A50" s="9"/>
      <c r="B50" s="72" t="s">
        <v>89</v>
      </c>
      <c r="C50" s="103">
        <v>1</v>
      </c>
      <c r="D50" s="103"/>
      <c r="E50" s="103"/>
    </row>
    <row r="51" spans="1:5" x14ac:dyDescent="0.25">
      <c r="A51" s="9"/>
      <c r="B51" s="72" t="s">
        <v>54</v>
      </c>
      <c r="C51" s="105">
        <v>1</v>
      </c>
      <c r="D51" s="105"/>
      <c r="E51" s="105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2C70-1D39-420C-A1CE-B1A75A3064CA}">
  <dimension ref="B1:U28"/>
  <sheetViews>
    <sheetView zoomScale="130" zoomScaleNormal="130" workbookViewId="0">
      <selection activeCell="C16" sqref="C16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3.6640625" style="48" customWidth="1"/>
    <col min="6" max="6" width="13.109375" style="48" bestFit="1" customWidth="1"/>
    <col min="7" max="7" width="7.88671875" style="48" customWidth="1"/>
    <col min="8" max="8" width="9.109375" style="48" bestFit="1" customWidth="1"/>
    <col min="9" max="9" width="9.44140625" style="48" customWidth="1"/>
    <col min="10" max="11" width="8.109375" style="48" customWidth="1"/>
    <col min="12" max="12" width="2.6640625" style="48" customWidth="1"/>
    <col min="13" max="13" width="12.6640625" style="48" bestFit="1" customWidth="1"/>
    <col min="14" max="14" width="7.109375" style="48" customWidth="1"/>
    <col min="15" max="15" width="11.44140625" style="48" bestFit="1" customWidth="1"/>
    <col min="16" max="16" width="41.5546875" style="48" bestFit="1" customWidth="1"/>
    <col min="17" max="17" width="6.5546875" style="48" customWidth="1"/>
    <col min="18" max="18" width="11.6640625" style="48" customWidth="1"/>
    <col min="19" max="19" width="13" style="48" customWidth="1"/>
    <col min="20" max="20" width="13.6640625" style="48" bestFit="1" customWidth="1"/>
    <col min="21" max="21" width="8.44140625" style="48" customWidth="1"/>
    <col min="22" max="16384" width="8.88671875" style="48"/>
  </cols>
  <sheetData>
    <row r="1" spans="2:21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1" ht="31.2" x14ac:dyDescent="0.3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M2" s="208" t="s">
        <v>14</v>
      </c>
      <c r="N2" s="208"/>
      <c r="O2" s="206"/>
      <c r="P2" s="206"/>
      <c r="Q2" s="206"/>
      <c r="R2" s="206"/>
      <c r="S2" s="206"/>
      <c r="T2" s="206"/>
      <c r="U2" s="206"/>
    </row>
    <row r="3" spans="2:21" x14ac:dyDescent="0.25">
      <c r="G3" s="50"/>
      <c r="M3" s="209" t="s">
        <v>7</v>
      </c>
      <c r="N3" s="210" t="s">
        <v>30</v>
      </c>
      <c r="O3" s="209" t="s">
        <v>0</v>
      </c>
      <c r="P3" s="209" t="s">
        <v>3</v>
      </c>
      <c r="Q3" s="209" t="s">
        <v>4</v>
      </c>
      <c r="R3" s="209" t="s">
        <v>8</v>
      </c>
      <c r="S3" s="209" t="s">
        <v>9</v>
      </c>
      <c r="T3" s="209" t="s">
        <v>10</v>
      </c>
      <c r="U3" s="209" t="s">
        <v>12</v>
      </c>
    </row>
    <row r="4" spans="2:21" s="50" customFormat="1" ht="22.2" thickBot="1" x14ac:dyDescent="0.35">
      <c r="B4" s="17"/>
      <c r="C4" s="17"/>
      <c r="D4" s="17"/>
      <c r="E4" s="17"/>
      <c r="F4" s="17"/>
      <c r="M4" s="199" t="s">
        <v>40</v>
      </c>
      <c r="N4" s="199" t="s">
        <v>31</v>
      </c>
      <c r="O4" s="199" t="s">
        <v>26</v>
      </c>
      <c r="P4" s="199" t="s">
        <v>27</v>
      </c>
      <c r="Q4" s="199" t="s">
        <v>4</v>
      </c>
      <c r="R4" s="199" t="s">
        <v>43</v>
      </c>
      <c r="S4" s="199" t="s">
        <v>44</v>
      </c>
      <c r="T4" s="199" t="s">
        <v>28</v>
      </c>
      <c r="U4" s="199" t="s">
        <v>29</v>
      </c>
    </row>
    <row r="5" spans="2:21" s="50" customFormat="1" ht="15.6" x14ac:dyDescent="0.3">
      <c r="B5" s="17"/>
      <c r="C5" s="17"/>
      <c r="D5" s="17"/>
      <c r="E5" s="17"/>
      <c r="F5" s="17"/>
      <c r="M5" s="211" t="s">
        <v>105</v>
      </c>
      <c r="N5" s="212"/>
      <c r="O5" s="211" t="str">
        <f>+D12</f>
        <v>DPCH</v>
      </c>
      <c r="P5" s="229" t="s">
        <v>222</v>
      </c>
      <c r="Q5" s="211" t="str">
        <f>$E$2</f>
        <v>PJ</v>
      </c>
      <c r="R5" s="211"/>
      <c r="S5" s="211"/>
      <c r="T5" s="211"/>
      <c r="U5" s="211"/>
    </row>
    <row r="8" spans="2:21" x14ac:dyDescent="0.25">
      <c r="D8" s="7" t="s">
        <v>13</v>
      </c>
      <c r="E8" s="7"/>
      <c r="F8" s="7"/>
      <c r="H8" s="7"/>
      <c r="I8" s="8"/>
      <c r="J8" s="6"/>
      <c r="K8" s="6"/>
      <c r="M8" s="208" t="s">
        <v>15</v>
      </c>
      <c r="N8" s="208"/>
      <c r="O8" s="207"/>
      <c r="P8" s="207"/>
      <c r="Q8" s="207"/>
      <c r="R8" s="207"/>
      <c r="S8" s="207"/>
      <c r="T8" s="207"/>
      <c r="U8" s="207"/>
    </row>
    <row r="9" spans="2:21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223" t="s">
        <v>187</v>
      </c>
      <c r="M9" s="209" t="s">
        <v>11</v>
      </c>
      <c r="N9" s="210" t="s">
        <v>30</v>
      </c>
      <c r="O9" s="209" t="s">
        <v>1</v>
      </c>
      <c r="P9" s="209" t="s">
        <v>2</v>
      </c>
      <c r="Q9" s="209" t="s">
        <v>16</v>
      </c>
      <c r="R9" s="209" t="s">
        <v>17</v>
      </c>
      <c r="S9" s="209" t="s">
        <v>18</v>
      </c>
      <c r="T9" s="209" t="s">
        <v>19</v>
      </c>
      <c r="U9" s="209" t="s">
        <v>20</v>
      </c>
    </row>
    <row r="10" spans="2:21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24"/>
      <c r="M10" s="199" t="s">
        <v>41</v>
      </c>
      <c r="N10" s="199" t="s">
        <v>31</v>
      </c>
      <c r="O10" s="199" t="s">
        <v>21</v>
      </c>
      <c r="P10" s="199" t="s">
        <v>22</v>
      </c>
      <c r="Q10" s="199" t="s">
        <v>23</v>
      </c>
      <c r="R10" s="199" t="s">
        <v>24</v>
      </c>
      <c r="S10" s="199" t="s">
        <v>46</v>
      </c>
      <c r="T10" s="199" t="s">
        <v>45</v>
      </c>
      <c r="U10" s="199" t="s">
        <v>25</v>
      </c>
    </row>
    <row r="11" spans="2:21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25"/>
      <c r="M11" s="199" t="s">
        <v>103</v>
      </c>
      <c r="N11" s="199"/>
      <c r="O11" s="199"/>
      <c r="P11" s="199"/>
      <c r="Q11" s="199"/>
      <c r="R11" s="199"/>
      <c r="S11" s="199"/>
      <c r="T11" s="199"/>
      <c r="U11" s="199"/>
    </row>
    <row r="12" spans="2:21" x14ac:dyDescent="0.25">
      <c r="B12" s="220" t="s">
        <v>215</v>
      </c>
      <c r="C12" s="220" t="str">
        <f>+Pri_GAS!M5</f>
        <v>GAS</v>
      </c>
      <c r="D12" s="48" t="str">
        <f>+Demands!$C$13</f>
        <v>DPCH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K12" s="119">
        <v>2010</v>
      </c>
      <c r="M12" s="211" t="s">
        <v>123</v>
      </c>
      <c r="N12" s="212"/>
      <c r="O12" s="212" t="str">
        <f>+B12</f>
        <v>DPCHGAS</v>
      </c>
      <c r="P12" s="227" t="s">
        <v>219</v>
      </c>
      <c r="Q12" s="212" t="str">
        <f>$E$2</f>
        <v>PJ</v>
      </c>
      <c r="R12" s="212" t="str">
        <f>$E$2&amp;"a"</f>
        <v>PJa</v>
      </c>
      <c r="S12" s="212"/>
      <c r="T12" s="212"/>
      <c r="U12" s="212"/>
    </row>
    <row r="13" spans="2:21" x14ac:dyDescent="0.25">
      <c r="B13" s="220" t="s">
        <v>216</v>
      </c>
      <c r="C13" s="220" t="s">
        <v>48</v>
      </c>
      <c r="D13" s="48" t="str">
        <f>+Demands!$C$13</f>
        <v>DPCH</v>
      </c>
      <c r="E13" s="135"/>
      <c r="F13" s="156">
        <v>1.05</v>
      </c>
      <c r="G13" s="156">
        <v>0.95</v>
      </c>
      <c r="H13" s="50">
        <v>12</v>
      </c>
      <c r="I13" s="156">
        <v>0.18</v>
      </c>
      <c r="J13" s="50">
        <v>20</v>
      </c>
      <c r="K13" s="50">
        <v>2020</v>
      </c>
      <c r="M13" s="154"/>
      <c r="N13" s="50"/>
      <c r="O13" s="212" t="str">
        <f t="shared" ref="O13:O14" si="0">+B13</f>
        <v>DPCHGAS2</v>
      </c>
      <c r="P13" s="227" t="s">
        <v>220</v>
      </c>
      <c r="Q13" s="228" t="s">
        <v>97</v>
      </c>
      <c r="R13" s="212" t="str">
        <f>$E$2&amp;"a"</f>
        <v>PJa</v>
      </c>
      <c r="S13" s="50"/>
      <c r="T13" s="50"/>
      <c r="U13" s="50"/>
    </row>
    <row r="14" spans="2:21" x14ac:dyDescent="0.25">
      <c r="B14" s="226" t="s">
        <v>218</v>
      </c>
      <c r="C14" s="220" t="s">
        <v>217</v>
      </c>
      <c r="D14" s="48" t="str">
        <f>+Demands!$C$13</f>
        <v>DPCH</v>
      </c>
      <c r="E14" s="131"/>
      <c r="F14" s="120">
        <v>1</v>
      </c>
      <c r="G14" s="120">
        <v>0.95</v>
      </c>
      <c r="H14" s="119">
        <v>10</v>
      </c>
      <c r="I14" s="120">
        <f>H14*0.02</f>
        <v>0.2</v>
      </c>
      <c r="J14" s="119">
        <v>20</v>
      </c>
      <c r="K14" s="119">
        <v>2010</v>
      </c>
      <c r="M14" s="50"/>
      <c r="N14" s="50"/>
      <c r="O14" s="212" t="str">
        <f t="shared" si="0"/>
        <v>DPCHLOIL</v>
      </c>
      <c r="P14" s="227" t="s">
        <v>221</v>
      </c>
      <c r="Q14" s="228" t="s">
        <v>97</v>
      </c>
      <c r="R14" s="212" t="str">
        <f>$E$2&amp;"a"</f>
        <v>PJa</v>
      </c>
      <c r="S14" s="50"/>
      <c r="T14" s="50"/>
      <c r="U14" s="50"/>
    </row>
    <row r="15" spans="2:21" x14ac:dyDescent="0.25">
      <c r="B15" s="226" t="s">
        <v>227</v>
      </c>
      <c r="C15" s="220" t="s">
        <v>226</v>
      </c>
      <c r="D15" s="48" t="str">
        <f>+Demands!$C$13</f>
        <v>DPCH</v>
      </c>
      <c r="E15" s="131"/>
      <c r="F15" s="156">
        <v>1.05</v>
      </c>
      <c r="G15" s="156">
        <v>0.95</v>
      </c>
      <c r="H15" s="50">
        <v>15</v>
      </c>
      <c r="I15" s="156">
        <v>0.2</v>
      </c>
      <c r="J15" s="50">
        <v>20</v>
      </c>
      <c r="K15" s="50">
        <v>2020</v>
      </c>
      <c r="M15" s="50"/>
      <c r="N15" s="50"/>
      <c r="O15" s="50" t="str">
        <f>+B15</f>
        <v>DPCHRNW1</v>
      </c>
      <c r="P15" s="232" t="s">
        <v>228</v>
      </c>
      <c r="Q15" s="228" t="s">
        <v>97</v>
      </c>
      <c r="R15" s="228" t="s">
        <v>210</v>
      </c>
      <c r="S15" s="50"/>
      <c r="T15" s="50"/>
      <c r="U15" s="50"/>
    </row>
    <row r="16" spans="2:21" x14ac:dyDescent="0.25">
      <c r="B16" s="220" t="s">
        <v>233</v>
      </c>
      <c r="C16" s="220" t="s">
        <v>232</v>
      </c>
      <c r="D16" s="48" t="str">
        <f>+Demands!$C$13</f>
        <v>DPCH</v>
      </c>
      <c r="F16" s="156">
        <v>1.1000000000000001</v>
      </c>
      <c r="G16" s="156">
        <v>0.95</v>
      </c>
      <c r="H16" s="50">
        <v>16</v>
      </c>
      <c r="I16" s="156">
        <v>0.2</v>
      </c>
      <c r="J16" s="50">
        <v>20</v>
      </c>
      <c r="K16" s="50">
        <v>2020</v>
      </c>
      <c r="M16" s="50"/>
      <c r="N16" s="50"/>
      <c r="O16" s="50" t="str">
        <f>+B16</f>
        <v>DPCH_H2</v>
      </c>
      <c r="P16" s="232" t="s">
        <v>234</v>
      </c>
      <c r="Q16" s="228" t="s">
        <v>97</v>
      </c>
      <c r="R16" s="228" t="s">
        <v>210</v>
      </c>
      <c r="S16" s="50"/>
      <c r="T16" s="50"/>
      <c r="U16" s="50"/>
    </row>
    <row r="17" spans="2:21" x14ac:dyDescent="0.25">
      <c r="F17" s="50"/>
      <c r="G17" s="50"/>
      <c r="H17" s="50"/>
      <c r="I17" s="50"/>
      <c r="J17" s="50"/>
      <c r="K17" s="50"/>
      <c r="M17" s="50"/>
      <c r="N17" s="50"/>
      <c r="O17" s="50"/>
      <c r="P17" s="50"/>
      <c r="Q17" s="50"/>
      <c r="R17" s="50"/>
      <c r="S17" s="50"/>
      <c r="T17" s="50"/>
      <c r="U17" s="50"/>
    </row>
    <row r="18" spans="2:21" x14ac:dyDescent="0.25">
      <c r="I18" s="130"/>
      <c r="M18" s="50"/>
      <c r="N18" s="50"/>
      <c r="O18" s="50"/>
      <c r="P18" s="50"/>
      <c r="Q18" s="50"/>
      <c r="R18" s="50"/>
      <c r="S18" s="50"/>
      <c r="T18" s="50"/>
      <c r="U18" s="50"/>
    </row>
    <row r="19" spans="2:21" x14ac:dyDescent="0.25">
      <c r="I19" s="130"/>
      <c r="M19" s="50"/>
      <c r="N19" s="50"/>
      <c r="O19" s="50"/>
      <c r="P19" s="50"/>
      <c r="Q19" s="50"/>
      <c r="R19" s="50"/>
      <c r="S19" s="50"/>
      <c r="T19" s="50"/>
      <c r="U19" s="50"/>
    </row>
    <row r="20" spans="2:21" x14ac:dyDescent="0.25">
      <c r="M20" s="50"/>
      <c r="N20" s="50"/>
      <c r="O20" s="50"/>
      <c r="P20" s="50"/>
      <c r="Q20" s="50"/>
      <c r="R20" s="50"/>
      <c r="S20" s="50"/>
      <c r="T20" s="50"/>
      <c r="U20" s="50"/>
    </row>
    <row r="21" spans="2:21" x14ac:dyDescent="0.25">
      <c r="M21" s="50"/>
      <c r="N21" s="50"/>
      <c r="O21" s="50"/>
      <c r="P21" s="50"/>
      <c r="Q21" s="50"/>
      <c r="R21" s="50"/>
      <c r="S21" s="50"/>
      <c r="T21" s="50"/>
      <c r="U21" s="50"/>
    </row>
    <row r="22" spans="2:21" x14ac:dyDescent="0.25">
      <c r="M22" s="50"/>
      <c r="N22" s="50"/>
      <c r="O22" s="50"/>
      <c r="P22" s="50"/>
      <c r="Q22" s="50"/>
      <c r="R22" s="50"/>
      <c r="S22" s="50"/>
      <c r="T22" s="50"/>
      <c r="U22" s="50"/>
    </row>
    <row r="23" spans="2:21" x14ac:dyDescent="0.25">
      <c r="B23" s="119"/>
      <c r="C23" s="49" t="s">
        <v>181</v>
      </c>
    </row>
    <row r="24" spans="2:21" x14ac:dyDescent="0.25">
      <c r="B24" s="159"/>
      <c r="C24" s="49" t="s">
        <v>182</v>
      </c>
    </row>
    <row r="25" spans="2:21" x14ac:dyDescent="0.25">
      <c r="L25" s="49"/>
    </row>
    <row r="26" spans="2:21" x14ac:dyDescent="0.25">
      <c r="L26" s="49"/>
    </row>
    <row r="27" spans="2:21" x14ac:dyDescent="0.25">
      <c r="L27" s="49"/>
    </row>
    <row r="28" spans="2:21" x14ac:dyDescent="0.25">
      <c r="L28" s="49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8"/>
  <sheetViews>
    <sheetView zoomScaleNormal="100" workbookViewId="0">
      <selection activeCell="C12" sqref="C12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3.6640625" style="48" customWidth="1"/>
    <col min="6" max="6" width="13.109375" style="48" bestFit="1" customWidth="1"/>
    <col min="7" max="7" width="7.88671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5546875" style="48" customWidth="1"/>
    <col min="17" max="17" width="11.6640625" style="48" customWidth="1"/>
    <col min="18" max="18" width="13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0" ht="31.2" x14ac:dyDescent="0.3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G3" s="50"/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B2&amp;EnergyBalance!D2</f>
        <v>TPSCOA</v>
      </c>
      <c r="O5" s="211" t="str">
        <f>LEFT($D$2,6)&amp;" "&amp;$C$2&amp;" - "&amp;EnergyBalance!D2</f>
        <v>Demand Total Primary Supply - COA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DTPSCOA</v>
      </c>
      <c r="C12" s="48" t="str">
        <f>RIGHT(B12,3)</f>
        <v>COA</v>
      </c>
      <c r="D12" s="48" t="str">
        <f>$N$5</f>
        <v>TPSCOA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DTPSCOA</v>
      </c>
      <c r="O12" s="213" t="str">
        <f>$D$2&amp;" "&amp;$C$2&amp;" - "&amp;EnergyBalance!D2</f>
        <v>Demand Technology Total Primary Supply - COA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H12" sqref="H12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2.33203125" style="48" customWidth="1"/>
    <col min="6" max="6" width="12.109375" style="48" bestFit="1" customWidth="1"/>
    <col min="7" max="7" width="7.5546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44140625" style="48" customWidth="1"/>
    <col min="17" max="17" width="11.6640625" style="48" customWidth="1"/>
    <col min="18" max="18" width="14.33203125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</row>
    <row r="2" spans="2:20" ht="31.2" x14ac:dyDescent="0.3">
      <c r="B2" s="19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B2&amp;EnergyBalance!K2</f>
        <v>TPSELC</v>
      </c>
      <c r="O5" s="211" t="str">
        <f>LEFT($D$2,6)&amp;" "&amp;$C$2&amp;" - "&amp;EnergyBalance!K2</f>
        <v>Demand Total Primary Supply - ELC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DTPSELC</v>
      </c>
      <c r="C12" s="48" t="str">
        <f>RIGHT(B12,3)</f>
        <v>ELC</v>
      </c>
      <c r="D12" s="48" t="str">
        <f>$N$5</f>
        <v>TPSELC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DTPSELC</v>
      </c>
      <c r="O12" s="213" t="str">
        <f>$D$2&amp;" "&amp;$C$2&amp;" - "&amp;EnergyBalance!K2</f>
        <v>Demand Technology Total Primary Supply - ELC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115" zoomScaleNormal="115" workbookViewId="0">
      <selection activeCell="F12" sqref="F12"/>
    </sheetView>
  </sheetViews>
  <sheetFormatPr defaultColWidth="8.77734375" defaultRowHeight="13.2" x14ac:dyDescent="0.25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6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" t="s">
        <v>175</v>
      </c>
      <c r="H1" s="16" t="s">
        <v>126</v>
      </c>
      <c r="I1" s="16" t="s">
        <v>188</v>
      </c>
    </row>
    <row r="2" spans="2:22" ht="31.2" x14ac:dyDescent="0.3">
      <c r="B2" s="19" t="str">
        <f>EnergyBalance!B20</f>
        <v>TRA</v>
      </c>
      <c r="C2" s="19" t="str">
        <f>EnergyBalance!C20</f>
        <v>Transport</v>
      </c>
      <c r="D2" s="33" t="s">
        <v>147</v>
      </c>
      <c r="E2" s="19" t="str">
        <f>EnergyBalance!R2</f>
        <v>PJ</v>
      </c>
      <c r="F2" s="19" t="str">
        <f>EnergyBalance!Q2</f>
        <v>M€2005</v>
      </c>
      <c r="G2" s="65" t="s">
        <v>176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L4" s="56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L5" s="56"/>
      <c r="N5" s="200" t="s">
        <v>105</v>
      </c>
      <c r="O5" s="201"/>
      <c r="P5" s="200" t="str">
        <f>LEFT($N$5,1)&amp;LEFT($B$2,1)&amp;EnergyBalance!$C$43</f>
        <v>DTD1</v>
      </c>
      <c r="Q5" s="200" t="str">
        <f>LEFT($D$2,6)&amp;" "&amp;$C$2&amp; " Sector - "&amp;EnergyBalance!$N$43</f>
        <v>Demand Transport Sector - Demand 1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TRACO2</v>
      </c>
      <c r="Q6" s="202" t="str">
        <f>$C$2&amp;" "&amp;EnergyBalance!$C$47</f>
        <v>Transport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L8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200" t="s">
        <v>123</v>
      </c>
      <c r="O11" s="201"/>
      <c r="P11" s="201" t="str">
        <f>LEFT($B$2)&amp;EnergyBalance!$C$42&amp;$H$2&amp;EnergyBalance!F2</f>
        <v>TOTEOIL</v>
      </c>
      <c r="Q11" s="205" t="str">
        <f>$D$2&amp;" "&amp;$C$2&amp; " Sector - "&amp;" "&amp;$H$1&amp;" "&amp;EnergyBalance!$N$40&amp;" - "&amp;EnergyBalance!$F$3</f>
        <v>Demand Technologies Transport Sector -  Existing  - Crude Oil</v>
      </c>
      <c r="R11" s="201" t="str">
        <f>$E$2</f>
        <v>PJ</v>
      </c>
      <c r="S11" s="201" t="str">
        <f>$E$2&amp;"a"</f>
        <v>PJa</v>
      </c>
      <c r="T11" s="201"/>
      <c r="U11" s="201"/>
      <c r="V11" s="201"/>
    </row>
    <row r="12" spans="2:22" x14ac:dyDescent="0.25">
      <c r="B12" t="str">
        <f>P11</f>
        <v>TOTEOIL</v>
      </c>
      <c r="C12" t="str">
        <f>$B$2&amp;RIGHT(B12,3)</f>
        <v>TRAOIL</v>
      </c>
      <c r="D12" t="str">
        <f>$P$5</f>
        <v>DTD1</v>
      </c>
      <c r="E12" s="110">
        <f>EnergyBalance!F20/G12*1.01</f>
        <v>16666.401655555557</v>
      </c>
      <c r="F12" s="114">
        <v>1</v>
      </c>
      <c r="G12" s="114">
        <v>0.9</v>
      </c>
      <c r="H12" s="76"/>
      <c r="I12" s="114">
        <v>0.2</v>
      </c>
      <c r="J12" s="76">
        <v>10</v>
      </c>
      <c r="L12"/>
      <c r="N12" s="202"/>
      <c r="O12" s="202"/>
      <c r="P12" s="201" t="str">
        <f>LEFT($B$2)&amp;EnergyBalance!$C$42&amp;$I$2&amp;EnergyBalance!F2</f>
        <v>TOTNOIL</v>
      </c>
      <c r="Q12" s="205" t="str">
        <f>$D$2&amp;" "&amp;$C$2&amp; " Sector - "&amp;" "&amp;$I$1&amp;" "&amp;EnergyBalance!$N$40&amp;" - "&amp;EnergyBalance!$F$3</f>
        <v>Demand Technologies Transport Sector -  New  - Crude Oil</v>
      </c>
      <c r="R12" s="201" t="str">
        <f>$E$2</f>
        <v>PJ</v>
      </c>
      <c r="S12" s="201" t="str">
        <f>$E$2&amp;"a"</f>
        <v>PJa</v>
      </c>
      <c r="T12" s="202"/>
      <c r="U12" s="202"/>
      <c r="V12" s="202"/>
    </row>
    <row r="13" spans="2:22" x14ac:dyDescent="0.25">
      <c r="D13" t="str">
        <f>$P$6</f>
        <v>TRACO2</v>
      </c>
      <c r="E13" s="13"/>
      <c r="F13" s="27"/>
      <c r="G13" s="27"/>
      <c r="I13" s="27"/>
      <c r="L13" s="190">
        <f>65/F12</f>
        <v>65</v>
      </c>
      <c r="N13" s="9"/>
      <c r="O13" s="9"/>
      <c r="P13" s="9"/>
      <c r="Q13" s="34"/>
      <c r="R13" s="15"/>
      <c r="S13" s="15"/>
      <c r="T13" s="9"/>
      <c r="U13" s="15"/>
      <c r="V13" s="9"/>
    </row>
    <row r="14" spans="2:22" x14ac:dyDescent="0.25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1"/>
      <c r="F14" s="117">
        <v>1.1000000000000001</v>
      </c>
      <c r="G14" s="117">
        <v>0.9</v>
      </c>
      <c r="H14" s="136">
        <v>10</v>
      </c>
      <c r="I14" s="117">
        <f>H14*0.02</f>
        <v>0.2</v>
      </c>
      <c r="J14" s="136">
        <v>15</v>
      </c>
      <c r="K14" s="118">
        <v>2006</v>
      </c>
      <c r="L14" s="191"/>
      <c r="N14" s="9"/>
      <c r="O14" s="9"/>
      <c r="P14" s="9"/>
      <c r="Q14" s="34"/>
      <c r="R14" s="15"/>
      <c r="S14" s="15"/>
      <c r="T14" s="9"/>
      <c r="U14" s="15"/>
      <c r="V14" s="9"/>
    </row>
    <row r="15" spans="2:22" x14ac:dyDescent="0.25">
      <c r="B15" s="11"/>
      <c r="D15" t="str">
        <f>$P$6</f>
        <v>TRACO2</v>
      </c>
      <c r="E15" s="31"/>
      <c r="F15" s="32"/>
      <c r="G15" s="32"/>
      <c r="H15" s="11"/>
      <c r="I15" s="32"/>
      <c r="J15" s="11"/>
      <c r="K15" s="31"/>
      <c r="L15" s="189">
        <f>65/F14</f>
        <v>59.090909090909086</v>
      </c>
      <c r="N15" s="9"/>
      <c r="O15" s="9"/>
      <c r="P15" s="9"/>
      <c r="Q15" s="34"/>
      <c r="R15" s="15"/>
      <c r="S15" s="15"/>
      <c r="T15" s="9"/>
      <c r="U15" s="15"/>
      <c r="V15" s="9"/>
    </row>
    <row r="16" spans="2:22" x14ac:dyDescent="0.25">
      <c r="L16"/>
    </row>
    <row r="17" spans="1:22" x14ac:dyDescent="0.25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N21" s="9"/>
      <c r="O21" s="9"/>
      <c r="P21" s="9"/>
      <c r="Q21" s="9"/>
      <c r="R21" s="9"/>
      <c r="S21" s="9"/>
      <c r="T21" s="9"/>
      <c r="U21" s="9"/>
      <c r="V21" s="9"/>
    </row>
    <row r="23" spans="1:22" x14ac:dyDescent="0.25">
      <c r="B23" s="76"/>
      <c r="C23" s="1" t="s">
        <v>181</v>
      </c>
      <c r="K23" s="1"/>
      <c r="L23" s="14"/>
    </row>
    <row r="24" spans="1:22" x14ac:dyDescent="0.25">
      <c r="B24" s="111"/>
      <c r="C24" s="1" t="s">
        <v>182</v>
      </c>
      <c r="K24" s="1"/>
      <c r="L24" s="14"/>
      <c r="M24" s="1"/>
    </row>
    <row r="25" spans="1:22" x14ac:dyDescent="0.25">
      <c r="A25" s="11"/>
      <c r="K25" s="1"/>
      <c r="L25" s="14"/>
      <c r="M25" s="1"/>
    </row>
    <row r="26" spans="1:22" s="11" customFormat="1" x14ac:dyDescent="0.25">
      <c r="A26"/>
      <c r="B26"/>
      <c r="C26"/>
      <c r="D26"/>
      <c r="E26"/>
      <c r="F26"/>
      <c r="G26"/>
      <c r="H26"/>
      <c r="I26"/>
      <c r="J26"/>
      <c r="K26" s="1"/>
      <c r="L26" s="14"/>
      <c r="M26" s="1"/>
      <c r="N26"/>
      <c r="O26"/>
      <c r="P26"/>
      <c r="Q26"/>
      <c r="R26"/>
      <c r="S26"/>
      <c r="T26"/>
      <c r="U26"/>
      <c r="V26"/>
    </row>
    <row r="27" spans="1:22" x14ac:dyDescent="0.25">
      <c r="E27" s="1"/>
      <c r="M27" s="1"/>
    </row>
    <row r="28" spans="1:22" x14ac:dyDescent="0.25">
      <c r="E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A2" zoomScale="130" zoomScaleNormal="130" workbookViewId="0">
      <selection activeCell="D8" sqref="D8"/>
    </sheetView>
  </sheetViews>
  <sheetFormatPr defaultColWidth="8.77734375" defaultRowHeight="13.2" x14ac:dyDescent="0.25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  <c r="I1" s="16" t="s">
        <v>188</v>
      </c>
    </row>
    <row r="2" spans="2:22" ht="31.2" x14ac:dyDescent="0.3">
      <c r="B2" s="19" t="str">
        <f>EnergyBalance!B16</f>
        <v>RSD</v>
      </c>
      <c r="C2" s="19" t="str">
        <f>EnergyBalance!C16</f>
        <v>Residential</v>
      </c>
      <c r="D2" s="33" t="str">
        <f>"Demand Technologies"</f>
        <v>Demand Technologies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N5" s="200" t="s">
        <v>105</v>
      </c>
      <c r="O5" s="201"/>
      <c r="P5" s="200" t="str">
        <f>LEFT($N$5,1)&amp;LEFT(B2,1)&amp;EnergyBalance!$C$42</f>
        <v>DROT</v>
      </c>
      <c r="Q5" s="200" t="str">
        <f>LEFT($D$2,6)&amp;" "&amp;$C$2&amp; " Sector - "&amp;EnergyBalance!$N$42</f>
        <v>Demand Residential Sector - Other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RSDCO2</v>
      </c>
      <c r="Q6" s="202" t="str">
        <f>$C$2&amp;" "&amp;EnergyBalance!$C$47</f>
        <v>Residential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199" t="s">
        <v>103</v>
      </c>
      <c r="O11" s="199"/>
      <c r="P11" s="199"/>
      <c r="Q11" s="199"/>
      <c r="R11" s="199"/>
      <c r="S11" s="199"/>
      <c r="T11" s="199"/>
      <c r="U11" s="199"/>
      <c r="V11" s="199"/>
    </row>
    <row r="12" spans="2:22" x14ac:dyDescent="0.25">
      <c r="B12" t="str">
        <f>P12</f>
        <v>ROTEGAS</v>
      </c>
      <c r="C12" t="str">
        <f>$B$2&amp;RIGHT(B12,3)</f>
        <v>RSDGAS</v>
      </c>
      <c r="D12" t="str">
        <f>$P$5</f>
        <v>DROT</v>
      </c>
      <c r="E12" s="110">
        <f>EnergyBalance!E16/$G$12*1.01</f>
        <v>5485.6746631578944</v>
      </c>
      <c r="F12" s="114">
        <v>1</v>
      </c>
      <c r="G12" s="114">
        <v>0.95</v>
      </c>
      <c r="H12" s="76"/>
      <c r="I12" s="114">
        <v>0.24</v>
      </c>
      <c r="J12" s="76">
        <v>10</v>
      </c>
      <c r="N12" s="200" t="s">
        <v>123</v>
      </c>
      <c r="O12" s="201"/>
      <c r="P12" s="201" t="str">
        <f>LEFT(EnergyBalance!$B$16)&amp;EnergyBalance!$C$42&amp;$H$2&amp;EnergyBalance!E2</f>
        <v>ROTEGAS</v>
      </c>
      <c r="Q12" s="205" t="str">
        <f>$D$2&amp;" "&amp;$C$2&amp; " Sector - "&amp;" "&amp;$H$1&amp;" "&amp;EnergyBalance!$N$42&amp;" - "&amp;EnergyBalance!$E$3</f>
        <v>Demand Technologies Residential Sector -  Existing Other - Natural Gas</v>
      </c>
      <c r="R12" s="201" t="str">
        <f>$E$2</f>
        <v>PJ</v>
      </c>
      <c r="S12" s="201" t="str">
        <f>$E$2&amp;"a"</f>
        <v>PJa</v>
      </c>
      <c r="T12" s="201"/>
      <c r="U12" s="201"/>
      <c r="V12" s="201"/>
    </row>
    <row r="13" spans="2:22" x14ac:dyDescent="0.25">
      <c r="D13" t="str">
        <f>$P$6</f>
        <v>RSDCO2</v>
      </c>
      <c r="E13" s="13"/>
      <c r="F13" s="27"/>
      <c r="G13" s="27"/>
      <c r="I13" s="27"/>
      <c r="L13" s="76">
        <f>56.1/F12</f>
        <v>56.1</v>
      </c>
      <c r="N13" s="200"/>
      <c r="O13" s="201"/>
      <c r="P13" s="201" t="str">
        <f>LEFT(EnergyBalance!$B$16)&amp;EnergyBalance!$C$42&amp;$I$2&amp;EnergyBalance!E2</f>
        <v>ROTNGAS</v>
      </c>
      <c r="Q13" s="205" t="str">
        <f>$D$2&amp;" "&amp;$C$2&amp; " Sector - "&amp;" "&amp;$I$1&amp;" "&amp;EnergyBalance!$N$42&amp;" - "&amp;EnergyBalance!$E$3</f>
        <v>Demand Technologies Residential Sector -  New Other - Natural Gas</v>
      </c>
      <c r="R13" s="201" t="str">
        <f>$E$2</f>
        <v>PJ</v>
      </c>
      <c r="S13" s="201" t="str">
        <f>$E$2&amp;"a"</f>
        <v>PJa</v>
      </c>
      <c r="T13" s="201"/>
      <c r="U13" s="201"/>
      <c r="V13" s="201"/>
    </row>
    <row r="14" spans="2:22" x14ac:dyDescent="0.25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1"/>
      <c r="F14" s="117">
        <v>1.2</v>
      </c>
      <c r="G14" s="117">
        <v>0.95</v>
      </c>
      <c r="H14" s="136">
        <v>12</v>
      </c>
      <c r="I14" s="117">
        <f>H14*0.02</f>
        <v>0.24</v>
      </c>
      <c r="J14" s="136">
        <v>20</v>
      </c>
      <c r="K14" s="118">
        <v>2006</v>
      </c>
      <c r="N14" s="9"/>
      <c r="O14" s="9"/>
      <c r="P14" s="9"/>
      <c r="Q14" s="34"/>
      <c r="R14" s="9"/>
      <c r="S14" s="9"/>
      <c r="T14" s="9"/>
      <c r="U14" s="9"/>
      <c r="V14" s="9"/>
    </row>
    <row r="15" spans="2:22" x14ac:dyDescent="0.25">
      <c r="B15" s="11"/>
      <c r="D15" t="str">
        <f>$P$6</f>
        <v>RSDCO2</v>
      </c>
      <c r="E15" s="31"/>
      <c r="F15" s="32"/>
      <c r="G15" s="32"/>
      <c r="H15" s="11"/>
      <c r="I15" s="32"/>
      <c r="J15" s="11"/>
      <c r="K15" s="31"/>
      <c r="L15" s="189">
        <f>56.1/F14</f>
        <v>46.75</v>
      </c>
      <c r="N15" s="9"/>
      <c r="O15" s="9"/>
      <c r="P15" s="9"/>
      <c r="Q15" s="34"/>
      <c r="R15" s="9"/>
      <c r="S15" s="9"/>
      <c r="T15" s="9"/>
      <c r="U15" s="9"/>
      <c r="V15" s="9"/>
    </row>
    <row r="16" spans="2:22" x14ac:dyDescent="0.25"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25">
      <c r="N17" s="9"/>
      <c r="O17" s="9"/>
      <c r="P17" s="9"/>
      <c r="Q17" s="9"/>
      <c r="R17" s="9"/>
      <c r="S17" s="9"/>
      <c r="T17" s="9"/>
      <c r="U17" s="9"/>
      <c r="V17" s="9"/>
    </row>
    <row r="18" spans="2:22" x14ac:dyDescent="0.25">
      <c r="I18" s="24"/>
      <c r="N18" s="9"/>
      <c r="O18" s="9"/>
      <c r="P18" s="9"/>
      <c r="Q18" s="9"/>
      <c r="R18" s="9"/>
      <c r="S18" s="9"/>
      <c r="T18" s="9"/>
      <c r="U18" s="9"/>
      <c r="V18" s="9"/>
    </row>
    <row r="19" spans="2:22" x14ac:dyDescent="0.25">
      <c r="I19" s="24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25"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25"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25">
      <c r="N22" s="9"/>
      <c r="O22" s="9"/>
      <c r="P22" s="9"/>
      <c r="Q22" s="9"/>
      <c r="R22" s="9"/>
      <c r="S22" s="9"/>
      <c r="T22" s="9"/>
      <c r="U22" s="9"/>
      <c r="V22" s="9"/>
    </row>
    <row r="23" spans="2:22" x14ac:dyDescent="0.25">
      <c r="B23" s="76"/>
      <c r="C23" s="1" t="s">
        <v>181</v>
      </c>
    </row>
    <row r="24" spans="2:22" x14ac:dyDescent="0.25">
      <c r="B24" s="111"/>
      <c r="C24" s="1" t="s">
        <v>182</v>
      </c>
      <c r="K24" s="1"/>
    </row>
    <row r="25" spans="2:22" x14ac:dyDescent="0.25">
      <c r="K25" s="1"/>
      <c r="L25" s="1"/>
      <c r="M25" s="1"/>
    </row>
    <row r="26" spans="2:22" x14ac:dyDescent="0.25">
      <c r="K26" s="1"/>
      <c r="L26" s="1"/>
      <c r="M26" s="1"/>
    </row>
    <row r="27" spans="2:22" x14ac:dyDescent="0.25">
      <c r="K27" s="1"/>
      <c r="L27" s="1"/>
      <c r="M27" s="1"/>
    </row>
    <row r="28" spans="2:22" x14ac:dyDescent="0.25">
      <c r="L28" s="1"/>
      <c r="M28" s="1"/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K23"/>
  <sheetViews>
    <sheetView zoomScale="145" zoomScaleNormal="145" workbookViewId="0">
      <selection activeCell="G13" sqref="G13"/>
    </sheetView>
  </sheetViews>
  <sheetFormatPr defaultColWidth="8.77734375" defaultRowHeight="13.2" x14ac:dyDescent="0.25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1.6640625" bestFit="1" customWidth="1"/>
    <col min="6" max="9" width="11.33203125" customWidth="1"/>
    <col min="10" max="10" width="2" bestFit="1" customWidth="1"/>
    <col min="11" max="11" width="12.44140625" customWidth="1"/>
    <col min="12" max="12" width="11.44140625" bestFit="1" customWidth="1"/>
  </cols>
  <sheetData>
    <row r="1" spans="2:11" ht="14.4" x14ac:dyDescent="0.3">
      <c r="B1" s="16" t="s">
        <v>94</v>
      </c>
      <c r="C1" s="16" t="s">
        <v>95</v>
      </c>
      <c r="D1" s="16" t="s">
        <v>96</v>
      </c>
      <c r="E1" s="16" t="s">
        <v>98</v>
      </c>
      <c r="G1" s="16" t="s">
        <v>99</v>
      </c>
    </row>
    <row r="2" spans="2:11" ht="15.6" x14ac:dyDescent="0.3">
      <c r="B2" s="19" t="s">
        <v>105</v>
      </c>
      <c r="C2" s="19"/>
      <c r="D2" s="19"/>
      <c r="E2" s="19" t="str">
        <f>EnergyBalance!R2</f>
        <v>PJ</v>
      </c>
      <c r="G2" s="19" t="str">
        <f>EnergyBalance!Q2</f>
        <v>M€2005</v>
      </c>
    </row>
    <row r="5" spans="2:11" x14ac:dyDescent="0.25">
      <c r="C5" s="5" t="s">
        <v>13</v>
      </c>
      <c r="D5" s="5"/>
      <c r="E5" s="1"/>
    </row>
    <row r="6" spans="2:11" x14ac:dyDescent="0.25">
      <c r="B6" s="4" t="s">
        <v>102</v>
      </c>
      <c r="C6" s="4" t="s">
        <v>0</v>
      </c>
      <c r="D6" s="4" t="s">
        <v>177</v>
      </c>
      <c r="E6" s="149">
        <v>2005</v>
      </c>
      <c r="F6" s="149">
        <v>2006</v>
      </c>
      <c r="G6" s="149">
        <v>2010</v>
      </c>
      <c r="H6" s="149">
        <v>2015</v>
      </c>
      <c r="I6" s="149">
        <v>2020</v>
      </c>
    </row>
    <row r="7" spans="2:11" ht="21" x14ac:dyDescent="0.25">
      <c r="B7" s="26" t="s">
        <v>103</v>
      </c>
      <c r="C7" s="26" t="s">
        <v>104</v>
      </c>
      <c r="D7" s="26" t="s">
        <v>178</v>
      </c>
      <c r="E7" s="144" t="s">
        <v>36</v>
      </c>
      <c r="F7" s="144"/>
      <c r="G7" s="144"/>
      <c r="H7" s="144"/>
      <c r="I7" s="144"/>
      <c r="K7" s="122" t="s">
        <v>170</v>
      </c>
    </row>
    <row r="8" spans="2:11" ht="13.8" thickBot="1" x14ac:dyDescent="0.3">
      <c r="B8" s="25" t="s">
        <v>114</v>
      </c>
      <c r="C8" s="25"/>
      <c r="D8" s="25"/>
      <c r="E8" s="23" t="str">
        <f>E2</f>
        <v>PJ</v>
      </c>
      <c r="F8" s="23"/>
      <c r="G8" s="23"/>
      <c r="H8" s="23"/>
      <c r="I8" s="23"/>
      <c r="K8" s="123"/>
    </row>
    <row r="9" spans="2:11" x14ac:dyDescent="0.25">
      <c r="B9" s="59" t="s">
        <v>35</v>
      </c>
      <c r="C9" s="59" t="str">
        <f>DemTechs_TPS!N5</f>
        <v>TPSCOA</v>
      </c>
      <c r="D9" s="59" t="s">
        <v>97</v>
      </c>
      <c r="E9" s="150">
        <f>EnergyBalance!D24</f>
        <v>3596.8059999999982</v>
      </c>
      <c r="F9" s="151"/>
      <c r="G9" s="151"/>
      <c r="H9" s="151"/>
      <c r="I9" s="151"/>
      <c r="K9" s="116"/>
    </row>
    <row r="10" spans="2:11" x14ac:dyDescent="0.25">
      <c r="B10" s="11" t="s">
        <v>35</v>
      </c>
      <c r="C10" s="11" t="str">
        <f>DemTechs_RSD!$P$5</f>
        <v>DROT</v>
      </c>
      <c r="D10" s="41" t="s">
        <v>97</v>
      </c>
      <c r="E10" s="110">
        <f>EnergyBalance!E16</f>
        <v>5159.7929999999997</v>
      </c>
      <c r="F10" s="152"/>
      <c r="G10" s="152"/>
      <c r="H10" s="152"/>
      <c r="I10" s="152"/>
      <c r="K10" s="118"/>
    </row>
    <row r="11" spans="2:11" x14ac:dyDescent="0.25">
      <c r="B11" s="11" t="s">
        <v>35</v>
      </c>
      <c r="C11" s="11" t="str">
        <f>DemTechs_TRA!$P$5</f>
        <v>DTD1</v>
      </c>
      <c r="D11" s="41" t="s">
        <v>97</v>
      </c>
      <c r="E11" s="110">
        <f>EnergyBalance!F20</f>
        <v>14851.249</v>
      </c>
      <c r="F11" s="129"/>
      <c r="G11" s="129"/>
      <c r="H11" s="129"/>
      <c r="I11" s="129"/>
      <c r="K11" s="124"/>
    </row>
    <row r="12" spans="2:11" x14ac:dyDescent="0.25">
      <c r="B12" s="45" t="s">
        <v>35</v>
      </c>
      <c r="C12" s="45" t="str">
        <f>DemTechs_ELC!N5</f>
        <v>TPSELC</v>
      </c>
      <c r="D12" s="60" t="s">
        <v>97</v>
      </c>
      <c r="E12" s="153">
        <f>EnergyBalance!K24</f>
        <v>10422.934999999999</v>
      </c>
      <c r="F12" s="153">
        <f>$E$12*(1+$K$12)^(F6-$E$6)</f>
        <v>10527.164349999999</v>
      </c>
      <c r="G12" s="153">
        <f>$E$12*(1+$K$12)^(G6-$E$6)</f>
        <v>10954.609436539042</v>
      </c>
      <c r="H12" s="153">
        <f>$E$12*(1+$K$12)^(H6-$E$6)</f>
        <v>11513.404612722834</v>
      </c>
      <c r="I12" s="153">
        <f>$E$12*(1+$K$12)^(I6-$E$6)</f>
        <v>12100.703958839395</v>
      </c>
      <c r="K12" s="125">
        <v>0.01</v>
      </c>
    </row>
    <row r="13" spans="2:11" x14ac:dyDescent="0.25">
      <c r="B13" s="221" t="s">
        <v>35</v>
      </c>
      <c r="C13" s="217" t="s">
        <v>214</v>
      </c>
      <c r="D13" s="222" t="s">
        <v>97</v>
      </c>
      <c r="E13">
        <v>0</v>
      </c>
      <c r="F13">
        <v>0</v>
      </c>
      <c r="G13">
        <v>1000</v>
      </c>
      <c r="H13">
        <v>1100</v>
      </c>
      <c r="I13">
        <v>1200</v>
      </c>
    </row>
    <row r="14" spans="2:11" x14ac:dyDescent="0.25">
      <c r="E14" s="54"/>
    </row>
    <row r="15" spans="2:11" x14ac:dyDescent="0.25">
      <c r="E15" s="13"/>
    </row>
    <row r="16" spans="2:11" x14ac:dyDescent="0.25">
      <c r="E16" s="13"/>
    </row>
    <row r="22" spans="2:3" x14ac:dyDescent="0.25">
      <c r="B22" s="76"/>
      <c r="C22" s="1" t="s">
        <v>181</v>
      </c>
    </row>
    <row r="23" spans="2:3" x14ac:dyDescent="0.25">
      <c r="B23" s="111"/>
      <c r="C23" s="1" t="s">
        <v>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49"/>
  <sheetViews>
    <sheetView topLeftCell="A33" zoomScale="115" zoomScaleNormal="115" workbookViewId="0">
      <selection activeCell="J53" sqref="J53"/>
    </sheetView>
  </sheetViews>
  <sheetFormatPr defaultColWidth="8.77734375"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1" max="21" width="5.44140625" customWidth="1"/>
  </cols>
  <sheetData>
    <row r="2" spans="2:15" ht="17.399999999999999" x14ac:dyDescent="0.3">
      <c r="B2" s="126" t="s">
        <v>200</v>
      </c>
      <c r="K2" s="126"/>
    </row>
    <row r="3" spans="2:15" ht="17.399999999999999" x14ac:dyDescent="0.3">
      <c r="K3" s="126"/>
    </row>
    <row r="4" spans="2:15" ht="17.399999999999999" x14ac:dyDescent="0.3">
      <c r="B4" s="126" t="s">
        <v>183</v>
      </c>
    </row>
    <row r="6" spans="2:15" x14ac:dyDescent="0.25">
      <c r="B6" s="46" t="s">
        <v>197</v>
      </c>
    </row>
    <row r="11" spans="2:15" x14ac:dyDescent="0.25">
      <c r="M11" s="128"/>
      <c r="N11" s="128"/>
      <c r="O11" s="9"/>
    </row>
    <row r="12" spans="2:15" x14ac:dyDescent="0.25">
      <c r="M12" s="9"/>
      <c r="N12" s="15"/>
      <c r="O12" s="9"/>
    </row>
    <row r="13" spans="2:15" x14ac:dyDescent="0.25">
      <c r="M13" s="9"/>
      <c r="N13" s="15"/>
      <c r="O13" s="9"/>
    </row>
    <row r="14" spans="2:15" x14ac:dyDescent="0.25">
      <c r="M14" s="9"/>
      <c r="N14" s="15"/>
      <c r="O14" s="9"/>
    </row>
    <row r="15" spans="2:15" ht="17.399999999999999" x14ac:dyDescent="0.3">
      <c r="B15" s="126" t="s">
        <v>201</v>
      </c>
      <c r="M15" s="9"/>
      <c r="N15" s="9"/>
      <c r="O15" s="9"/>
    </row>
    <row r="17" spans="4:23" x14ac:dyDescent="0.25">
      <c r="D17" s="127" t="s">
        <v>184</v>
      </c>
      <c r="E17" s="127"/>
      <c r="F17" s="127"/>
      <c r="G17" s="127"/>
      <c r="H17" s="127"/>
      <c r="I17" s="127"/>
      <c r="L17" s="127" t="s">
        <v>185</v>
      </c>
      <c r="M17" s="127"/>
      <c r="N17" s="127"/>
      <c r="O17" s="127"/>
      <c r="T17" s="127" t="s">
        <v>186</v>
      </c>
      <c r="U17" s="127"/>
      <c r="V17" s="127"/>
      <c r="W17" s="127"/>
    </row>
    <row r="33" spans="2:2" x14ac:dyDescent="0.25">
      <c r="B33" s="185"/>
    </row>
    <row r="34" spans="2:2" x14ac:dyDescent="0.25">
      <c r="B34" t="s">
        <v>198</v>
      </c>
    </row>
    <row r="49" spans="20:21" x14ac:dyDescent="0.25">
      <c r="T49" s="9"/>
      <c r="U49" s="9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tabSelected="1" topLeftCell="A7" zoomScaleNormal="100" workbookViewId="0">
      <selection activeCell="H13" sqref="H13"/>
    </sheetView>
  </sheetViews>
  <sheetFormatPr defaultColWidth="8.77734375" defaultRowHeight="13.2" x14ac:dyDescent="0.25"/>
  <cols>
    <col min="1" max="1" width="2" bestFit="1" customWidth="1"/>
    <col min="2" max="2" width="11.554687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3.6640625" customWidth="1"/>
    <col min="8" max="8" width="7.6640625" bestFit="1" customWidth="1"/>
    <col min="9" max="9" width="13.6640625" bestFit="1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14.4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EnergyBalance!D2</f>
        <v>COA</v>
      </c>
      <c r="D2" s="19" t="str">
        <f>EnergyBalance!D3</f>
        <v>Solid Fuels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COA</v>
      </c>
      <c r="N5" s="200" t="str">
        <f>D2</f>
        <v>Solid Fuels</v>
      </c>
      <c r="O5" s="200" t="str">
        <f>$E$2</f>
        <v>PJ</v>
      </c>
      <c r="P5" s="200"/>
      <c r="Q5" s="200"/>
      <c r="R5" s="200"/>
      <c r="S5" s="200"/>
    </row>
    <row r="6" spans="1:20" x14ac:dyDescent="0.25">
      <c r="K6" s="15"/>
      <c r="L6" s="9"/>
      <c r="M6" s="15"/>
      <c r="N6" s="15"/>
      <c r="O6" s="15"/>
      <c r="P6" s="15"/>
      <c r="Q6" s="15"/>
      <c r="R6" s="15"/>
      <c r="S6" s="15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ht="21.6" thickBot="1" x14ac:dyDescent="0.3">
      <c r="B9" s="25" t="s">
        <v>42</v>
      </c>
      <c r="C9" s="25" t="s">
        <v>32</v>
      </c>
      <c r="D9" s="25" t="s">
        <v>33</v>
      </c>
      <c r="E9" s="25"/>
      <c r="F9" s="161"/>
      <c r="G9" s="161" t="s">
        <v>39</v>
      </c>
      <c r="H9" s="161" t="s">
        <v>117</v>
      </c>
      <c r="I9" s="161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x14ac:dyDescent="0.25">
      <c r="B11" s="15" t="str">
        <f>M11</f>
        <v>MINCOA1</v>
      </c>
      <c r="C11" s="15"/>
      <c r="D11" s="15" t="str">
        <f>$M$5</f>
        <v>COA</v>
      </c>
      <c r="E11" s="15">
        <v>2005</v>
      </c>
      <c r="F11" s="15"/>
      <c r="G11" s="113">
        <v>80000</v>
      </c>
      <c r="H11" s="115">
        <v>15</v>
      </c>
      <c r="I11" s="109">
        <f>EnergyBalance!$D$5*EnergyBalance!D37*1.1</f>
        <v>6681.1453500000007</v>
      </c>
      <c r="J11" s="9"/>
      <c r="K11" s="200" t="str">
        <f>EnergyBalance!$B$5</f>
        <v>MIN</v>
      </c>
      <c r="L11" s="201"/>
      <c r="M11" s="201" t="str">
        <f>$K$11&amp;$C$2&amp;1</f>
        <v>MINCOA1</v>
      </c>
      <c r="N11" s="204" t="str">
        <f>"Domestic Supply of "&amp;$D$2&amp; " Step "&amp;RIGHT(M11,1)</f>
        <v>Domestic Supply of Solid Fuels Step 1</v>
      </c>
      <c r="O11" s="201" t="str">
        <f>$E$2</f>
        <v>PJ</v>
      </c>
      <c r="P11" s="201"/>
      <c r="Q11" s="201"/>
      <c r="R11" s="201"/>
      <c r="S11" s="201"/>
    </row>
    <row r="12" spans="1:20" s="9" customFormat="1" x14ac:dyDescent="0.25">
      <c r="A12"/>
      <c r="B12" s="15"/>
      <c r="C12" s="15"/>
      <c r="D12" s="15"/>
      <c r="E12" s="9">
        <v>0</v>
      </c>
      <c r="F12" s="15"/>
      <c r="G12" s="20"/>
      <c r="H12" s="44"/>
      <c r="I12" s="177">
        <v>5</v>
      </c>
      <c r="K12" s="201"/>
      <c r="L12" s="201"/>
      <c r="M12" s="201" t="str">
        <f>$K$11&amp;$C$2&amp;2</f>
        <v>MINCOA2</v>
      </c>
      <c r="N12" s="204" t="str">
        <f>"Domestic Supply of "&amp;$D$2&amp; " Step "&amp;RIGHT(M12,1)</f>
        <v>Domestic Supply of Solid Fuels Step 2</v>
      </c>
      <c r="O12" s="201" t="str">
        <f>$E$2</f>
        <v>PJ</v>
      </c>
      <c r="P12" s="201"/>
      <c r="Q12" s="201"/>
      <c r="R12" s="201"/>
      <c r="S12" s="201"/>
    </row>
    <row r="13" spans="1:20" s="9" customFormat="1" x14ac:dyDescent="0.25">
      <c r="B13" s="15" t="str">
        <f>M12</f>
        <v>MINCOA2</v>
      </c>
      <c r="C13" s="15"/>
      <c r="D13" s="15" t="str">
        <f>$M$5</f>
        <v>COA</v>
      </c>
      <c r="E13" s="15">
        <v>2005</v>
      </c>
      <c r="F13" s="15"/>
      <c r="G13" s="113">
        <v>160000</v>
      </c>
      <c r="H13" s="115">
        <v>15</v>
      </c>
      <c r="I13" s="109">
        <f>EnergyBalance!$D$5*EnergyBalance!D38</f>
        <v>2024.5895</v>
      </c>
      <c r="K13" s="201"/>
      <c r="L13" s="201"/>
      <c r="M13" s="201" t="str">
        <f>$K$11&amp;$C$2&amp;3</f>
        <v>MINCOA3</v>
      </c>
      <c r="N13" s="204" t="str">
        <f>"Domestic Supply of "&amp;$D$2&amp; " Step "&amp;RIGHT(M13,1)</f>
        <v>Domestic Supply of Solid Fuels Step 3</v>
      </c>
      <c r="O13" s="201" t="str">
        <f>$E$2</f>
        <v>PJ</v>
      </c>
      <c r="P13" s="201"/>
      <c r="Q13" s="201"/>
      <c r="R13" s="201"/>
      <c r="S13" s="201"/>
    </row>
    <row r="14" spans="1:20" s="9" customFormat="1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K14" s="201" t="str">
        <f>EnergyBalance!$B$6</f>
        <v>IMP</v>
      </c>
      <c r="L14" s="201"/>
      <c r="M14" s="201" t="str">
        <f>$K$14&amp;$C$2&amp;1</f>
        <v>IMPCOA1</v>
      </c>
      <c r="N14" s="204" t="str">
        <f>"Import of "&amp;$D$2&amp; " Step "&amp;RIGHT(M14,1)</f>
        <v>Import of Solid Fuels Step 1</v>
      </c>
      <c r="O14" s="201" t="str">
        <f>$E$2</f>
        <v>PJ</v>
      </c>
      <c r="P14" s="201"/>
      <c r="Q14" s="201"/>
      <c r="R14" s="201"/>
      <c r="S14" s="201"/>
    </row>
    <row r="15" spans="1:20" x14ac:dyDescent="0.25">
      <c r="A15" s="9"/>
      <c r="B15" s="15" t="str">
        <f>M13</f>
        <v>MINCOA3</v>
      </c>
      <c r="C15" s="15"/>
      <c r="D15" s="15" t="str">
        <f>$M$5</f>
        <v>COA</v>
      </c>
      <c r="E15" s="15"/>
      <c r="F15" s="15"/>
      <c r="G15" s="113">
        <v>320000</v>
      </c>
      <c r="H15" s="115">
        <v>10</v>
      </c>
      <c r="I15" s="177"/>
      <c r="J15" s="9"/>
      <c r="K15" s="201" t="str">
        <f>EnergyBalance!B7</f>
        <v>EXP</v>
      </c>
      <c r="L15" s="201"/>
      <c r="M15" s="201" t="str">
        <f>$K$15&amp;$C$2&amp;1</f>
        <v>EXPCOA1</v>
      </c>
      <c r="N15" s="204" t="str">
        <f>"Export of "&amp;$D$2&amp; " Step "&amp;RIGHT(M15,1)</f>
        <v>Export of Solid Fuels Step 1</v>
      </c>
      <c r="O15" s="201" t="str">
        <f>$E$2</f>
        <v>PJ</v>
      </c>
      <c r="P15" s="201"/>
      <c r="Q15" s="201"/>
      <c r="R15" s="201"/>
      <c r="S15" s="201"/>
      <c r="T15" s="9"/>
    </row>
    <row r="16" spans="1:20" x14ac:dyDescent="0.25">
      <c r="A16" s="9"/>
      <c r="B16" s="15" t="str">
        <f>M14</f>
        <v>IMPCOA1</v>
      </c>
      <c r="C16" s="15"/>
      <c r="D16" s="15" t="str">
        <f>$M$5</f>
        <v>COA</v>
      </c>
      <c r="E16" s="15"/>
      <c r="F16" s="15"/>
      <c r="G16" s="14"/>
      <c r="H16" s="115">
        <v>10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20" x14ac:dyDescent="0.25">
      <c r="B17" s="15" t="str">
        <f>M15</f>
        <v>EXPCOA1</v>
      </c>
      <c r="C17" s="15" t="str">
        <f>$M$5</f>
        <v>COA</v>
      </c>
      <c r="D17" s="15"/>
      <c r="E17" s="15">
        <v>2005</v>
      </c>
      <c r="F17" s="15" t="s">
        <v>191</v>
      </c>
      <c r="H17" s="115">
        <v>10</v>
      </c>
      <c r="I17" s="110">
        <f>-EnergyBalance!D7</f>
        <v>1147.069</v>
      </c>
      <c r="K17" s="9"/>
      <c r="L17" s="9"/>
      <c r="M17" s="9"/>
      <c r="N17" s="9"/>
      <c r="O17" s="9"/>
      <c r="P17" s="9"/>
      <c r="Q17" s="9"/>
      <c r="R17" s="9"/>
      <c r="S17" s="9"/>
    </row>
    <row r="18" spans="1:20" s="9" customFormat="1" x14ac:dyDescent="0.25">
      <c r="A18"/>
      <c r="B18" s="15"/>
      <c r="C18" s="15"/>
      <c r="E18" s="9">
        <v>0</v>
      </c>
      <c r="F18" s="15" t="s">
        <v>191</v>
      </c>
      <c r="I18" s="177">
        <v>5</v>
      </c>
      <c r="J18"/>
      <c r="T18"/>
    </row>
    <row r="19" spans="1:20" s="9" customFormat="1" x14ac:dyDescent="0.25">
      <c r="A19"/>
      <c r="J19"/>
    </row>
    <row r="20" spans="1:20" s="9" customFormat="1" x14ac:dyDescent="0.25">
      <c r="B20"/>
      <c r="C20"/>
      <c r="D20"/>
      <c r="E20"/>
      <c r="F20"/>
      <c r="G20"/>
      <c r="H20"/>
      <c r="I20"/>
    </row>
    <row r="21" spans="1:20" s="9" customFormat="1" x14ac:dyDescent="0.25">
      <c r="B21"/>
      <c r="C21"/>
      <c r="D21"/>
      <c r="E21"/>
      <c r="F21"/>
      <c r="G21"/>
      <c r="H21"/>
      <c r="I21"/>
    </row>
    <row r="22" spans="1:20" x14ac:dyDescent="0.25">
      <c r="A22" s="9"/>
      <c r="B22" s="113"/>
      <c r="C22" s="1" t="s">
        <v>181</v>
      </c>
      <c r="J22" s="9"/>
      <c r="T22" s="9"/>
    </row>
    <row r="23" spans="1:20" x14ac:dyDescent="0.25">
      <c r="A23" s="9"/>
      <c r="B23" s="111"/>
      <c r="C23" s="1" t="s">
        <v>182</v>
      </c>
      <c r="J23" s="9"/>
    </row>
    <row r="24" spans="1:20" x14ac:dyDescent="0.25">
      <c r="J24" s="9"/>
    </row>
    <row r="25" spans="1:20" s="1" customFormat="1" x14ac:dyDescent="0.25">
      <c r="A25"/>
      <c r="B25"/>
      <c r="C25"/>
      <c r="D25"/>
      <c r="E25"/>
      <c r="F25"/>
      <c r="G25"/>
      <c r="H25"/>
      <c r="I25"/>
      <c r="J25" s="9"/>
      <c r="K25"/>
      <c r="L25"/>
      <c r="M25"/>
      <c r="N25"/>
      <c r="O25"/>
      <c r="P25"/>
      <c r="Q25"/>
      <c r="R25"/>
      <c r="S25"/>
      <c r="T25"/>
    </row>
    <row r="26" spans="1:20" x14ac:dyDescent="0.25">
      <c r="J26" s="9"/>
      <c r="T26" s="1"/>
    </row>
    <row r="27" spans="1:20" x14ac:dyDescent="0.25">
      <c r="A27" s="1"/>
    </row>
    <row r="28" spans="1:20" s="9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9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J31"/>
    </row>
    <row r="32" spans="1:20" s="9" customFormat="1" x14ac:dyDescent="0.25">
      <c r="B32"/>
      <c r="C32"/>
      <c r="D32"/>
      <c r="E32"/>
      <c r="F32"/>
      <c r="G32"/>
      <c r="H32"/>
      <c r="I32"/>
      <c r="J32"/>
    </row>
    <row r="33" spans="1:20" s="9" customFormat="1" x14ac:dyDescent="0.25">
      <c r="B33"/>
      <c r="C33"/>
      <c r="D33"/>
      <c r="E33"/>
      <c r="F33"/>
      <c r="G33"/>
      <c r="H33"/>
      <c r="I33"/>
      <c r="J33"/>
    </row>
    <row r="34" spans="1:20" s="9" customForma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25">
      <c r="A35" s="9"/>
      <c r="T35" s="9"/>
    </row>
    <row r="36" spans="1:20" x14ac:dyDescent="0.25">
      <c r="A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"/>
  <sheetViews>
    <sheetView zoomScaleNormal="100" workbookViewId="0">
      <selection activeCell="D11" sqref="D11:D16"/>
    </sheetView>
  </sheetViews>
  <sheetFormatPr defaultColWidth="8.77734375" defaultRowHeight="13.2" x14ac:dyDescent="0.25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7.55468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EnergyBalance!E2</f>
        <v>GAS</v>
      </c>
      <c r="D2" s="19" t="str">
        <f>EnergyBalance!E3</f>
        <v>Natural Gas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GAS</v>
      </c>
      <c r="N5" s="200" t="str">
        <f>D2</f>
        <v>Natural Gas</v>
      </c>
      <c r="O5" s="200" t="str">
        <f>$E$2</f>
        <v>PJ</v>
      </c>
      <c r="P5" s="200"/>
      <c r="Q5" s="200"/>
      <c r="R5" s="200"/>
      <c r="S5" s="200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s="9" customFormat="1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s="9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s="9" customFormat="1" x14ac:dyDescent="0.25">
      <c r="B11" s="15" t="str">
        <f>M11</f>
        <v>MINGAS1</v>
      </c>
      <c r="C11" s="15"/>
      <c r="D11" s="15" t="str">
        <f>$M$5</f>
        <v>GAS</v>
      </c>
      <c r="E11" s="15">
        <v>2005</v>
      </c>
      <c r="F11" s="15"/>
      <c r="G11" s="113">
        <v>15000</v>
      </c>
      <c r="H11" s="115">
        <v>3.6</v>
      </c>
      <c r="I11" s="109">
        <f>EnergyBalance!$E$5*EnergyBalance!E37</f>
        <v>3949.7485000000001</v>
      </c>
      <c r="K11" s="200" t="str">
        <f>EnergyBalance!$B$5</f>
        <v>MIN</v>
      </c>
      <c r="L11" s="201"/>
      <c r="M11" s="201" t="str">
        <f>$K$11&amp;$C$2&amp;1</f>
        <v>MINGAS1</v>
      </c>
      <c r="N11" s="204" t="str">
        <f>"Domestic Supply of "&amp;$D$2&amp; " Step "&amp;RIGHT(M11,1)</f>
        <v>Domestic Supply of Natural Gas Step 1</v>
      </c>
      <c r="O11" s="201" t="str">
        <f>$E$2</f>
        <v>PJ</v>
      </c>
      <c r="P11" s="201"/>
      <c r="Q11" s="201"/>
      <c r="R11" s="201"/>
      <c r="S11" s="201"/>
    </row>
    <row r="12" spans="1:20" x14ac:dyDescent="0.25">
      <c r="A12" s="9"/>
      <c r="B12" s="15"/>
      <c r="C12" s="15"/>
      <c r="D12" s="15"/>
      <c r="E12" s="9">
        <v>0</v>
      </c>
      <c r="F12" s="15"/>
      <c r="G12" s="20"/>
      <c r="H12" s="44"/>
      <c r="I12" s="177">
        <v>5</v>
      </c>
      <c r="J12" s="9"/>
      <c r="K12" s="201"/>
      <c r="L12" s="201"/>
      <c r="M12" s="201" t="str">
        <f>$K$11&amp;$C$2&amp;2</f>
        <v>MINGAS2</v>
      </c>
      <c r="N12" s="204" t="str">
        <f>"Domestic Supply of "&amp;$D$2&amp; " Step "&amp;RIGHT(M12,1)</f>
        <v>Domestic Supply of Natural Gas Step 2</v>
      </c>
      <c r="O12" s="201" t="str">
        <f>$E$2</f>
        <v>PJ</v>
      </c>
      <c r="P12" s="201"/>
      <c r="Q12" s="201"/>
      <c r="R12" s="201"/>
      <c r="S12" s="201"/>
      <c r="T12" s="9"/>
    </row>
    <row r="13" spans="1:20" x14ac:dyDescent="0.25">
      <c r="B13" s="15" t="str">
        <f>M12</f>
        <v>MINGAS2</v>
      </c>
      <c r="C13" s="15"/>
      <c r="D13" s="15" t="str">
        <f>$M$5</f>
        <v>GAS</v>
      </c>
      <c r="E13" s="15">
        <v>2005</v>
      </c>
      <c r="F13" s="15"/>
      <c r="G13" s="113">
        <v>20000</v>
      </c>
      <c r="H13" s="115">
        <v>4.1399999999999997</v>
      </c>
      <c r="I13" s="109">
        <f>EnergyBalance!$E$5*EnergyBalance!E38</f>
        <v>3949.7485000000001</v>
      </c>
      <c r="J13" s="9"/>
      <c r="K13" s="201"/>
      <c r="L13" s="201"/>
      <c r="M13" s="201" t="str">
        <f>$K$11&amp;$C$2&amp;3</f>
        <v>MINGAS3</v>
      </c>
      <c r="N13" s="204" t="str">
        <f>"Domestic Supply of "&amp;$D$2&amp; " Step "&amp;RIGHT(M13,1)</f>
        <v>Domestic Supply of Natural Gas Step 3</v>
      </c>
      <c r="O13" s="201" t="str">
        <f>$E$2</f>
        <v>PJ</v>
      </c>
      <c r="P13" s="201"/>
      <c r="Q13" s="201"/>
      <c r="R13" s="201"/>
      <c r="S13" s="201"/>
    </row>
    <row r="14" spans="1:20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J14" s="9"/>
      <c r="K14" s="201" t="str">
        <f>EnergyBalance!$B$6</f>
        <v>IMP</v>
      </c>
      <c r="L14" s="201"/>
      <c r="M14" s="201" t="str">
        <f>$K$14&amp;$C$2&amp;1</f>
        <v>IMPGAS1</v>
      </c>
      <c r="N14" s="204" t="str">
        <f>"Import of "&amp;$D$2&amp; " Step "&amp;RIGHT(M14,1)</f>
        <v>Import of Natural Gas Step 1</v>
      </c>
      <c r="O14" s="201" t="str">
        <f>$E$2</f>
        <v>PJ</v>
      </c>
      <c r="P14" s="201"/>
      <c r="Q14" s="201"/>
      <c r="R14" s="201"/>
      <c r="S14" s="201"/>
    </row>
    <row r="15" spans="1:20" s="9" customFormat="1" x14ac:dyDescent="0.25">
      <c r="A15"/>
      <c r="B15" s="15" t="str">
        <f>M13</f>
        <v>MINGAS3</v>
      </c>
      <c r="C15" s="15"/>
      <c r="D15" s="15" t="str">
        <f>$M$5</f>
        <v>GAS</v>
      </c>
      <c r="E15" s="15"/>
      <c r="F15" s="15"/>
      <c r="G15" s="113"/>
      <c r="H15" s="115">
        <v>5.4</v>
      </c>
      <c r="I15" s="177"/>
      <c r="J15"/>
      <c r="K15" s="201" t="str">
        <f>EnergyBalance!B7</f>
        <v>EXP</v>
      </c>
      <c r="L15" s="201"/>
      <c r="M15" s="201" t="str">
        <f>$K$15&amp;$C$2&amp;1</f>
        <v>EXPGAS1</v>
      </c>
      <c r="N15" s="204" t="str">
        <f>"Export of "&amp;$D$2&amp; " Step "&amp;RIGHT(M15,1)</f>
        <v>Export of Natural Gas Step 1</v>
      </c>
      <c r="O15" s="201" t="str">
        <f>$E$2</f>
        <v>PJ</v>
      </c>
      <c r="P15" s="201"/>
      <c r="Q15" s="201"/>
      <c r="R15" s="201"/>
      <c r="S15" s="201"/>
      <c r="T15"/>
    </row>
    <row r="16" spans="1:20" s="9" customFormat="1" x14ac:dyDescent="0.25">
      <c r="A16"/>
      <c r="B16" s="15" t="str">
        <f>M14</f>
        <v>IMPGAS1</v>
      </c>
      <c r="C16" s="15"/>
      <c r="D16" s="15" t="str">
        <f>$M$5</f>
        <v>GAS</v>
      </c>
      <c r="E16" s="15"/>
      <c r="F16" s="15"/>
      <c r="G16" s="14"/>
      <c r="H16" s="115">
        <v>4.5</v>
      </c>
      <c r="J16"/>
    </row>
    <row r="17" spans="1:20" s="9" customFormat="1" x14ac:dyDescent="0.25">
      <c r="B17" s="15" t="str">
        <f>M15</f>
        <v>EXPGAS1</v>
      </c>
      <c r="C17" s="15" t="str">
        <f>$M$5</f>
        <v>GAS</v>
      </c>
      <c r="D17" s="15"/>
      <c r="E17" s="15">
        <v>2005</v>
      </c>
      <c r="F17" s="15" t="s">
        <v>191</v>
      </c>
      <c r="G17"/>
      <c r="H17" s="115">
        <v>4.5</v>
      </c>
      <c r="I17" s="110">
        <f>-EnergyBalance!E7</f>
        <v>2516.3310000000001</v>
      </c>
      <c r="J17"/>
    </row>
    <row r="18" spans="1:20" s="9" customFormat="1" x14ac:dyDescent="0.25">
      <c r="B18" s="15"/>
      <c r="C18" s="15"/>
      <c r="E18" s="9">
        <v>0</v>
      </c>
      <c r="F18" s="15" t="s">
        <v>191</v>
      </c>
      <c r="I18" s="177">
        <v>5</v>
      </c>
    </row>
    <row r="19" spans="1:20" s="9" customFormat="1" x14ac:dyDescent="0.25"/>
    <row r="20" spans="1:2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20" x14ac:dyDescent="0.25">
      <c r="I22" s="9"/>
      <c r="J22" s="9"/>
    </row>
    <row r="23" spans="1:20" s="1" customFormat="1" x14ac:dyDescent="0.25">
      <c r="A23"/>
      <c r="B23"/>
      <c r="C23"/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1:20" x14ac:dyDescent="0.25">
      <c r="B24" s="113"/>
      <c r="C24" s="1" t="s">
        <v>181</v>
      </c>
      <c r="I24" s="9"/>
      <c r="T24" s="1"/>
    </row>
    <row r="25" spans="1:20" x14ac:dyDescent="0.25">
      <c r="A25" s="1"/>
      <c r="B25" s="111"/>
      <c r="C25" s="1" t="s">
        <v>182</v>
      </c>
      <c r="I25" s="9"/>
    </row>
    <row r="26" spans="1:20" s="9" customFormat="1" x14ac:dyDescent="0.25">
      <c r="A26"/>
      <c r="B26"/>
      <c r="C26"/>
      <c r="D26"/>
      <c r="E26"/>
      <c r="F26"/>
      <c r="G26"/>
      <c r="H26"/>
      <c r="J26" s="1"/>
      <c r="K26"/>
      <c r="L26"/>
      <c r="M26"/>
      <c r="N26"/>
      <c r="O26"/>
      <c r="P26"/>
      <c r="Q26"/>
      <c r="R26"/>
      <c r="S26"/>
      <c r="T26"/>
    </row>
    <row r="27" spans="1:20" s="9" customFormat="1" x14ac:dyDescent="0.25">
      <c r="A27"/>
      <c r="B27"/>
      <c r="C27"/>
      <c r="D27"/>
      <c r="E27"/>
      <c r="F27"/>
      <c r="G27"/>
      <c r="H27"/>
      <c r="J27"/>
      <c r="K27"/>
      <c r="L27"/>
      <c r="M27"/>
      <c r="N27"/>
      <c r="O27"/>
      <c r="P27"/>
      <c r="Q27"/>
      <c r="R27"/>
      <c r="S27"/>
    </row>
    <row r="28" spans="1:20" s="9" customFormat="1" x14ac:dyDescent="0.25">
      <c r="B28"/>
      <c r="C28"/>
      <c r="D28"/>
      <c r="E28"/>
      <c r="F28"/>
      <c r="G28"/>
      <c r="H28"/>
      <c r="J28"/>
      <c r="K28"/>
      <c r="L28"/>
      <c r="M28"/>
      <c r="N28"/>
      <c r="O28"/>
      <c r="P28"/>
      <c r="Q28"/>
      <c r="R28"/>
      <c r="S28"/>
    </row>
    <row r="29" spans="1:20" s="9" customFormat="1" x14ac:dyDescent="0.25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1:20" s="9" customFormat="1" x14ac:dyDescent="0.25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1:20" s="9" customFormat="1" x14ac:dyDescent="0.25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1:20" x14ac:dyDescent="0.25">
      <c r="A34" s="9"/>
      <c r="J34" s="9"/>
      <c r="T34" s="9"/>
    </row>
    <row r="35" spans="1:20" x14ac:dyDescent="0.25">
      <c r="A35" s="9"/>
      <c r="J35" s="9"/>
    </row>
    <row r="36" spans="1:20" x14ac:dyDescent="0.25">
      <c r="J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7"/>
  <sheetViews>
    <sheetView topLeftCell="A5" zoomScale="115" zoomScaleNormal="115" workbookViewId="0">
      <selection activeCell="B20" sqref="B20"/>
    </sheetView>
  </sheetViews>
  <sheetFormatPr defaultColWidth="8.77734375" defaultRowHeight="13.2" x14ac:dyDescent="0.25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7.554687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5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5" ht="15.6" x14ac:dyDescent="0.3">
      <c r="B2" s="19"/>
      <c r="C2" s="19" t="str">
        <f>EnergyBalance!F2</f>
        <v>OIL</v>
      </c>
      <c r="D2" s="19" t="str">
        <f>EnergyBalance!F3</f>
        <v>Crude Oil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5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5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  <c r="V4" s="9"/>
      <c r="W4" s="9"/>
    </row>
    <row r="5" spans="1:25" x14ac:dyDescent="0.25">
      <c r="K5" s="200" t="s">
        <v>93</v>
      </c>
      <c r="L5" s="201"/>
      <c r="M5" s="200" t="str">
        <f>C2</f>
        <v>OIL</v>
      </c>
      <c r="N5" s="200" t="str">
        <f>D2</f>
        <v>Crude Oil</v>
      </c>
      <c r="O5" s="200" t="str">
        <f>$E$2</f>
        <v>PJ</v>
      </c>
      <c r="P5" s="200"/>
      <c r="Q5" s="200"/>
      <c r="R5" s="200"/>
      <c r="S5" s="200"/>
      <c r="U5" s="9"/>
      <c r="V5" s="9"/>
      <c r="W5" s="9"/>
      <c r="X5" s="9"/>
      <c r="Y5" s="9"/>
    </row>
    <row r="6" spans="1:25" x14ac:dyDescent="0.25">
      <c r="K6" s="217" t="s">
        <v>93</v>
      </c>
      <c r="M6" s="217" t="s">
        <v>203</v>
      </c>
      <c r="N6" s="217" t="s">
        <v>204</v>
      </c>
      <c r="O6" s="217" t="s">
        <v>97</v>
      </c>
      <c r="U6" s="9"/>
      <c r="V6" s="9"/>
      <c r="W6" s="9"/>
      <c r="X6" s="9"/>
      <c r="Y6" s="9"/>
    </row>
    <row r="7" spans="1:25" x14ac:dyDescent="0.25">
      <c r="K7" s="217"/>
      <c r="M7" s="217"/>
      <c r="N7" s="217"/>
      <c r="O7" s="217"/>
      <c r="U7" s="9"/>
      <c r="V7" s="9"/>
      <c r="W7" s="9"/>
      <c r="X7" s="9"/>
      <c r="Y7" s="9"/>
    </row>
    <row r="8" spans="1:25" x14ac:dyDescent="0.25">
      <c r="F8" s="7" t="s">
        <v>13</v>
      </c>
      <c r="H8" s="7"/>
      <c r="K8" s="195" t="s">
        <v>15</v>
      </c>
      <c r="L8" s="195"/>
      <c r="M8" s="202"/>
      <c r="N8" s="202"/>
      <c r="O8" s="202"/>
      <c r="P8" s="202"/>
      <c r="Q8" s="202"/>
      <c r="R8" s="202"/>
      <c r="S8" s="202"/>
      <c r="X8" s="9"/>
      <c r="Y8" s="9"/>
    </row>
    <row r="9" spans="1:25" x14ac:dyDescent="0.25">
      <c r="B9" s="3" t="s">
        <v>1</v>
      </c>
      <c r="C9" s="29" t="s">
        <v>5</v>
      </c>
      <c r="D9" s="3" t="s">
        <v>6</v>
      </c>
      <c r="E9" s="3" t="s">
        <v>150</v>
      </c>
      <c r="F9" s="3" t="s">
        <v>8</v>
      </c>
      <c r="G9" s="139" t="s">
        <v>37</v>
      </c>
      <c r="H9" s="139" t="s">
        <v>38</v>
      </c>
      <c r="I9" s="139" t="s">
        <v>100</v>
      </c>
      <c r="K9" s="197" t="s">
        <v>11</v>
      </c>
      <c r="L9" s="198" t="s">
        <v>30</v>
      </c>
      <c r="M9" s="197" t="s">
        <v>1</v>
      </c>
      <c r="N9" s="197" t="s">
        <v>2</v>
      </c>
      <c r="O9" s="197" t="s">
        <v>16</v>
      </c>
      <c r="P9" s="197" t="s">
        <v>17</v>
      </c>
      <c r="Q9" s="197" t="s">
        <v>18</v>
      </c>
      <c r="R9" s="197" t="s">
        <v>19</v>
      </c>
      <c r="S9" s="197" t="s">
        <v>20</v>
      </c>
    </row>
    <row r="10" spans="1:25" ht="21.6" thickBot="1" x14ac:dyDescent="0.3">
      <c r="B10" s="25" t="s">
        <v>42</v>
      </c>
      <c r="C10" s="25" t="s">
        <v>32</v>
      </c>
      <c r="D10" s="25" t="s">
        <v>33</v>
      </c>
      <c r="E10" s="25"/>
      <c r="F10" s="25"/>
      <c r="G10" s="215" t="s">
        <v>39</v>
      </c>
      <c r="H10" s="215" t="s">
        <v>117</v>
      </c>
      <c r="I10" s="215" t="s">
        <v>116</v>
      </c>
      <c r="J10" s="9"/>
      <c r="K10" s="199" t="s">
        <v>41</v>
      </c>
      <c r="L10" s="199" t="s">
        <v>31</v>
      </c>
      <c r="M10" s="199" t="s">
        <v>21</v>
      </c>
      <c r="N10" s="199" t="s">
        <v>22</v>
      </c>
      <c r="O10" s="199" t="s">
        <v>23</v>
      </c>
      <c r="P10" s="199" t="s">
        <v>24</v>
      </c>
      <c r="Q10" s="199" t="s">
        <v>46</v>
      </c>
      <c r="R10" s="199" t="s">
        <v>45</v>
      </c>
      <c r="S10" s="199" t="s">
        <v>25</v>
      </c>
    </row>
    <row r="11" spans="1:25" s="9" customFormat="1" ht="13.8" thickBot="1" x14ac:dyDescent="0.3">
      <c r="B11" s="25" t="s">
        <v>114</v>
      </c>
      <c r="C11" s="23"/>
      <c r="D11" s="23"/>
      <c r="E11" s="23"/>
      <c r="F11" s="23"/>
      <c r="G11" s="23" t="str">
        <f>$E$2</f>
        <v>PJ</v>
      </c>
      <c r="H11" s="23" t="str">
        <f>$G$2&amp;"/"&amp;$E$2</f>
        <v>M€2005/PJ</v>
      </c>
      <c r="I11" s="23" t="str">
        <f>$E$2</f>
        <v>PJ</v>
      </c>
      <c r="K11" s="199" t="s">
        <v>103</v>
      </c>
      <c r="L11" s="203"/>
      <c r="M11" s="203"/>
      <c r="N11" s="203"/>
      <c r="O11" s="203"/>
      <c r="P11" s="203"/>
      <c r="Q11" s="203"/>
      <c r="R11" s="203"/>
      <c r="S11" s="203"/>
      <c r="T11"/>
      <c r="X11"/>
      <c r="Y11"/>
    </row>
    <row r="12" spans="1:25" s="9" customFormat="1" x14ac:dyDescent="0.25">
      <c r="B12" s="15" t="str">
        <f>M12</f>
        <v>MINOIL1</v>
      </c>
      <c r="C12" s="15"/>
      <c r="D12" s="15" t="str">
        <f>$M$5</f>
        <v>OIL</v>
      </c>
      <c r="E12">
        <v>2005</v>
      </c>
      <c r="F12" s="15"/>
      <c r="G12" s="113">
        <v>24000</v>
      </c>
      <c r="H12" s="115">
        <v>7</v>
      </c>
      <c r="I12" s="109">
        <f>EnergyBalance!$F$5*EnergyBalance!F37</f>
        <v>4302.8095999999996</v>
      </c>
      <c r="K12" s="200" t="str">
        <f>EnergyBalance!$B$5</f>
        <v>MIN</v>
      </c>
      <c r="L12" s="201"/>
      <c r="M12" s="201" t="str">
        <f>$K$12&amp;$C$2&amp;1</f>
        <v>MINOIL1</v>
      </c>
      <c r="N12" s="205" t="str">
        <f>"Domestic Supply of "&amp;$D$2&amp; " Step "&amp;RIGHT(M12,1)</f>
        <v>Domestic Supply of Crude Oil Step 1</v>
      </c>
      <c r="O12" s="201" t="str">
        <f>$E$2</f>
        <v>PJ</v>
      </c>
      <c r="P12" s="201"/>
      <c r="Q12" s="201"/>
      <c r="R12" s="201"/>
      <c r="S12" s="201"/>
    </row>
    <row r="13" spans="1:25" s="9" customFormat="1" x14ac:dyDescent="0.25">
      <c r="B13" s="15"/>
      <c r="C13" s="15"/>
      <c r="D13" s="15"/>
      <c r="E13" s="9">
        <v>0</v>
      </c>
      <c r="F13" s="15"/>
      <c r="G13" s="20"/>
      <c r="H13" s="44"/>
      <c r="I13" s="177">
        <v>5</v>
      </c>
      <c r="K13" s="201"/>
      <c r="L13" s="201"/>
      <c r="M13" s="201" t="str">
        <f>$K$12&amp;$C$2&amp;2</f>
        <v>MINOIL2</v>
      </c>
      <c r="N13" s="205" t="str">
        <f>"Domestic Supply of "&amp;$D$2&amp; " Step "&amp;RIGHT(M13,1)</f>
        <v>Domestic Supply of Crude Oil Step 2</v>
      </c>
      <c r="O13" s="201" t="str">
        <f>$E$2</f>
        <v>PJ</v>
      </c>
      <c r="P13" s="201"/>
      <c r="Q13" s="201"/>
      <c r="R13" s="201"/>
      <c r="S13" s="201"/>
    </row>
    <row r="14" spans="1:25" x14ac:dyDescent="0.25">
      <c r="A14" s="9"/>
      <c r="B14" s="15" t="str">
        <f>M13</f>
        <v>MINOIL2</v>
      </c>
      <c r="C14" s="15"/>
      <c r="D14" s="15" t="str">
        <f>$M$5</f>
        <v>OIL</v>
      </c>
      <c r="E14">
        <v>2005</v>
      </c>
      <c r="F14" s="15"/>
      <c r="G14" s="113">
        <v>6000</v>
      </c>
      <c r="H14" s="115">
        <v>7.3599999999999994</v>
      </c>
      <c r="I14" s="109">
        <f>EnergyBalance!$F$5*EnergyBalance!F38</f>
        <v>1075.7023999999999</v>
      </c>
      <c r="J14" s="9"/>
      <c r="K14" s="201"/>
      <c r="L14" s="201"/>
      <c r="M14" s="201" t="str">
        <f>$K$12&amp;$C$2&amp;3</f>
        <v>MINOIL3</v>
      </c>
      <c r="N14" s="205" t="str">
        <f>"Domestic Supply of "&amp;$D$2&amp; " Step "&amp;RIGHT(M14,1)</f>
        <v>Domestic Supply of Crude Oil Step 3</v>
      </c>
      <c r="O14" s="201" t="str">
        <f>$E$2</f>
        <v>PJ</v>
      </c>
      <c r="P14" s="201"/>
      <c r="Q14" s="201"/>
      <c r="R14" s="201"/>
      <c r="S14" s="201"/>
      <c r="T14" s="9"/>
      <c r="U14" s="9"/>
      <c r="V14" s="9"/>
      <c r="W14" s="9"/>
      <c r="X14" s="9"/>
      <c r="Y14" s="9"/>
    </row>
    <row r="15" spans="1:25" x14ac:dyDescent="0.25">
      <c r="A15" s="9"/>
      <c r="B15" s="15"/>
      <c r="C15" s="15"/>
      <c r="D15" s="15"/>
      <c r="E15" s="9">
        <v>0</v>
      </c>
      <c r="F15" s="15"/>
      <c r="G15" s="20"/>
      <c r="H15" s="44"/>
      <c r="I15" s="177">
        <v>5</v>
      </c>
      <c r="J15" s="9"/>
      <c r="K15" s="201" t="str">
        <f>EnergyBalance!$B$6</f>
        <v>IMP</v>
      </c>
      <c r="L15" s="201"/>
      <c r="M15" s="201" t="str">
        <f>$K$15&amp;$C$2&amp;1</f>
        <v>IMPOIL1</v>
      </c>
      <c r="N15" s="205" t="str">
        <f>"Import of "&amp;$D$2&amp; " Step "&amp;RIGHT(M15,1)</f>
        <v>Import of Crude Oil Step 1</v>
      </c>
      <c r="O15" s="201" t="str">
        <f>$E$2</f>
        <v>PJ</v>
      </c>
      <c r="P15" s="201"/>
      <c r="Q15" s="201"/>
      <c r="R15" s="201"/>
      <c r="S15" s="201"/>
      <c r="U15" s="9"/>
      <c r="V15" s="9"/>
      <c r="W15" s="9"/>
      <c r="X15" s="9"/>
      <c r="Y15" s="9"/>
    </row>
    <row r="16" spans="1:25" x14ac:dyDescent="0.25">
      <c r="B16" s="15" t="str">
        <f>M14</f>
        <v>MINOIL3</v>
      </c>
      <c r="C16" s="15"/>
      <c r="D16" s="15" t="str">
        <f>$M$5</f>
        <v>OIL</v>
      </c>
      <c r="E16" s="15"/>
      <c r="F16" s="15"/>
      <c r="G16" s="113">
        <v>40000</v>
      </c>
      <c r="H16" s="115">
        <v>9.6000000000000014</v>
      </c>
      <c r="I16" s="177"/>
      <c r="K16" s="201" t="str">
        <f>EnergyBalance!B7</f>
        <v>EXP</v>
      </c>
      <c r="L16" s="201"/>
      <c r="M16" s="201" t="str">
        <f>$K$16&amp;$C$2&amp;1</f>
        <v>EXPOIL1</v>
      </c>
      <c r="N16" s="205" t="str">
        <f>"Export of "&amp;$D$2&amp; " Step "&amp;RIGHT(M16,1)</f>
        <v>Export of Crude Oil Step 1</v>
      </c>
      <c r="O16" s="201" t="str">
        <f>$E$2</f>
        <v>PJ</v>
      </c>
      <c r="P16" s="201"/>
      <c r="Q16" s="201"/>
      <c r="R16" s="201"/>
      <c r="S16" s="201"/>
      <c r="X16" s="9"/>
      <c r="Y16" s="9"/>
    </row>
    <row r="17" spans="1:25" s="9" customFormat="1" x14ac:dyDescent="0.25">
      <c r="A17"/>
      <c r="B17" s="15" t="str">
        <f>M15</f>
        <v>IMPOIL1</v>
      </c>
      <c r="C17" s="15"/>
      <c r="D17" s="15" t="str">
        <f>$M$5</f>
        <v>OIL</v>
      </c>
      <c r="E17" s="15"/>
      <c r="F17" s="15"/>
      <c r="G17" s="14"/>
      <c r="H17" s="115">
        <v>8</v>
      </c>
      <c r="J17"/>
      <c r="K17" s="214" t="s">
        <v>63</v>
      </c>
      <c r="M17" s="214" t="s">
        <v>202</v>
      </c>
      <c r="N17" s="214" t="s">
        <v>205</v>
      </c>
      <c r="O17" s="214" t="s">
        <v>97</v>
      </c>
      <c r="T17"/>
      <c r="V17"/>
      <c r="W17"/>
      <c r="X17"/>
      <c r="Y17"/>
    </row>
    <row r="18" spans="1:25" s="9" customFormat="1" x14ac:dyDescent="0.25">
      <c r="A18"/>
      <c r="B18" s="15" t="str">
        <f>M16</f>
        <v>EXPOIL1</v>
      </c>
      <c r="C18" s="15" t="str">
        <f>$M$5</f>
        <v>OIL</v>
      </c>
      <c r="D18" s="15"/>
      <c r="E18">
        <v>2005</v>
      </c>
      <c r="F18" s="214" t="s">
        <v>191</v>
      </c>
      <c r="H18" s="115">
        <v>8</v>
      </c>
      <c r="I18" s="110">
        <f>-EnergyBalance!F7</f>
        <v>14830.662</v>
      </c>
      <c r="J18"/>
      <c r="U18"/>
      <c r="V18"/>
      <c r="W18"/>
      <c r="X18"/>
      <c r="Y18"/>
    </row>
    <row r="19" spans="1:25" s="9" customFormat="1" x14ac:dyDescent="0.25">
      <c r="E19" s="9">
        <v>0</v>
      </c>
      <c r="F19" s="214" t="s">
        <v>191</v>
      </c>
      <c r="G19" s="20"/>
      <c r="H19" s="44"/>
      <c r="I19" s="177">
        <v>5</v>
      </c>
      <c r="U19"/>
      <c r="V19" s="1"/>
      <c r="W19" s="1"/>
      <c r="X19"/>
      <c r="Y19"/>
    </row>
    <row r="20" spans="1:25" s="9" customFormat="1" x14ac:dyDescent="0.25">
      <c r="B20" s="214" t="s">
        <v>202</v>
      </c>
      <c r="D20" s="214" t="s">
        <v>203</v>
      </c>
      <c r="E20" s="9">
        <v>2005</v>
      </c>
      <c r="G20" s="9">
        <v>20000</v>
      </c>
      <c r="H20" s="216">
        <v>8.5</v>
      </c>
      <c r="I20" s="9">
        <v>1000</v>
      </c>
      <c r="U20" s="1"/>
      <c r="V20"/>
      <c r="W20"/>
      <c r="X20" s="1"/>
      <c r="Y20" s="1"/>
    </row>
    <row r="21" spans="1:25" s="9" customFormat="1" x14ac:dyDescent="0.25">
      <c r="B21"/>
      <c r="C21"/>
      <c r="D21"/>
      <c r="E21" s="9">
        <v>0</v>
      </c>
      <c r="G21"/>
      <c r="H21"/>
      <c r="I21" s="9">
        <v>5</v>
      </c>
      <c r="U21"/>
      <c r="V21"/>
      <c r="W21"/>
      <c r="X21"/>
      <c r="Y21"/>
    </row>
    <row r="22" spans="1:25" s="9" customFormat="1" x14ac:dyDescent="0.25">
      <c r="B22"/>
      <c r="C22"/>
      <c r="D22"/>
      <c r="E22"/>
      <c r="F22"/>
      <c r="G22"/>
      <c r="H22"/>
      <c r="I22"/>
      <c r="U22"/>
      <c r="V22"/>
      <c r="W22"/>
      <c r="X22"/>
      <c r="Y22"/>
    </row>
    <row r="23" spans="1:25" s="9" customFormat="1" x14ac:dyDescent="0.25">
      <c r="B23"/>
      <c r="C23"/>
      <c r="D23"/>
      <c r="E23"/>
      <c r="F23"/>
      <c r="G23"/>
      <c r="H23"/>
      <c r="I23"/>
      <c r="K23"/>
      <c r="L23"/>
      <c r="M23"/>
      <c r="N23"/>
      <c r="O23"/>
      <c r="P23"/>
      <c r="Q23"/>
      <c r="R23"/>
      <c r="S23"/>
      <c r="U23"/>
      <c r="V23"/>
      <c r="W23"/>
      <c r="X23"/>
      <c r="Y23"/>
    </row>
    <row r="24" spans="1:25" x14ac:dyDescent="0.25">
      <c r="A24" s="9"/>
      <c r="T24" s="9"/>
    </row>
    <row r="25" spans="1:25" x14ac:dyDescent="0.25">
      <c r="A25" s="9"/>
      <c r="B25" s="113"/>
      <c r="C25" s="1" t="s">
        <v>181</v>
      </c>
    </row>
    <row r="26" spans="1:25" x14ac:dyDescent="0.25">
      <c r="B26" s="111"/>
      <c r="C26" s="1" t="s">
        <v>182</v>
      </c>
    </row>
    <row r="27" spans="1:25" x14ac:dyDescent="0.25">
      <c r="J27" s="1"/>
    </row>
    <row r="30" spans="1:25" x14ac:dyDescent="0.25">
      <c r="J30" s="9"/>
    </row>
    <row r="31" spans="1:25" x14ac:dyDescent="0.25">
      <c r="J31" s="9"/>
    </row>
    <row r="32" spans="1:25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9"/>
  <sheetViews>
    <sheetView zoomScale="115" zoomScaleNormal="115" workbookViewId="0">
      <selection activeCell="D13" sqref="D13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20.6640625" bestFit="1" customWidth="1"/>
    <col min="5" max="5" width="7.554687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48" customWidth="1"/>
    <col min="10" max="10" width="2.5546875" style="48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EnergyBalance!H2</f>
        <v>RNW</v>
      </c>
      <c r="D2" s="19" t="str">
        <f>EnergyBalance!H3</f>
        <v>Renewable Energies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RNW</v>
      </c>
      <c r="N5" s="200" t="str">
        <f>D2</f>
        <v>Renewable Energies</v>
      </c>
      <c r="O5" s="200" t="str">
        <f>$E$2</f>
        <v>PJ</v>
      </c>
      <c r="P5" s="200"/>
      <c r="Q5" s="200"/>
      <c r="R5" s="200"/>
      <c r="S5" s="200"/>
    </row>
    <row r="6" spans="2:20" x14ac:dyDescent="0.25">
      <c r="K6" s="200"/>
      <c r="L6" s="201"/>
      <c r="M6" s="200" t="str">
        <f>+D13</f>
        <v>RNW1</v>
      </c>
      <c r="N6" s="218" t="s">
        <v>231</v>
      </c>
      <c r="O6" s="218" t="s">
        <v>97</v>
      </c>
      <c r="P6" s="200"/>
      <c r="Q6" s="200"/>
      <c r="R6" s="200"/>
      <c r="S6" s="200"/>
    </row>
    <row r="8" spans="2:20" x14ac:dyDescent="0.25">
      <c r="F8" s="7" t="s">
        <v>13</v>
      </c>
      <c r="H8" s="7"/>
      <c r="I8"/>
      <c r="K8" s="195" t="s">
        <v>15</v>
      </c>
      <c r="L8" s="195"/>
      <c r="M8" s="202"/>
      <c r="N8" s="202"/>
      <c r="O8" s="202"/>
      <c r="P8" s="202"/>
      <c r="Q8" s="202"/>
      <c r="R8" s="202"/>
      <c r="S8" s="202"/>
    </row>
    <row r="9" spans="2:20" x14ac:dyDescent="0.25">
      <c r="B9" s="3" t="s">
        <v>1</v>
      </c>
      <c r="C9" s="29" t="s">
        <v>5</v>
      </c>
      <c r="D9" s="3" t="s">
        <v>6</v>
      </c>
      <c r="E9" s="3" t="s">
        <v>150</v>
      </c>
      <c r="F9" s="3" t="s">
        <v>8</v>
      </c>
      <c r="G9" s="139" t="s">
        <v>37</v>
      </c>
      <c r="H9" s="139" t="s">
        <v>38</v>
      </c>
      <c r="I9" s="139" t="s">
        <v>100</v>
      </c>
      <c r="K9" s="197" t="s">
        <v>11</v>
      </c>
      <c r="L9" s="198" t="s">
        <v>30</v>
      </c>
      <c r="M9" s="197" t="s">
        <v>1</v>
      </c>
      <c r="N9" s="197" t="s">
        <v>2</v>
      </c>
      <c r="O9" s="197" t="s">
        <v>16</v>
      </c>
      <c r="P9" s="197" t="s">
        <v>17</v>
      </c>
      <c r="Q9" s="197" t="s">
        <v>18</v>
      </c>
      <c r="R9" s="197" t="s">
        <v>19</v>
      </c>
      <c r="S9" s="197" t="s">
        <v>20</v>
      </c>
    </row>
    <row r="10" spans="2:20" ht="21.6" thickBot="1" x14ac:dyDescent="0.3">
      <c r="B10" s="25" t="s">
        <v>42</v>
      </c>
      <c r="C10" s="25" t="s">
        <v>32</v>
      </c>
      <c r="D10" s="25" t="s">
        <v>33</v>
      </c>
      <c r="E10" s="25"/>
      <c r="F10" s="25"/>
      <c r="G10" s="25" t="s">
        <v>39</v>
      </c>
      <c r="H10" s="25" t="s">
        <v>117</v>
      </c>
      <c r="I10" s="25" t="s">
        <v>116</v>
      </c>
      <c r="K10" s="199" t="s">
        <v>41</v>
      </c>
      <c r="L10" s="199" t="s">
        <v>31</v>
      </c>
      <c r="M10" s="199" t="s">
        <v>21</v>
      </c>
      <c r="N10" s="199" t="s">
        <v>22</v>
      </c>
      <c r="O10" s="199" t="s">
        <v>23</v>
      </c>
      <c r="P10" s="199" t="s">
        <v>24</v>
      </c>
      <c r="Q10" s="199" t="s">
        <v>46</v>
      </c>
      <c r="R10" s="199" t="s">
        <v>45</v>
      </c>
      <c r="S10" s="199" t="s">
        <v>25</v>
      </c>
    </row>
    <row r="11" spans="2:20" s="50" customFormat="1" ht="13.8" thickBot="1" x14ac:dyDescent="0.3">
      <c r="B11" s="25" t="s">
        <v>114</v>
      </c>
      <c r="C11" s="23"/>
      <c r="D11" s="23"/>
      <c r="E11" s="23"/>
      <c r="F11" s="23"/>
      <c r="G11" s="23" t="str">
        <f>$E$2</f>
        <v>PJ</v>
      </c>
      <c r="H11" s="23" t="str">
        <f>$G$2&amp;"/"&amp;$E$2</f>
        <v>M€2005/PJ</v>
      </c>
      <c r="I11" s="23" t="str">
        <f>$E$2</f>
        <v>PJ</v>
      </c>
      <c r="J11" s="48"/>
      <c r="K11" s="199" t="s">
        <v>103</v>
      </c>
      <c r="L11" s="203"/>
      <c r="M11" s="203"/>
      <c r="N11" s="203"/>
      <c r="O11" s="203"/>
      <c r="P11" s="203"/>
      <c r="Q11" s="203"/>
      <c r="R11" s="203"/>
      <c r="S11" s="203"/>
      <c r="T11" s="48"/>
    </row>
    <row r="12" spans="2:20" s="50" customFormat="1" x14ac:dyDescent="0.25">
      <c r="B12" s="15" t="str">
        <f>M12</f>
        <v>MINRNW1</v>
      </c>
      <c r="C12" s="15"/>
      <c r="D12" s="15" t="str">
        <f>$M$5</f>
        <v>RNW</v>
      </c>
      <c r="E12" s="15"/>
      <c r="F12" s="15"/>
      <c r="G12" s="20"/>
      <c r="H12" s="44"/>
      <c r="I12" s="9"/>
      <c r="K12" s="200" t="str">
        <f>EnergyBalance!$B$5</f>
        <v>MIN</v>
      </c>
      <c r="L12" s="201"/>
      <c r="M12" s="201" t="str">
        <f>$K$12&amp;$C$2&amp;1</f>
        <v>MINRNW1</v>
      </c>
      <c r="N12" s="204" t="str">
        <f>"Domestic Supply of "&amp;$D$2&amp; " Step "&amp;RIGHT(M12,1)</f>
        <v>Domestic Supply of Renewable Energies Step 1</v>
      </c>
      <c r="O12" s="201" t="str">
        <f>$E$2</f>
        <v>PJ</v>
      </c>
      <c r="P12" s="201"/>
      <c r="Q12" s="201"/>
      <c r="R12" s="201"/>
      <c r="S12" s="201"/>
    </row>
    <row r="13" spans="2:20" s="50" customFormat="1" ht="26.4" x14ac:dyDescent="0.25">
      <c r="B13" s="214" t="s">
        <v>229</v>
      </c>
      <c r="C13" s="15"/>
      <c r="D13" s="214" t="s">
        <v>226</v>
      </c>
      <c r="E13" s="15"/>
      <c r="F13" s="15"/>
      <c r="G13" s="20"/>
      <c r="H13" s="44"/>
      <c r="I13" s="9"/>
      <c r="K13" s="9"/>
      <c r="L13" s="9"/>
      <c r="M13" s="9" t="str">
        <f>+B13</f>
        <v>MINRN1_1</v>
      </c>
      <c r="N13" s="219" t="s">
        <v>230</v>
      </c>
      <c r="O13" s="214" t="s">
        <v>97</v>
      </c>
      <c r="P13" s="9"/>
      <c r="Q13" s="9"/>
      <c r="R13" s="9"/>
      <c r="S13" s="9"/>
    </row>
    <row r="14" spans="2:20" x14ac:dyDescent="0.25">
      <c r="B14" s="15"/>
      <c r="C14" s="15"/>
      <c r="D14" s="15"/>
      <c r="E14" s="15"/>
      <c r="F14" s="15"/>
      <c r="G14" s="20"/>
      <c r="H14" s="44"/>
      <c r="I14" s="9"/>
      <c r="J14" s="50"/>
      <c r="K14" s="9"/>
      <c r="L14" s="9"/>
      <c r="M14" s="9"/>
      <c r="N14" s="34"/>
      <c r="O14" s="9"/>
      <c r="P14" s="9"/>
      <c r="Q14" s="9"/>
      <c r="R14" s="9"/>
      <c r="S14" s="9"/>
      <c r="T14" s="50"/>
    </row>
    <row r="15" spans="2:20" x14ac:dyDescent="0.25">
      <c r="B15" s="15"/>
      <c r="C15" s="15"/>
      <c r="D15" s="15"/>
      <c r="E15" s="15"/>
      <c r="F15" s="15"/>
      <c r="G15" s="14"/>
      <c r="H15" s="44"/>
      <c r="I15" s="9"/>
      <c r="K15" s="9"/>
      <c r="L15" s="9"/>
      <c r="M15" s="9"/>
      <c r="N15" s="34"/>
      <c r="O15" s="9"/>
      <c r="P15" s="9"/>
      <c r="Q15" s="9"/>
      <c r="R15" s="9"/>
      <c r="S15" s="9"/>
    </row>
    <row r="16" spans="2:20" x14ac:dyDescent="0.25">
      <c r="B16" s="15"/>
      <c r="C16" s="15"/>
      <c r="D16" s="15"/>
      <c r="E16" s="15"/>
      <c r="F16" s="15"/>
      <c r="G16" s="14"/>
      <c r="H16" s="44"/>
      <c r="I16" s="22"/>
      <c r="K16" s="9"/>
      <c r="L16" s="9"/>
      <c r="M16" s="9"/>
      <c r="N16" s="34"/>
      <c r="O16" s="9"/>
      <c r="P16" s="9"/>
      <c r="Q16" s="9"/>
      <c r="R16" s="9"/>
      <c r="S16" s="9"/>
    </row>
    <row r="17" spans="2:20" s="50" customFormat="1" x14ac:dyDescent="0.25">
      <c r="B17" s="15"/>
      <c r="C17" s="15"/>
      <c r="D17" s="9"/>
      <c r="E17" s="9"/>
      <c r="F17" s="15"/>
      <c r="G17" s="14"/>
      <c r="H17" s="14"/>
      <c r="I17" s="48"/>
      <c r="J17" s="48"/>
      <c r="K17" s="9"/>
      <c r="L17" s="9"/>
      <c r="M17" s="9"/>
      <c r="N17" s="9"/>
      <c r="O17" s="9"/>
      <c r="P17" s="9"/>
      <c r="Q17" s="9"/>
      <c r="R17" s="9"/>
      <c r="S17" s="9"/>
      <c r="T17" s="48"/>
    </row>
    <row r="18" spans="2:20" s="50" customFormat="1" x14ac:dyDescent="0.25">
      <c r="B18" s="9"/>
      <c r="C18" s="9"/>
      <c r="D18" s="9"/>
      <c r="E18" s="9"/>
      <c r="F18" s="9"/>
      <c r="G18" s="9"/>
      <c r="H18" s="9"/>
      <c r="K18" s="9"/>
      <c r="L18" s="9"/>
      <c r="M18" s="9"/>
      <c r="N18" s="9"/>
      <c r="O18" s="9"/>
      <c r="P18" s="9"/>
      <c r="Q18" s="9"/>
      <c r="R18" s="9"/>
      <c r="S18" s="9"/>
    </row>
    <row r="19" spans="2:20" x14ac:dyDescent="0.25">
      <c r="B19" s="9"/>
      <c r="C19" s="9"/>
      <c r="D19" s="9"/>
      <c r="E19" s="9"/>
      <c r="F19" s="9"/>
      <c r="G19" s="9"/>
      <c r="H19" s="9"/>
      <c r="I19" s="50"/>
      <c r="J19" s="50"/>
      <c r="K19" s="9"/>
      <c r="L19" s="9"/>
      <c r="M19" s="9"/>
      <c r="N19" s="9"/>
      <c r="O19" s="9"/>
      <c r="P19" s="9"/>
      <c r="Q19" s="9"/>
      <c r="R19" s="9"/>
      <c r="S19" s="9"/>
      <c r="T19" s="50"/>
    </row>
    <row r="20" spans="2:20" x14ac:dyDescent="0.25">
      <c r="B20" s="9"/>
      <c r="C20" s="9"/>
      <c r="D20" s="9"/>
      <c r="E20" s="9"/>
      <c r="F20" s="9"/>
      <c r="G20" s="9"/>
      <c r="H20" s="9"/>
      <c r="K20" s="9"/>
      <c r="L20" s="9"/>
      <c r="M20" s="9"/>
      <c r="N20" s="9"/>
      <c r="O20" s="9"/>
      <c r="P20" s="9"/>
      <c r="Q20" s="9"/>
      <c r="R20" s="9"/>
      <c r="S20" s="9"/>
    </row>
    <row r="21" spans="2:20" s="49" customFormat="1" ht="19.5" customHeight="1" x14ac:dyDescent="0.25">
      <c r="B21" s="9"/>
      <c r="C21" s="9"/>
      <c r="D21" s="9"/>
      <c r="E21" s="9"/>
      <c r="F21" s="9"/>
      <c r="G21" s="9"/>
      <c r="H21" s="9"/>
      <c r="I21" s="48"/>
      <c r="J21" s="48"/>
      <c r="K21" s="9"/>
      <c r="L21" s="9"/>
      <c r="M21" s="9"/>
      <c r="N21" s="9"/>
      <c r="O21" s="9"/>
      <c r="P21" s="9"/>
      <c r="Q21" s="9"/>
      <c r="R21" s="9"/>
      <c r="S21" s="9"/>
      <c r="T21" s="48"/>
    </row>
    <row r="22" spans="2:20" x14ac:dyDescent="0.25">
      <c r="B22" s="9"/>
      <c r="C22" s="9"/>
      <c r="D22" s="9"/>
      <c r="E22" s="9"/>
      <c r="F22" s="9"/>
      <c r="G22" s="9"/>
      <c r="H22" s="9"/>
      <c r="I22" s="49"/>
      <c r="J22" s="49"/>
      <c r="K22" s="9"/>
      <c r="L22" s="9"/>
      <c r="M22" s="9"/>
      <c r="N22" s="9"/>
      <c r="O22" s="9"/>
      <c r="P22" s="9"/>
      <c r="Q22" s="9"/>
      <c r="R22" s="9"/>
      <c r="S22" s="9"/>
      <c r="T22" s="49"/>
    </row>
    <row r="23" spans="2:20" x14ac:dyDescent="0.25">
      <c r="K23" s="9"/>
      <c r="L23" s="9"/>
      <c r="M23" s="9"/>
      <c r="N23" s="9"/>
      <c r="O23" s="9"/>
      <c r="P23" s="9"/>
      <c r="Q23" s="9"/>
      <c r="R23" s="9"/>
      <c r="S23" s="9"/>
    </row>
    <row r="24" spans="2:20" s="50" customFormat="1" x14ac:dyDescent="0.25">
      <c r="B24" s="76"/>
      <c r="C24" s="1" t="s">
        <v>181</v>
      </c>
      <c r="D24"/>
      <c r="E24"/>
      <c r="F24"/>
      <c r="G24"/>
      <c r="H24"/>
      <c r="I24" s="48"/>
      <c r="J24" s="48"/>
      <c r="K24"/>
      <c r="L24"/>
      <c r="M24"/>
      <c r="N24"/>
      <c r="O24"/>
      <c r="P24"/>
      <c r="Q24"/>
      <c r="R24"/>
      <c r="S24"/>
      <c r="T24" s="48"/>
    </row>
    <row r="25" spans="2:20" s="50" customFormat="1" x14ac:dyDescent="0.25">
      <c r="B25" s="111"/>
      <c r="C25" s="1" t="s">
        <v>182</v>
      </c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 s="50" customFormat="1" x14ac:dyDescent="0.25">
      <c r="B26"/>
      <c r="C26"/>
      <c r="D26"/>
      <c r="E26"/>
      <c r="F26"/>
      <c r="G26"/>
      <c r="H26"/>
      <c r="K26"/>
      <c r="L26"/>
      <c r="M26"/>
      <c r="N26"/>
      <c r="O26"/>
      <c r="P26"/>
      <c r="Q26"/>
      <c r="R26"/>
      <c r="S26"/>
    </row>
    <row r="27" spans="2:20" x14ac:dyDescent="0.25">
      <c r="I27" s="50"/>
      <c r="J27" s="50"/>
      <c r="T27" s="50"/>
    </row>
    <row r="31" spans="2:20" x14ac:dyDescent="0.25">
      <c r="I31" s="51"/>
      <c r="J31" s="51"/>
    </row>
    <row r="32" spans="2:20" x14ac:dyDescent="0.25">
      <c r="I32" s="51"/>
      <c r="J32" s="51"/>
    </row>
    <row r="33" spans="9:10" x14ac:dyDescent="0.25">
      <c r="I33" s="51"/>
      <c r="J33" s="51"/>
    </row>
    <row r="34" spans="9:10" x14ac:dyDescent="0.25">
      <c r="I34" s="51"/>
      <c r="J34" s="51"/>
    </row>
    <row r="35" spans="9:10" x14ac:dyDescent="0.25">
      <c r="I35" s="51"/>
      <c r="J35" s="51"/>
    </row>
    <row r="36" spans="9:10" x14ac:dyDescent="0.25">
      <c r="I36" s="51"/>
      <c r="J36" s="51"/>
    </row>
    <row r="37" spans="9:10" x14ac:dyDescent="0.25">
      <c r="I37" s="51"/>
      <c r="J37" s="51"/>
    </row>
    <row r="38" spans="9:10" x14ac:dyDescent="0.25">
      <c r="I38" s="51"/>
      <c r="J38" s="51"/>
    </row>
    <row r="39" spans="9:10" x14ac:dyDescent="0.25">
      <c r="I39" s="51"/>
      <c r="J39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38"/>
  <sheetViews>
    <sheetView zoomScaleNormal="100" workbookViewId="0">
      <selection activeCell="G9" sqref="G9:I9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16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88671875" customWidth="1"/>
    <col min="10" max="10" width="2" style="48" bestFit="1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37.33203125" bestFit="1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EnergyBalance!G2</f>
        <v>NUC</v>
      </c>
      <c r="D2" s="19" t="str">
        <f>EnergyBalance!G3</f>
        <v>Nuclear Energy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NUC</v>
      </c>
      <c r="N5" s="200" t="str">
        <f>D2</f>
        <v>Nuclear Energy</v>
      </c>
      <c r="O5" s="200" t="str">
        <f>$E$2</f>
        <v>PJ</v>
      </c>
      <c r="P5" s="200"/>
      <c r="Q5" s="200"/>
      <c r="R5" s="200"/>
      <c r="S5" s="200"/>
    </row>
    <row r="7" spans="2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2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2:20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3" t="s">
        <v>39</v>
      </c>
      <c r="H9" s="23" t="s">
        <v>117</v>
      </c>
      <c r="I9" s="23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2:20" s="50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 s="48"/>
    </row>
    <row r="11" spans="2:20" s="50" customFormat="1" x14ac:dyDescent="0.25">
      <c r="B11" s="15" t="str">
        <f>M11</f>
        <v>MINNUC1</v>
      </c>
      <c r="C11" s="15"/>
      <c r="D11" s="15" t="str">
        <f>$M$5</f>
        <v>NUC</v>
      </c>
      <c r="E11" s="15"/>
      <c r="F11" s="15"/>
      <c r="G11" s="140"/>
      <c r="H11" s="141"/>
      <c r="I11" s="142"/>
      <c r="K11" s="200" t="str">
        <f>EnergyBalance!$B$5</f>
        <v>MIN</v>
      </c>
      <c r="L11" s="201"/>
      <c r="M11" s="201" t="str">
        <f>$K$11&amp;$C$2&amp;1</f>
        <v>MINNUC1</v>
      </c>
      <c r="N11" s="204" t="str">
        <f>"Domestic Supply of "&amp;$D$2&amp; " Step "&amp;RIGHT(M11,1)</f>
        <v>Domestic Supply of Nuclear Energy Step 1</v>
      </c>
      <c r="O11" s="201" t="str">
        <f>$E$2</f>
        <v>PJ</v>
      </c>
      <c r="P11" s="201"/>
      <c r="Q11" s="201"/>
      <c r="R11" s="201"/>
      <c r="S11" s="201"/>
    </row>
    <row r="12" spans="2:20" s="50" customFormat="1" x14ac:dyDescent="0.25">
      <c r="B12" s="15"/>
      <c r="C12" s="15"/>
      <c r="D12" s="15"/>
      <c r="E12" s="15"/>
      <c r="F12" s="15"/>
      <c r="G12" s="20"/>
      <c r="H12" s="44"/>
      <c r="I12" s="9"/>
      <c r="K12" s="9"/>
      <c r="L12" s="9"/>
      <c r="M12" s="9"/>
      <c r="N12" s="34"/>
      <c r="O12" s="9"/>
      <c r="P12" s="9"/>
      <c r="Q12" s="9"/>
      <c r="R12" s="9"/>
      <c r="S12" s="9"/>
    </row>
    <row r="13" spans="2:20" x14ac:dyDescent="0.25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5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5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5">
      <c r="B16" s="15"/>
      <c r="C16" s="15"/>
      <c r="D16" s="9"/>
      <c r="E16" s="9"/>
      <c r="F16" s="15"/>
      <c r="G16" s="14"/>
      <c r="H16" s="14"/>
      <c r="I16" s="22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5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5">
      <c r="B18" s="9"/>
      <c r="C18" s="9"/>
      <c r="D18" s="9"/>
      <c r="E18" s="9"/>
      <c r="F18" s="9"/>
      <c r="G18" s="9"/>
      <c r="H18" s="9"/>
      <c r="I18" s="9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5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5">
      <c r="B20" s="9"/>
      <c r="C20" s="9"/>
      <c r="D20" s="9"/>
      <c r="E20" s="9"/>
      <c r="F20" s="9"/>
      <c r="G20" s="9"/>
      <c r="H20" s="9"/>
      <c r="I20" s="9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5">
      <c r="B21" s="9"/>
      <c r="C21" s="9"/>
      <c r="D21" s="9"/>
      <c r="E21" s="9"/>
      <c r="F21" s="9"/>
      <c r="G21" s="9"/>
      <c r="H21" s="9"/>
      <c r="I21" s="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5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5">
      <c r="B23" s="76"/>
      <c r="C23" s="1" t="s">
        <v>181</v>
      </c>
      <c r="D23"/>
      <c r="E23"/>
      <c r="F23"/>
      <c r="G23"/>
      <c r="H23"/>
      <c r="I23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5">
      <c r="B24" s="111"/>
      <c r="C24" s="1" t="s">
        <v>182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0" customFormat="1" x14ac:dyDescent="0.25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 x14ac:dyDescent="0.25">
      <c r="J26" s="50"/>
      <c r="T26" s="50"/>
    </row>
    <row r="30" spans="2:20" x14ac:dyDescent="0.25">
      <c r="J30" s="51"/>
    </row>
    <row r="31" spans="2:20" x14ac:dyDescent="0.25">
      <c r="J31" s="51"/>
    </row>
    <row r="32" spans="2:20" x14ac:dyDescent="0.25">
      <c r="J32" s="51"/>
    </row>
    <row r="33" spans="10:10" x14ac:dyDescent="0.25">
      <c r="J33" s="51"/>
    </row>
    <row r="34" spans="10:10" x14ac:dyDescent="0.25">
      <c r="J34" s="51"/>
    </row>
    <row r="35" spans="10:10" x14ac:dyDescent="0.25">
      <c r="J35" s="51"/>
    </row>
    <row r="36" spans="10:10" x14ac:dyDescent="0.25">
      <c r="J36" s="51"/>
    </row>
    <row r="37" spans="10:10" x14ac:dyDescent="0.25">
      <c r="J37" s="51"/>
    </row>
    <row r="38" spans="10:10" x14ac:dyDescent="0.25"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35"/>
  <sheetViews>
    <sheetView topLeftCell="B13" zoomScale="130" zoomScaleNormal="130" workbookViewId="0">
      <selection activeCell="C31" sqref="C31"/>
    </sheetView>
  </sheetViews>
  <sheetFormatPr defaultColWidth="8.77734375" defaultRowHeight="13.2" x14ac:dyDescent="0.25"/>
  <cols>
    <col min="1" max="1" width="3" customWidth="1"/>
    <col min="2" max="2" width="18.21875" customWidth="1"/>
    <col min="3" max="3" width="12.33203125" customWidth="1"/>
    <col min="4" max="4" width="11.88671875" bestFit="1" customWidth="1"/>
    <col min="5" max="5" width="12.88671875" customWidth="1"/>
    <col min="6" max="6" width="8.88671875" bestFit="1" customWidth="1"/>
    <col min="7" max="7" width="7.88671875" bestFit="1" customWidth="1"/>
    <col min="8" max="8" width="10.5546875" customWidth="1"/>
    <col min="9" max="9" width="2.109375" bestFit="1" customWidth="1"/>
    <col min="10" max="10" width="12.44140625" customWidth="1"/>
    <col min="11" max="11" width="7.109375" customWidth="1"/>
    <col min="12" max="12" width="14.5546875" bestFit="1" customWidth="1"/>
    <col min="13" max="13" width="64.44140625" customWidth="1"/>
    <col min="14" max="14" width="6.109375" customWidth="1"/>
    <col min="15" max="15" width="10.44140625" bestFit="1" customWidth="1"/>
    <col min="16" max="16" width="12.88671875" bestFit="1" customWidth="1"/>
    <col min="17" max="17" width="14.109375" bestFit="1" customWidth="1"/>
    <col min="18" max="18" width="8.109375" customWidth="1"/>
  </cols>
  <sheetData>
    <row r="1" spans="2:18" ht="14.4" x14ac:dyDescent="0.3">
      <c r="B1" s="16" t="s">
        <v>94</v>
      </c>
      <c r="C1" s="16" t="s">
        <v>95</v>
      </c>
      <c r="D1" s="16" t="s">
        <v>96</v>
      </c>
      <c r="E1" s="16" t="s">
        <v>145</v>
      </c>
      <c r="F1" s="16" t="s">
        <v>119</v>
      </c>
      <c r="G1" s="16" t="s">
        <v>126</v>
      </c>
      <c r="H1" s="16"/>
    </row>
    <row r="2" spans="2:18" ht="15.6" x14ac:dyDescent="0.3">
      <c r="B2" s="19"/>
      <c r="C2" s="19"/>
      <c r="D2" s="19" t="s">
        <v>143</v>
      </c>
      <c r="E2" s="19" t="str">
        <f>EnergyBalance!R2</f>
        <v>PJ</v>
      </c>
      <c r="F2" s="19" t="str">
        <f>EnergyBalance!Q2</f>
        <v>M€2005</v>
      </c>
      <c r="G2" s="19" t="s">
        <v>127</v>
      </c>
      <c r="H2" s="19"/>
      <c r="J2" s="195" t="s">
        <v>14</v>
      </c>
      <c r="K2" s="195"/>
      <c r="L2" s="196"/>
      <c r="M2" s="196"/>
      <c r="N2" s="196"/>
      <c r="O2" s="196"/>
      <c r="P2" s="196"/>
      <c r="Q2" s="196"/>
      <c r="R2" s="196"/>
    </row>
    <row r="3" spans="2:18" x14ac:dyDescent="0.25">
      <c r="J3" s="197" t="s">
        <v>7</v>
      </c>
      <c r="K3" s="198" t="s">
        <v>30</v>
      </c>
      <c r="L3" s="197" t="s">
        <v>0</v>
      </c>
      <c r="M3" s="197" t="s">
        <v>3</v>
      </c>
      <c r="N3" s="197" t="s">
        <v>4</v>
      </c>
      <c r="O3" s="197" t="s">
        <v>8</v>
      </c>
      <c r="P3" s="197" t="s">
        <v>9</v>
      </c>
      <c r="Q3" s="197" t="s">
        <v>10</v>
      </c>
      <c r="R3" s="197" t="s">
        <v>12</v>
      </c>
    </row>
    <row r="4" spans="2:18" s="9" customFormat="1" ht="22.2" thickBot="1" x14ac:dyDescent="0.35">
      <c r="B4" s="17"/>
      <c r="C4" s="17"/>
      <c r="D4" s="17"/>
      <c r="E4" s="17"/>
      <c r="G4"/>
      <c r="H4"/>
      <c r="J4" s="199" t="s">
        <v>40</v>
      </c>
      <c r="K4" s="199" t="s">
        <v>31</v>
      </c>
      <c r="L4" s="199" t="s">
        <v>26</v>
      </c>
      <c r="M4" s="199" t="s">
        <v>27</v>
      </c>
      <c r="N4" s="199" t="s">
        <v>4</v>
      </c>
      <c r="O4" s="199" t="s">
        <v>43</v>
      </c>
      <c r="P4" s="199" t="s">
        <v>44</v>
      </c>
      <c r="Q4" s="199" t="s">
        <v>28</v>
      </c>
      <c r="R4" s="199" t="s">
        <v>29</v>
      </c>
    </row>
    <row r="5" spans="2:18" x14ac:dyDescent="0.25">
      <c r="B5" s="11"/>
      <c r="C5" s="11"/>
      <c r="D5" s="11"/>
      <c r="E5" s="21"/>
      <c r="F5" s="21"/>
      <c r="J5" s="201" t="s">
        <v>93</v>
      </c>
      <c r="K5" s="201"/>
      <c r="L5" s="201" t="str">
        <f>EnergyBalance!$B$16&amp;EnergyBalance!$E$2</f>
        <v>RSDGAS</v>
      </c>
      <c r="M5" s="204" t="str">
        <f>EnergyBalance!$C$16&amp;" "&amp;EnergyBalance!$E$3</f>
        <v>Residential Natural Gas</v>
      </c>
      <c r="N5" s="201" t="str">
        <f t="shared" ref="N5:N11" si="0">$E$2</f>
        <v>PJ</v>
      </c>
      <c r="O5" s="201"/>
      <c r="P5" s="201"/>
      <c r="Q5" s="201"/>
      <c r="R5" s="201"/>
    </row>
    <row r="6" spans="2:18" x14ac:dyDescent="0.25">
      <c r="B6" s="11"/>
      <c r="C6" s="11"/>
      <c r="D6" s="11"/>
      <c r="E6" s="21"/>
      <c r="F6" s="21"/>
      <c r="J6" s="202"/>
      <c r="K6" s="202"/>
      <c r="L6" s="202" t="str">
        <f>EnergyBalance!$B$20&amp;EnergyBalance!$F$2</f>
        <v>TRAOIL</v>
      </c>
      <c r="M6" s="202" t="str">
        <f>EnergyBalance!$C$20&amp;" "&amp;EnergyBalance!$F$3</f>
        <v>Transport Crude Oil</v>
      </c>
      <c r="N6" s="202" t="str">
        <f t="shared" si="0"/>
        <v>PJ</v>
      </c>
      <c r="O6" s="201"/>
      <c r="P6" s="201"/>
      <c r="Q6" s="201"/>
      <c r="R6" s="201"/>
    </row>
    <row r="7" spans="2:18" x14ac:dyDescent="0.25">
      <c r="B7" s="11"/>
      <c r="C7" s="11"/>
      <c r="D7" s="11"/>
      <c r="E7" s="21"/>
      <c r="F7" s="21"/>
      <c r="J7" s="201"/>
      <c r="K7" s="201"/>
      <c r="L7" s="201" t="str">
        <f>Con_ELC!$B$2&amp;EnergyBalance!$D$2</f>
        <v>ELCCOA</v>
      </c>
      <c r="M7" s="204" t="str">
        <f>Con_ELC!$C$2&amp;" "&amp;EnergyBalance!$D$3</f>
        <v>Electricity Plants Solid Fuels</v>
      </c>
      <c r="N7" s="201" t="str">
        <f t="shared" si="0"/>
        <v>PJ</v>
      </c>
      <c r="O7" s="201"/>
      <c r="P7" s="201"/>
      <c r="Q7" s="201"/>
      <c r="R7" s="201"/>
    </row>
    <row r="8" spans="2:18" x14ac:dyDescent="0.25">
      <c r="B8" s="11"/>
      <c r="C8" s="11"/>
      <c r="D8" s="11"/>
      <c r="E8" s="21"/>
      <c r="F8" s="21"/>
      <c r="J8" s="201"/>
      <c r="K8" s="201"/>
      <c r="L8" s="201" t="str">
        <f>Con_ELC!$B$2&amp;EnergyBalance!$E$2</f>
        <v>ELCGAS</v>
      </c>
      <c r="M8" s="204" t="str">
        <f>Con_ELC!$C$2&amp;" "&amp;EnergyBalance!$E$3</f>
        <v>Electricity Plants Natural Gas</v>
      </c>
      <c r="N8" s="201" t="str">
        <f t="shared" si="0"/>
        <v>PJ</v>
      </c>
      <c r="O8" s="201"/>
      <c r="P8" s="201"/>
      <c r="Q8" s="201"/>
      <c r="R8" s="201"/>
    </row>
    <row r="9" spans="2:18" x14ac:dyDescent="0.25">
      <c r="B9" s="11"/>
      <c r="C9" s="11"/>
      <c r="D9" s="11"/>
      <c r="E9" s="21"/>
      <c r="F9" s="21"/>
      <c r="J9" s="201"/>
      <c r="K9" s="201"/>
      <c r="L9" s="201" t="str">
        <f>Con_ELC!$B$2&amp;EnergyBalance!$F$2</f>
        <v>ELCOIL</v>
      </c>
      <c r="M9" s="204" t="str">
        <f>Con_ELC!$C$2&amp;" "&amp;EnergyBalance!$F$3</f>
        <v>Electricity Plants Crude Oil</v>
      </c>
      <c r="N9" s="201" t="str">
        <f t="shared" si="0"/>
        <v>PJ</v>
      </c>
      <c r="O9" s="201"/>
      <c r="P9" s="201"/>
      <c r="Q9" s="201"/>
      <c r="R9" s="201"/>
    </row>
    <row r="10" spans="2:18" x14ac:dyDescent="0.25">
      <c r="B10" s="11"/>
      <c r="C10" s="11"/>
      <c r="D10" s="11"/>
      <c r="E10" s="21"/>
      <c r="F10" s="21"/>
      <c r="J10" s="201"/>
      <c r="K10" s="201"/>
      <c r="L10" s="201" t="str">
        <f>Con_ELC!$B$2&amp;EnergyBalance!$H$2</f>
        <v>ELCRNW</v>
      </c>
      <c r="M10" s="204" t="str">
        <f>Con_ELC!$C$2&amp;" "&amp;EnergyBalance!$H$3</f>
        <v>Electricity Plants Renewable Energies</v>
      </c>
      <c r="N10" s="201" t="str">
        <f t="shared" si="0"/>
        <v>PJ</v>
      </c>
      <c r="O10" s="201"/>
      <c r="P10" s="201"/>
      <c r="Q10" s="201"/>
      <c r="R10" s="201"/>
    </row>
    <row r="11" spans="2:18" x14ac:dyDescent="0.25">
      <c r="B11" s="11"/>
      <c r="C11" s="11"/>
      <c r="D11" s="11"/>
      <c r="E11" s="21"/>
      <c r="F11" s="21"/>
      <c r="J11" s="201"/>
      <c r="K11" s="201"/>
      <c r="L11" s="201" t="str">
        <f>Con_ELC!$B$2&amp;EnergyBalance!$G$2</f>
        <v>ELCNUC</v>
      </c>
      <c r="M11" s="204" t="str">
        <f>Con_ELC!$C$2&amp;" "&amp;EnergyBalance!$G$3</f>
        <v>Electricity Plants Nuclear Energy</v>
      </c>
      <c r="N11" s="201" t="str">
        <f t="shared" si="0"/>
        <v>PJ</v>
      </c>
      <c r="O11" s="201"/>
      <c r="P11" s="201"/>
      <c r="Q11" s="201"/>
      <c r="R11" s="201"/>
    </row>
    <row r="12" spans="2:18" x14ac:dyDescent="0.25">
      <c r="B12" s="11"/>
      <c r="C12" s="11"/>
      <c r="D12" s="11"/>
      <c r="E12" s="21"/>
      <c r="F12" s="21"/>
      <c r="J12" s="201"/>
      <c r="K12" s="201"/>
      <c r="L12" s="218" t="str">
        <f>D27</f>
        <v>ELCOILS</v>
      </c>
      <c r="M12" s="219" t="s">
        <v>207</v>
      </c>
      <c r="N12" s="218" t="s">
        <v>97</v>
      </c>
      <c r="O12" s="201"/>
      <c r="P12" s="201"/>
      <c r="Q12" s="201"/>
      <c r="R12" s="201"/>
    </row>
    <row r="13" spans="2:18" x14ac:dyDescent="0.25">
      <c r="B13" s="11"/>
      <c r="C13" s="11"/>
      <c r="D13" s="11"/>
      <c r="E13" s="21"/>
      <c r="F13" s="21"/>
      <c r="J13" s="201"/>
      <c r="K13" s="201"/>
      <c r="L13" s="218" t="str">
        <f>+D28</f>
        <v>LOIL</v>
      </c>
      <c r="M13" s="219" t="s">
        <v>224</v>
      </c>
      <c r="N13" s="218" t="s">
        <v>97</v>
      </c>
      <c r="O13" s="201"/>
      <c r="P13" s="201"/>
      <c r="Q13" s="201"/>
      <c r="R13" s="201"/>
    </row>
    <row r="14" spans="2:18" x14ac:dyDescent="0.25">
      <c r="B14" s="11"/>
      <c r="C14" s="11"/>
      <c r="D14" s="11"/>
      <c r="E14" s="21"/>
      <c r="F14" s="21"/>
      <c r="J14" s="201"/>
      <c r="K14" s="201"/>
      <c r="L14" s="218" t="str">
        <f>+D29</f>
        <v>H2</v>
      </c>
      <c r="M14" s="219" t="s">
        <v>236</v>
      </c>
      <c r="N14" s="218" t="s">
        <v>97</v>
      </c>
      <c r="O14" s="201"/>
      <c r="P14" s="201"/>
      <c r="Q14" s="201"/>
      <c r="R14" s="201"/>
    </row>
    <row r="15" spans="2:18" x14ac:dyDescent="0.25">
      <c r="L15" s="51"/>
      <c r="M15" s="53"/>
    </row>
    <row r="16" spans="2:18" x14ac:dyDescent="0.25">
      <c r="D16" s="7" t="s">
        <v>13</v>
      </c>
      <c r="E16" s="7"/>
      <c r="F16" s="7"/>
      <c r="J16" s="195" t="s">
        <v>15</v>
      </c>
      <c r="K16" s="195"/>
      <c r="L16" s="202"/>
      <c r="M16" s="202"/>
      <c r="N16" s="202"/>
      <c r="O16" s="202"/>
      <c r="P16" s="202"/>
      <c r="Q16" s="202"/>
      <c r="R16" s="202"/>
    </row>
    <row r="17" spans="2:18" ht="26.4" x14ac:dyDescent="0.25">
      <c r="B17" s="28" t="s">
        <v>1</v>
      </c>
      <c r="C17" s="28" t="s">
        <v>5</v>
      </c>
      <c r="D17" s="28" t="s">
        <v>6</v>
      </c>
      <c r="E17" s="143" t="s">
        <v>189</v>
      </c>
      <c r="F17" s="143" t="s">
        <v>108</v>
      </c>
      <c r="G17" s="143" t="s">
        <v>101</v>
      </c>
      <c r="H17" s="145" t="s">
        <v>239</v>
      </c>
      <c r="J17" s="197" t="s">
        <v>11</v>
      </c>
      <c r="K17" s="198" t="s">
        <v>30</v>
      </c>
      <c r="L17" s="197" t="s">
        <v>1</v>
      </c>
      <c r="M17" s="197" t="s">
        <v>2</v>
      </c>
      <c r="N17" s="197" t="s">
        <v>16</v>
      </c>
      <c r="O17" s="197" t="s">
        <v>17</v>
      </c>
      <c r="P17" s="197" t="s">
        <v>18</v>
      </c>
      <c r="Q17" s="197" t="s">
        <v>19</v>
      </c>
      <c r="R17" s="197" t="s">
        <v>20</v>
      </c>
    </row>
    <row r="18" spans="2:18" ht="21.6" thickBot="1" x14ac:dyDescent="0.3">
      <c r="B18" s="26" t="s">
        <v>42</v>
      </c>
      <c r="C18" s="26" t="s">
        <v>32</v>
      </c>
      <c r="D18" s="26" t="s">
        <v>33</v>
      </c>
      <c r="E18" s="26" t="s">
        <v>34</v>
      </c>
      <c r="F18" s="26" t="s">
        <v>113</v>
      </c>
      <c r="G18" s="26" t="s">
        <v>195</v>
      </c>
      <c r="H18" s="224"/>
      <c r="J18" s="199" t="s">
        <v>41</v>
      </c>
      <c r="K18" s="199" t="s">
        <v>31</v>
      </c>
      <c r="L18" s="199" t="s">
        <v>21</v>
      </c>
      <c r="M18" s="199" t="s">
        <v>22</v>
      </c>
      <c r="N18" s="199" t="s">
        <v>23</v>
      </c>
      <c r="O18" s="199" t="s">
        <v>24</v>
      </c>
      <c r="P18" s="199" t="s">
        <v>46</v>
      </c>
      <c r="Q18" s="199" t="s">
        <v>45</v>
      </c>
      <c r="R18" s="199" t="s">
        <v>25</v>
      </c>
    </row>
    <row r="19" spans="2:18" ht="13.8" thickBot="1" x14ac:dyDescent="0.3">
      <c r="B19" s="25" t="s">
        <v>114</v>
      </c>
      <c r="C19" s="25"/>
      <c r="D19" s="25"/>
      <c r="E19" s="23" t="str">
        <f>E2&amp;"a"</f>
        <v>PJa</v>
      </c>
      <c r="F19" s="23"/>
      <c r="G19" s="23" t="s">
        <v>115</v>
      </c>
      <c r="H19" s="225"/>
      <c r="J19" s="199" t="s">
        <v>103</v>
      </c>
      <c r="K19" s="203"/>
      <c r="L19" s="203"/>
      <c r="M19" s="203"/>
      <c r="N19" s="203"/>
      <c r="O19" s="203"/>
      <c r="P19" s="203"/>
      <c r="Q19" s="203"/>
      <c r="R19" s="203"/>
    </row>
    <row r="20" spans="2:18" x14ac:dyDescent="0.25">
      <c r="B20" t="str">
        <f t="shared" ref="B20:B26" si="1">L20</f>
        <v>FTE-RSDGAS</v>
      </c>
      <c r="C20" t="str">
        <f t="shared" ref="C20:C26" si="2">RIGHT(D20,3)</f>
        <v>GAS</v>
      </c>
      <c r="D20" t="str">
        <f>$L$5</f>
        <v>RSDGAS</v>
      </c>
      <c r="E20" s="22"/>
      <c r="F20" s="112">
        <v>1</v>
      </c>
      <c r="G20" s="113">
        <v>30</v>
      </c>
      <c r="H20" s="113"/>
      <c r="J20" s="200" t="s">
        <v>144</v>
      </c>
      <c r="K20" s="201"/>
      <c r="L20" s="201" t="str">
        <f t="shared" ref="L20:L26" si="3">"FT"&amp;$G$2&amp;"-"&amp;L5</f>
        <v>FTE-RSDGAS</v>
      </c>
      <c r="M20" s="204" t="str">
        <f>$D$2&amp;" "&amp;$G$1&amp;" "&amp;EnergyBalance!$C$16&amp; " Sector- "&amp;EnergyBalance!$E$3</f>
        <v>Sector Fuel Existing Residential Sector- Natural Gas</v>
      </c>
      <c r="N20" s="201" t="str">
        <f t="shared" ref="N20:N26" si="4">$E$2</f>
        <v>PJ</v>
      </c>
      <c r="O20" s="201" t="str">
        <f t="shared" ref="O20:O26" si="5">$E$2&amp;"a"</f>
        <v>PJa</v>
      </c>
      <c r="P20" s="201"/>
      <c r="Q20" s="201"/>
      <c r="R20" s="201"/>
    </row>
    <row r="21" spans="2:18" x14ac:dyDescent="0.25">
      <c r="B21" t="str">
        <f t="shared" si="1"/>
        <v>FTE-TRAOIL</v>
      </c>
      <c r="C21" t="str">
        <f t="shared" si="2"/>
        <v>OIL</v>
      </c>
      <c r="D21" t="str">
        <f>$L$6</f>
        <v>TRAOIL</v>
      </c>
      <c r="E21" s="182"/>
      <c r="F21" s="112">
        <v>1</v>
      </c>
      <c r="G21" s="113">
        <v>30</v>
      </c>
      <c r="H21" s="113"/>
      <c r="J21" s="201"/>
      <c r="K21" s="201"/>
      <c r="L21" s="201" t="str">
        <f t="shared" si="3"/>
        <v>FTE-TRAOIL</v>
      </c>
      <c r="M21" s="204" t="str">
        <f>$D$2&amp;" "&amp;$G$1&amp;" "&amp;EnergyBalance!$C$20&amp; " Sector- "&amp;EnergyBalance!$F$3</f>
        <v>Sector Fuel Existing Transport Sector- Crude Oil</v>
      </c>
      <c r="N21" s="201" t="str">
        <f t="shared" si="4"/>
        <v>PJ</v>
      </c>
      <c r="O21" s="201" t="str">
        <f t="shared" si="5"/>
        <v>PJa</v>
      </c>
      <c r="P21" s="201"/>
      <c r="Q21" s="201"/>
      <c r="R21" s="201"/>
    </row>
    <row r="22" spans="2:18" x14ac:dyDescent="0.25">
      <c r="B22" t="str">
        <f t="shared" si="1"/>
        <v>FTE-ELCCOA</v>
      </c>
      <c r="C22" t="str">
        <f t="shared" si="2"/>
        <v>COA</v>
      </c>
      <c r="D22" s="48" t="str">
        <f>L7</f>
        <v>ELCCOA</v>
      </c>
      <c r="E22" s="21"/>
      <c r="F22" s="112">
        <v>1</v>
      </c>
      <c r="G22" s="113">
        <v>30</v>
      </c>
      <c r="H22" s="113"/>
      <c r="J22" s="201"/>
      <c r="K22" s="201"/>
      <c r="L22" s="201" t="str">
        <f t="shared" si="3"/>
        <v>FTE-ELCCOA</v>
      </c>
      <c r="M22" s="204" t="str">
        <f>$D$2&amp;" Technology"&amp;" "&amp;$G$1&amp;" "&amp;M7</f>
        <v>Sector Fuel Technology Existing Electricity Plants Solid Fuels</v>
      </c>
      <c r="N22" s="201" t="str">
        <f t="shared" si="4"/>
        <v>PJ</v>
      </c>
      <c r="O22" s="201" t="str">
        <f t="shared" si="5"/>
        <v>PJa</v>
      </c>
      <c r="P22" s="201"/>
      <c r="Q22" s="201"/>
      <c r="R22" s="201"/>
    </row>
    <row r="23" spans="2:18" x14ac:dyDescent="0.25">
      <c r="B23" t="str">
        <f t="shared" si="1"/>
        <v>FTE-ELCGAS</v>
      </c>
      <c r="C23" t="str">
        <f t="shared" si="2"/>
        <v>GAS</v>
      </c>
      <c r="D23" s="48" t="str">
        <f>L8</f>
        <v>ELCGAS</v>
      </c>
      <c r="E23" s="21"/>
      <c r="F23" s="112">
        <v>1</v>
      </c>
      <c r="G23" s="113">
        <v>30</v>
      </c>
      <c r="H23" s="113"/>
      <c r="J23" s="201"/>
      <c r="K23" s="201"/>
      <c r="L23" s="201" t="str">
        <f t="shared" si="3"/>
        <v>FTE-ELCGAS</v>
      </c>
      <c r="M23" s="204" t="str">
        <f>$D$2&amp;" Technology"&amp;" "&amp;$G$1&amp;" "&amp;M8</f>
        <v>Sector Fuel Technology Existing Electricity Plants Natural Gas</v>
      </c>
      <c r="N23" s="201" t="str">
        <f t="shared" si="4"/>
        <v>PJ</v>
      </c>
      <c r="O23" s="201" t="str">
        <f t="shared" si="5"/>
        <v>PJa</v>
      </c>
      <c r="P23" s="201"/>
      <c r="Q23" s="201"/>
      <c r="R23" s="201"/>
    </row>
    <row r="24" spans="2:18" x14ac:dyDescent="0.25">
      <c r="B24" t="str">
        <f t="shared" si="1"/>
        <v>FTE-ELCOIL</v>
      </c>
      <c r="C24" t="str">
        <f t="shared" si="2"/>
        <v>OIL</v>
      </c>
      <c r="D24" s="48" t="str">
        <f>L9</f>
        <v>ELCOIL</v>
      </c>
      <c r="E24" s="21"/>
      <c r="F24" s="112">
        <v>1</v>
      </c>
      <c r="G24" s="113">
        <v>30</v>
      </c>
      <c r="H24" s="113"/>
      <c r="J24" s="201"/>
      <c r="K24" s="201"/>
      <c r="L24" s="201" t="str">
        <f t="shared" si="3"/>
        <v>FTE-ELCOIL</v>
      </c>
      <c r="M24" s="205" t="str">
        <f>$D$2&amp;" Technology"&amp;" "&amp;$G$1&amp;" "&amp;M9</f>
        <v>Sector Fuel Technology Existing Electricity Plants Crude Oil</v>
      </c>
      <c r="N24" s="201" t="str">
        <f t="shared" si="4"/>
        <v>PJ</v>
      </c>
      <c r="O24" s="201" t="str">
        <f t="shared" si="5"/>
        <v>PJa</v>
      </c>
      <c r="P24" s="201"/>
      <c r="Q24" s="201"/>
      <c r="R24" s="201"/>
    </row>
    <row r="25" spans="2:18" x14ac:dyDescent="0.25">
      <c r="B25" t="str">
        <f t="shared" si="1"/>
        <v>FTE-ELCRNW</v>
      </c>
      <c r="C25" t="str">
        <f t="shared" si="2"/>
        <v>RNW</v>
      </c>
      <c r="D25" s="48" t="str">
        <f>L10</f>
        <v>ELCRNW</v>
      </c>
      <c r="E25" s="21"/>
      <c r="F25" s="112">
        <v>1</v>
      </c>
      <c r="G25" s="113">
        <v>30</v>
      </c>
      <c r="H25" s="113"/>
      <c r="J25" s="201"/>
      <c r="K25" s="201"/>
      <c r="L25" s="201" t="str">
        <f t="shared" si="3"/>
        <v>FTE-ELCRNW</v>
      </c>
      <c r="M25" s="204" t="str">
        <f>$D$2&amp;" Technology"&amp;" "&amp;$G$1&amp;" "&amp;M10</f>
        <v>Sector Fuel Technology Existing Electricity Plants Renewable Energies</v>
      </c>
      <c r="N25" s="201" t="str">
        <f t="shared" si="4"/>
        <v>PJ</v>
      </c>
      <c r="O25" s="201" t="str">
        <f t="shared" si="5"/>
        <v>PJa</v>
      </c>
      <c r="P25" s="201"/>
      <c r="Q25" s="201"/>
      <c r="R25" s="201"/>
    </row>
    <row r="26" spans="2:18" x14ac:dyDescent="0.25">
      <c r="B26" t="str">
        <f t="shared" si="1"/>
        <v>FTE-ELCNUC</v>
      </c>
      <c r="C26" t="str">
        <f t="shared" si="2"/>
        <v>NUC</v>
      </c>
      <c r="D26" s="48" t="str">
        <f>L11</f>
        <v>ELCNUC</v>
      </c>
      <c r="E26" s="21"/>
      <c r="F26" s="112">
        <v>1</v>
      </c>
      <c r="G26" s="113">
        <v>30</v>
      </c>
      <c r="H26" s="113"/>
      <c r="J26" s="206"/>
      <c r="K26" s="207"/>
      <c r="L26" s="201" t="str">
        <f t="shared" si="3"/>
        <v>FTE-ELCNUC</v>
      </c>
      <c r="M26" s="204" t="str">
        <f>$D$2&amp;" Technology"&amp;" "&amp;$G$1&amp;" "&amp;M11</f>
        <v>Sector Fuel Technology Existing Electricity Plants Nuclear Energy</v>
      </c>
      <c r="N26" s="201" t="str">
        <f t="shared" si="4"/>
        <v>PJ</v>
      </c>
      <c r="O26" s="201" t="str">
        <f t="shared" si="5"/>
        <v>PJa</v>
      </c>
      <c r="P26" s="201"/>
      <c r="Q26" s="201"/>
      <c r="R26" s="201"/>
    </row>
    <row r="27" spans="2:18" x14ac:dyDescent="0.25">
      <c r="B27" s="217" t="s">
        <v>208</v>
      </c>
      <c r="C27" s="217" t="s">
        <v>203</v>
      </c>
      <c r="D27" s="217" t="s">
        <v>206</v>
      </c>
      <c r="F27">
        <v>1</v>
      </c>
      <c r="G27">
        <v>30</v>
      </c>
      <c r="J27" s="49"/>
      <c r="K27" s="48"/>
      <c r="L27" s="201" t="str">
        <f>+B27</f>
        <v>FTE-ELCOILS</v>
      </c>
      <c r="M27" s="217" t="s">
        <v>209</v>
      </c>
      <c r="N27" s="217" t="s">
        <v>97</v>
      </c>
      <c r="O27" s="217" t="s">
        <v>210</v>
      </c>
      <c r="P27" s="9"/>
      <c r="Q27" s="9"/>
      <c r="R27" s="9"/>
    </row>
    <row r="28" spans="2:18" x14ac:dyDescent="0.25">
      <c r="B28" s="217" t="s">
        <v>223</v>
      </c>
      <c r="C28" s="217" t="s">
        <v>49</v>
      </c>
      <c r="D28" s="217" t="s">
        <v>217</v>
      </c>
      <c r="F28" s="230">
        <v>0.9</v>
      </c>
      <c r="G28" s="231">
        <v>30</v>
      </c>
      <c r="H28" s="231"/>
      <c r="J28" s="49"/>
      <c r="K28" s="48"/>
      <c r="L28" s="201" t="str">
        <f>+B28</f>
        <v>FTE-LOIL</v>
      </c>
      <c r="M28" s="217" t="s">
        <v>225</v>
      </c>
      <c r="N28" s="217" t="s">
        <v>97</v>
      </c>
      <c r="O28" s="217" t="s">
        <v>210</v>
      </c>
      <c r="P28" s="9"/>
      <c r="Q28" s="9"/>
      <c r="R28" s="9"/>
    </row>
    <row r="29" spans="2:18" x14ac:dyDescent="0.25">
      <c r="B29" s="217" t="s">
        <v>235</v>
      </c>
      <c r="C29" s="217" t="s">
        <v>48</v>
      </c>
      <c r="D29" s="217" t="s">
        <v>232</v>
      </c>
      <c r="F29" s="230">
        <v>0.75</v>
      </c>
      <c r="G29" s="231">
        <v>30</v>
      </c>
      <c r="H29" s="231">
        <v>50</v>
      </c>
      <c r="J29" s="49"/>
      <c r="K29" s="48"/>
      <c r="L29" s="201" t="str">
        <f>+B29</f>
        <v>FTE-GASTOH2</v>
      </c>
      <c r="M29" s="217" t="s">
        <v>237</v>
      </c>
      <c r="N29" s="217" t="s">
        <v>97</v>
      </c>
      <c r="O29" s="217" t="s">
        <v>210</v>
      </c>
      <c r="P29" s="9"/>
      <c r="Q29" s="9"/>
      <c r="R29" s="9"/>
    </row>
    <row r="30" spans="2:18" x14ac:dyDescent="0.25">
      <c r="B30" s="217" t="s">
        <v>238</v>
      </c>
      <c r="C30" s="217" t="s">
        <v>48</v>
      </c>
      <c r="D30" s="217" t="s">
        <v>232</v>
      </c>
      <c r="F30" s="230">
        <v>0.65</v>
      </c>
      <c r="G30" s="231">
        <v>30</v>
      </c>
      <c r="H30" s="231">
        <v>5</v>
      </c>
      <c r="J30" s="49"/>
      <c r="K30" s="48"/>
      <c r="L30" s="201" t="str">
        <f>+B30</f>
        <v>FTE-GASTOH2_CCS</v>
      </c>
      <c r="M30" s="217" t="s">
        <v>240</v>
      </c>
      <c r="N30" s="217" t="s">
        <v>97</v>
      </c>
      <c r="O30" s="217" t="s">
        <v>210</v>
      </c>
      <c r="P30" s="9"/>
      <c r="Q30" s="9"/>
      <c r="R30" s="9"/>
    </row>
    <row r="31" spans="2:18" x14ac:dyDescent="0.25">
      <c r="B31" s="217" t="s">
        <v>241</v>
      </c>
      <c r="C31" s="217" t="str">
        <f>Con_ELC!D16</f>
        <v>ELC</v>
      </c>
      <c r="D31" s="217" t="s">
        <v>232</v>
      </c>
      <c r="F31" s="230">
        <v>0.9</v>
      </c>
      <c r="G31" s="231"/>
      <c r="H31" s="231">
        <v>0</v>
      </c>
      <c r="J31" s="49"/>
      <c r="K31" s="48"/>
      <c r="L31" s="201" t="str">
        <f>+B31</f>
        <v>FTE-ELCTOH2</v>
      </c>
      <c r="M31" s="217" t="s">
        <v>242</v>
      </c>
      <c r="N31" s="217" t="s">
        <v>97</v>
      </c>
      <c r="O31" s="217" t="s">
        <v>210</v>
      </c>
      <c r="P31" s="9"/>
      <c r="Q31" s="9"/>
      <c r="R31" s="9"/>
    </row>
    <row r="32" spans="2:18" x14ac:dyDescent="0.25">
      <c r="J32" s="48"/>
      <c r="K32" s="48"/>
      <c r="P32" s="9"/>
      <c r="Q32" s="9"/>
      <c r="R32" s="9"/>
    </row>
    <row r="33" spans="2:18" x14ac:dyDescent="0.25">
      <c r="B33" s="76"/>
      <c r="C33" s="1" t="s">
        <v>181</v>
      </c>
      <c r="J33" s="55"/>
      <c r="K33" s="52"/>
      <c r="P33" s="9"/>
      <c r="Q33" s="9"/>
      <c r="R33" s="9"/>
    </row>
    <row r="34" spans="2:18" x14ac:dyDescent="0.25">
      <c r="B34" s="111"/>
      <c r="C34" s="1" t="s">
        <v>182</v>
      </c>
      <c r="J34" s="56"/>
      <c r="K34" s="56"/>
      <c r="P34" s="56"/>
      <c r="Q34" s="56"/>
      <c r="R34" s="9"/>
    </row>
    <row r="35" spans="2:18" x14ac:dyDescent="0.25">
      <c r="J35" s="9"/>
      <c r="K35" s="9"/>
      <c r="L35" s="9"/>
      <c r="M35" s="9"/>
      <c r="N35" s="9"/>
      <c r="O35" s="9"/>
      <c r="P35" s="9"/>
      <c r="Q35" s="9"/>
      <c r="R35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A37"/>
  <sheetViews>
    <sheetView topLeftCell="B7" zoomScale="115" zoomScaleNormal="115" workbookViewId="0">
      <selection activeCell="D27" sqref="D27"/>
    </sheetView>
  </sheetViews>
  <sheetFormatPr defaultColWidth="8.88671875" defaultRowHeight="13.2" x14ac:dyDescent="0.25"/>
  <cols>
    <col min="1" max="1" width="3" style="48" customWidth="1"/>
    <col min="2" max="2" width="16.44140625" style="48" customWidth="1"/>
    <col min="3" max="3" width="12.109375" style="48" bestFit="1" customWidth="1"/>
    <col min="4" max="4" width="11.33203125" style="48" bestFit="1" customWidth="1"/>
    <col min="5" max="5" width="12" style="48" bestFit="1" customWidth="1"/>
    <col min="6" max="6" width="13.109375" style="48" customWidth="1"/>
    <col min="7" max="7" width="10" style="48" customWidth="1"/>
    <col min="8" max="8" width="8.109375" style="48" customWidth="1"/>
    <col min="9" max="9" width="9.6640625" style="48" customWidth="1"/>
    <col min="10" max="10" width="7.109375" style="48" bestFit="1" customWidth="1"/>
    <col min="11" max="11" width="9.33203125" style="48" customWidth="1"/>
    <col min="12" max="12" width="7.88671875" style="48" customWidth="1"/>
    <col min="13" max="13" width="7" style="48" bestFit="1" customWidth="1"/>
    <col min="14" max="14" width="9.5546875" style="48" customWidth="1"/>
    <col min="15" max="15" width="15.109375" style="48" customWidth="1"/>
    <col min="16" max="16" width="2" style="51" customWidth="1"/>
    <col min="17" max="17" width="13.5546875" style="51" bestFit="1" customWidth="1"/>
    <col min="18" max="18" width="2" style="51" customWidth="1"/>
    <col min="19" max="19" width="12.6640625" bestFit="1" customWidth="1"/>
    <col min="20" max="20" width="7.44140625" bestFit="1" customWidth="1"/>
    <col min="21" max="21" width="14.109375" customWidth="1"/>
    <col min="22" max="22" width="55" bestFit="1" customWidth="1"/>
    <col min="23" max="23" width="6.33203125" customWidth="1"/>
    <col min="24" max="24" width="11.44140625" bestFit="1" customWidth="1"/>
    <col min="25" max="25" width="13.5546875" bestFit="1" customWidth="1"/>
    <col min="26" max="26" width="15" bestFit="1" customWidth="1"/>
    <col min="27" max="27" width="8.109375" bestFit="1" customWidth="1"/>
    <col min="28" max="16384" width="8.88671875" style="48"/>
  </cols>
  <sheetData>
    <row r="1" spans="2:27" ht="28.8" x14ac:dyDescent="0.3">
      <c r="B1" s="43" t="s">
        <v>94</v>
      </c>
      <c r="C1" s="16" t="s">
        <v>96</v>
      </c>
      <c r="D1" s="16" t="s">
        <v>146</v>
      </c>
      <c r="E1" s="43" t="s">
        <v>23</v>
      </c>
      <c r="F1" s="43" t="s">
        <v>153</v>
      </c>
      <c r="G1" s="43" t="s">
        <v>99</v>
      </c>
      <c r="I1" s="43" t="s">
        <v>126</v>
      </c>
      <c r="J1" s="43" t="s">
        <v>188</v>
      </c>
    </row>
    <row r="2" spans="2:27" ht="31.2" x14ac:dyDescent="0.3">
      <c r="B2" s="19" t="str">
        <f>EnergyBalance!B11</f>
        <v>ELC</v>
      </c>
      <c r="C2" s="33" t="str">
        <f>EnergyBalance!C11</f>
        <v>Electricity Plants</v>
      </c>
      <c r="D2" s="33" t="s">
        <v>154</v>
      </c>
      <c r="E2" s="19" t="str">
        <f>EnergyBalance!R2</f>
        <v>PJ</v>
      </c>
      <c r="F2" s="19" t="s">
        <v>155</v>
      </c>
      <c r="G2" s="19" t="str">
        <f>EnergyBalance!Q2</f>
        <v>M€2005</v>
      </c>
      <c r="I2" s="19" t="s">
        <v>127</v>
      </c>
      <c r="J2" s="19" t="s">
        <v>128</v>
      </c>
      <c r="S2" s="195" t="s">
        <v>14</v>
      </c>
      <c r="T2" s="195"/>
      <c r="U2" s="196"/>
      <c r="V2" s="196"/>
      <c r="W2" s="196"/>
      <c r="X2" s="196"/>
      <c r="Y2" s="196"/>
      <c r="Z2" s="196"/>
      <c r="AA2" s="196"/>
    </row>
    <row r="3" spans="2:27" x14ac:dyDescent="0.25">
      <c r="S3" s="197" t="s">
        <v>7</v>
      </c>
      <c r="T3" s="198" t="s">
        <v>30</v>
      </c>
      <c r="U3" s="197" t="s">
        <v>0</v>
      </c>
      <c r="V3" s="197" t="s">
        <v>3</v>
      </c>
      <c r="W3" s="197" t="s">
        <v>4</v>
      </c>
      <c r="X3" s="197" t="s">
        <v>8</v>
      </c>
      <c r="Y3" s="197" t="s">
        <v>9</v>
      </c>
      <c r="Z3" s="197" t="s">
        <v>10</v>
      </c>
      <c r="AA3" s="197" t="s">
        <v>12</v>
      </c>
    </row>
    <row r="4" spans="2:27" s="50" customFormat="1" ht="22.2" thickBot="1" x14ac:dyDescent="0.35">
      <c r="B4" s="58" t="s">
        <v>161</v>
      </c>
      <c r="C4" s="16" t="s">
        <v>168</v>
      </c>
      <c r="D4" s="16" t="s">
        <v>162</v>
      </c>
      <c r="E4" s="16" t="s">
        <v>163</v>
      </c>
      <c r="F4" s="16" t="s">
        <v>173</v>
      </c>
      <c r="H4" s="17"/>
      <c r="P4" s="51"/>
      <c r="Q4" s="51"/>
      <c r="R4" s="51"/>
      <c r="S4" s="199" t="s">
        <v>40</v>
      </c>
      <c r="T4" s="199" t="s">
        <v>31</v>
      </c>
      <c r="U4" s="199" t="s">
        <v>26</v>
      </c>
      <c r="V4" s="199" t="s">
        <v>27</v>
      </c>
      <c r="W4" s="199" t="s">
        <v>4</v>
      </c>
      <c r="X4" s="199" t="s">
        <v>43</v>
      </c>
      <c r="Y4" s="199" t="s">
        <v>44</v>
      </c>
      <c r="Z4" s="199" t="s">
        <v>28</v>
      </c>
      <c r="AA4" s="199" t="s">
        <v>29</v>
      </c>
    </row>
    <row r="5" spans="2:27" s="50" customFormat="1" ht="15.6" x14ac:dyDescent="0.3">
      <c r="B5" s="57" t="s">
        <v>167</v>
      </c>
      <c r="C5" s="19" t="s">
        <v>166</v>
      </c>
      <c r="D5" s="19" t="s">
        <v>165</v>
      </c>
      <c r="E5" s="19" t="s">
        <v>164</v>
      </c>
      <c r="F5" s="19" t="s">
        <v>128</v>
      </c>
      <c r="H5" s="17"/>
      <c r="P5" s="51"/>
      <c r="Q5" s="51"/>
      <c r="R5" s="51"/>
      <c r="S5" s="200" t="s">
        <v>93</v>
      </c>
      <c r="T5" s="201"/>
      <c r="U5" s="200" t="str">
        <f>EnergyBalance!$K$2</f>
        <v>ELC</v>
      </c>
      <c r="V5" s="200" t="str">
        <f>EnergyBalance!$K$3</f>
        <v>Electricity</v>
      </c>
      <c r="W5" s="200" t="str">
        <f>$E$2</f>
        <v>PJ</v>
      </c>
      <c r="X5" s="200"/>
      <c r="Y5" s="200"/>
      <c r="Z5" s="200"/>
      <c r="AA5" s="200" t="s">
        <v>54</v>
      </c>
    </row>
    <row r="6" spans="2:27" x14ac:dyDescent="0.25">
      <c r="S6" s="202" t="s">
        <v>137</v>
      </c>
      <c r="T6" s="202"/>
      <c r="U6" s="202" t="str">
        <f>$B$2&amp;EnergyBalance!$C$46</f>
        <v>ELCCO2</v>
      </c>
      <c r="V6" s="202" t="str">
        <f>$C$2&amp;" "&amp;EnergyBalance!$C$47</f>
        <v>Electricity Plants Carbon dioxide</v>
      </c>
      <c r="W6" s="202" t="str">
        <f>EnergyBalance!$S$2</f>
        <v>kt</v>
      </c>
      <c r="X6" s="202"/>
      <c r="Y6" s="202"/>
      <c r="Z6" s="202"/>
      <c r="AA6" s="202"/>
    </row>
    <row r="7" spans="2:27" x14ac:dyDescent="0.25">
      <c r="S7" s="2"/>
      <c r="T7" s="2"/>
    </row>
    <row r="8" spans="2:27" x14ac:dyDescent="0.25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30"/>
      <c r="Q8" s="48"/>
      <c r="S8" s="195" t="s">
        <v>15</v>
      </c>
      <c r="T8" s="195"/>
      <c r="U8" s="196"/>
      <c r="V8" s="196"/>
      <c r="W8" s="196"/>
      <c r="X8" s="196"/>
      <c r="Y8" s="196"/>
      <c r="Z8" s="196"/>
      <c r="AA8" s="196"/>
    </row>
    <row r="9" spans="2:27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5" t="s">
        <v>190</v>
      </c>
      <c r="G9" s="146" t="s">
        <v>108</v>
      </c>
      <c r="H9" s="146" t="s">
        <v>124</v>
      </c>
      <c r="I9" s="146" t="s">
        <v>106</v>
      </c>
      <c r="J9" s="146" t="s">
        <v>107</v>
      </c>
      <c r="K9" s="146" t="s">
        <v>157</v>
      </c>
      <c r="L9" s="145" t="s">
        <v>101</v>
      </c>
      <c r="M9" s="145" t="s">
        <v>187</v>
      </c>
      <c r="N9" s="145" t="s">
        <v>129</v>
      </c>
      <c r="O9" s="145" t="s">
        <v>196</v>
      </c>
      <c r="P9" s="62"/>
      <c r="Q9" s="138" t="s">
        <v>169</v>
      </c>
      <c r="R9" s="62"/>
      <c r="S9" s="197" t="s">
        <v>11</v>
      </c>
      <c r="T9" s="198" t="s">
        <v>30</v>
      </c>
      <c r="U9" s="197" t="s">
        <v>1</v>
      </c>
      <c r="V9" s="197" t="s">
        <v>2</v>
      </c>
      <c r="W9" s="197" t="s">
        <v>16</v>
      </c>
      <c r="X9" s="197" t="s">
        <v>17</v>
      </c>
      <c r="Y9" s="197" t="s">
        <v>18</v>
      </c>
      <c r="Z9" s="197" t="s">
        <v>19</v>
      </c>
      <c r="AA9" s="197" t="s">
        <v>20</v>
      </c>
    </row>
    <row r="10" spans="2:27" ht="23.4" customHeight="1" thickBot="1" x14ac:dyDescent="0.3">
      <c r="B10" s="26" t="s">
        <v>42</v>
      </c>
      <c r="C10" s="26" t="s">
        <v>32</v>
      </c>
      <c r="D10" s="26" t="s">
        <v>33</v>
      </c>
      <c r="E10" s="144" t="s">
        <v>34</v>
      </c>
      <c r="F10" s="147" t="s">
        <v>171</v>
      </c>
      <c r="G10" s="144" t="s">
        <v>113</v>
      </c>
      <c r="H10" s="147" t="s">
        <v>125</v>
      </c>
      <c r="I10" s="144" t="s">
        <v>122</v>
      </c>
      <c r="J10" s="144" t="s">
        <v>121</v>
      </c>
      <c r="K10" s="144" t="s">
        <v>159</v>
      </c>
      <c r="L10" s="144" t="s">
        <v>195</v>
      </c>
      <c r="M10" s="144"/>
      <c r="N10" s="144" t="s">
        <v>136</v>
      </c>
      <c r="O10" s="144" t="s">
        <v>160</v>
      </c>
      <c r="P10" s="63"/>
      <c r="Q10" s="137" t="s">
        <v>158</v>
      </c>
      <c r="R10" s="63"/>
      <c r="S10" s="199" t="s">
        <v>41</v>
      </c>
      <c r="T10" s="199" t="s">
        <v>31</v>
      </c>
      <c r="U10" s="199" t="s">
        <v>21</v>
      </c>
      <c r="V10" s="199" t="s">
        <v>22</v>
      </c>
      <c r="W10" s="199" t="s">
        <v>23</v>
      </c>
      <c r="X10" s="199" t="s">
        <v>24</v>
      </c>
      <c r="Y10" s="199" t="s">
        <v>46</v>
      </c>
      <c r="Z10" s="199" t="s">
        <v>45</v>
      </c>
      <c r="AA10" s="199" t="s">
        <v>25</v>
      </c>
    </row>
    <row r="11" spans="2:27" ht="21.6" thickBot="1" x14ac:dyDescent="0.3">
      <c r="B11" s="25" t="s">
        <v>114</v>
      </c>
      <c r="C11" s="25"/>
      <c r="D11" s="25"/>
      <c r="E11" s="23" t="str">
        <f>$F$2</f>
        <v>GW</v>
      </c>
      <c r="F11" s="148" t="str">
        <f>$F$2</f>
        <v>GW</v>
      </c>
      <c r="G11" s="23"/>
      <c r="H11" s="148"/>
      <c r="I11" s="23" t="str">
        <f>$G$2&amp;"/"&amp;$F$2</f>
        <v>M€2005/GW</v>
      </c>
      <c r="J11" s="23" t="str">
        <f>$G$2&amp;"/"&amp;$F$2</f>
        <v>M€2005/GW</v>
      </c>
      <c r="K11" s="23" t="str">
        <f>$G$2&amp;"/"&amp;$E$2</f>
        <v>M€2005/PJ</v>
      </c>
      <c r="L11" s="23" t="s">
        <v>115</v>
      </c>
      <c r="M11" s="23"/>
      <c r="N11" s="23" t="str">
        <f>EnergyBalance!$S$2</f>
        <v>kt</v>
      </c>
      <c r="O11" s="23" t="str">
        <f>$E$2&amp;"/"&amp;$F$2</f>
        <v>PJ/GW</v>
      </c>
      <c r="P11" s="63"/>
      <c r="Q11" s="193" t="s">
        <v>172</v>
      </c>
      <c r="R11" s="63"/>
      <c r="S11" s="199" t="s">
        <v>103</v>
      </c>
      <c r="T11" s="199"/>
      <c r="U11" s="199"/>
      <c r="V11" s="199"/>
      <c r="W11" s="199"/>
      <c r="X11" s="199"/>
      <c r="Y11" s="199"/>
      <c r="Z11" s="199"/>
      <c r="AA11" s="199"/>
    </row>
    <row r="12" spans="2:27" x14ac:dyDescent="0.25">
      <c r="B12" s="48" t="str">
        <f>U12</f>
        <v>ELCTECOA00</v>
      </c>
      <c r="C12" s="48" t="str">
        <f>$B$2&amp;RIGHT(Sector_Fuels!$L$7,3)</f>
        <v>ELCCOA</v>
      </c>
      <c r="D12" s="48" t="str">
        <f>$U$5</f>
        <v>ELC</v>
      </c>
      <c r="E12" s="132">
        <f>(-EnergyBalance!D11*G12)/(H12*O12)</f>
        <v>137.49657086578924</v>
      </c>
      <c r="F12" s="132"/>
      <c r="G12" s="120">
        <v>0.38400000000000001</v>
      </c>
      <c r="H12" s="120">
        <v>0.85</v>
      </c>
      <c r="I12" s="119"/>
      <c r="J12" s="120">
        <v>40</v>
      </c>
      <c r="K12" s="120">
        <v>0.5</v>
      </c>
      <c r="L12" s="119">
        <v>30</v>
      </c>
      <c r="O12" s="187">
        <v>31.536000000000001</v>
      </c>
      <c r="P12" s="156"/>
      <c r="Q12" s="61">
        <f>E12*$H12*$O12</f>
        <v>3685.6780800000001</v>
      </c>
      <c r="R12" s="63"/>
      <c r="S12" s="201" t="s">
        <v>156</v>
      </c>
      <c r="T12" s="201"/>
      <c r="U12" s="201" t="str">
        <f>$B$2&amp;$C$5&amp;$I$2&amp;RIGHT(Sector_Fuels!$L$7,3)&amp;"00"</f>
        <v>ELCTECOA00</v>
      </c>
      <c r="V12" s="205" t="str">
        <f>$D$2&amp;" "&amp;$I$1&amp;RIGHT(U12,2)&amp;" - "&amp;EnergyBalance!D3</f>
        <v>Power Plants Existing00 - Solid Fuels</v>
      </c>
      <c r="W12" s="201" t="str">
        <f t="shared" ref="W12:W19" si="0">$E$2</f>
        <v>PJ</v>
      </c>
      <c r="X12" s="201" t="str">
        <f t="shared" ref="X12:X19" si="1">$F$2</f>
        <v>GW</v>
      </c>
      <c r="Y12" s="200"/>
      <c r="Z12" s="201"/>
      <c r="AA12" s="201"/>
    </row>
    <row r="13" spans="2:27" x14ac:dyDescent="0.25">
      <c r="D13" s="48" t="str">
        <f>$U$6</f>
        <v>ELCCO2</v>
      </c>
      <c r="E13" s="132"/>
      <c r="F13" s="132"/>
      <c r="G13" s="120"/>
      <c r="H13" s="120"/>
      <c r="I13" s="119"/>
      <c r="J13" s="120"/>
      <c r="K13" s="120"/>
      <c r="L13" s="119"/>
      <c r="N13" s="186">
        <f>99.8/G12</f>
        <v>259.89583333333331</v>
      </c>
      <c r="P13" s="156"/>
      <c r="Q13" s="61"/>
      <c r="R13" s="64"/>
      <c r="S13" s="201"/>
      <c r="T13" s="201"/>
      <c r="U13" s="201" t="str">
        <f>$B$2&amp;$C$5&amp;$I$2&amp;RIGHT(Sector_Fuels!$L$8,3)&amp;"00"</f>
        <v>ELCTEGAS00</v>
      </c>
      <c r="V13" s="205" t="str">
        <f>$D$2&amp;" "&amp;$I$1&amp;RIGHT(U13,2)&amp;" - "&amp;EnergyBalance!E3</f>
        <v>Power Plants Existing00 - Natural Gas</v>
      </c>
      <c r="W13" s="201" t="str">
        <f t="shared" si="0"/>
        <v>PJ</v>
      </c>
      <c r="X13" s="201" t="str">
        <f t="shared" si="1"/>
        <v>GW</v>
      </c>
      <c r="Y13" s="201"/>
      <c r="Z13" s="201"/>
      <c r="AA13" s="201"/>
    </row>
    <row r="14" spans="2:27" x14ac:dyDescent="0.25">
      <c r="B14" s="48" t="str">
        <f>U13</f>
        <v>ELCTEGAS00</v>
      </c>
      <c r="C14" s="48" t="str">
        <f>$B$2&amp;RIGHT(Sector_Fuels!$L$8,3)</f>
        <v>ELCGAS</v>
      </c>
      <c r="D14" s="48" t="str">
        <f>$U$5</f>
        <v>ELC</v>
      </c>
      <c r="E14" s="132">
        <f>(-EnergyBalance!E11*G14)/(H14*O14)</f>
        <v>103.62609445787447</v>
      </c>
      <c r="F14" s="132"/>
      <c r="G14" s="134">
        <v>0.4929</v>
      </c>
      <c r="H14" s="120">
        <v>0.85</v>
      </c>
      <c r="I14" s="119"/>
      <c r="J14" s="120">
        <v>35</v>
      </c>
      <c r="K14" s="120">
        <v>0.4</v>
      </c>
      <c r="L14" s="119">
        <v>20</v>
      </c>
      <c r="N14" s="54"/>
      <c r="O14" s="187">
        <v>31.536000000000001</v>
      </c>
      <c r="P14" s="156"/>
      <c r="Q14" s="61">
        <f>E14*H14*O14</f>
        <v>2777.7596376000001</v>
      </c>
      <c r="R14" s="64"/>
      <c r="S14" s="201"/>
      <c r="T14" s="201"/>
      <c r="U14" s="201" t="str">
        <f>$B$2&amp;$C$5&amp;$I$2&amp;RIGHT(Sector_Fuels!$L$9,3)&amp;"00"</f>
        <v>ELCTEOIL00</v>
      </c>
      <c r="V14" s="205" t="str">
        <f>$D$2&amp;" "&amp;$I$1&amp;RIGHT(U14,2)&amp;" - "&amp;EnergyBalance!F3</f>
        <v>Power Plants Existing00 - Crude Oil</v>
      </c>
      <c r="W14" s="201" t="str">
        <f t="shared" si="0"/>
        <v>PJ</v>
      </c>
      <c r="X14" s="201" t="str">
        <f t="shared" si="1"/>
        <v>GW</v>
      </c>
      <c r="Y14" s="201"/>
      <c r="Z14" s="201"/>
      <c r="AA14" s="201"/>
    </row>
    <row r="15" spans="2:27" x14ac:dyDescent="0.25">
      <c r="D15" s="48" t="str">
        <f>$U$6</f>
        <v>ELCCO2</v>
      </c>
      <c r="E15" s="132"/>
      <c r="F15" s="132"/>
      <c r="G15" s="120"/>
      <c r="H15" s="120"/>
      <c r="I15" s="119"/>
      <c r="J15" s="120"/>
      <c r="K15" s="120"/>
      <c r="L15" s="119"/>
      <c r="N15" s="186">
        <f>56.1/G14</f>
        <v>113.81618989653074</v>
      </c>
      <c r="P15" s="156"/>
      <c r="Q15" s="61"/>
      <c r="R15" s="64"/>
      <c r="S15" s="201"/>
      <c r="T15" s="201"/>
      <c r="U15" s="201" t="str">
        <f>$B$2&amp;$E$5&amp;$I$2&amp;RIGHT(Sector_Fuels!$L$10,3)&amp;"00"</f>
        <v>ELCRERNW00</v>
      </c>
      <c r="V15" s="205" t="str">
        <f>$D$2&amp;" "&amp;$I$1&amp;RIGHT(U15,2)&amp;" - "&amp;EnergyBalance!H3</f>
        <v>Power Plants Existing00 - Renewable Energies</v>
      </c>
      <c r="W15" s="201" t="str">
        <f t="shared" si="0"/>
        <v>PJ</v>
      </c>
      <c r="X15" s="201" t="str">
        <f t="shared" si="1"/>
        <v>GW</v>
      </c>
      <c r="Y15" s="201"/>
      <c r="Z15" s="201"/>
      <c r="AA15" s="201"/>
    </row>
    <row r="16" spans="2:27" x14ac:dyDescent="0.25">
      <c r="B16" s="48" t="str">
        <f>U14</f>
        <v>ELCTEOIL00</v>
      </c>
      <c r="C16" s="48" t="str">
        <f>$B$2&amp;RIGHT(Sector_Fuels!$L$9,3)</f>
        <v>ELCOIL</v>
      </c>
      <c r="D16" s="48" t="str">
        <f>$U$5</f>
        <v>ELC</v>
      </c>
      <c r="E16" s="132">
        <f>((-EnergyBalance!F11*G16)/(H16*O16))</f>
        <v>11.421204897484106</v>
      </c>
      <c r="F16" s="132"/>
      <c r="G16" s="134">
        <v>0.25</v>
      </c>
      <c r="H16" s="134">
        <v>0.85</v>
      </c>
      <c r="I16" s="121"/>
      <c r="J16" s="134">
        <v>20</v>
      </c>
      <c r="K16" s="134">
        <v>0.2</v>
      </c>
      <c r="L16" s="121">
        <v>30</v>
      </c>
      <c r="M16" s="131"/>
      <c r="N16" s="54"/>
      <c r="O16" s="187">
        <v>31.536000000000001</v>
      </c>
      <c r="P16" s="156"/>
      <c r="Q16" s="61">
        <f>E16*H16*O16</f>
        <v>306.15224999999992</v>
      </c>
      <c r="R16" s="64"/>
      <c r="S16" s="201"/>
      <c r="T16" s="201"/>
      <c r="U16" s="201" t="str">
        <f>$B$2&amp;$C$5&amp;$I$2&amp;RIGHT(Sector_Fuels!$L$11,3)&amp;"00"</f>
        <v>ELCTENUC00</v>
      </c>
      <c r="V16" s="205" t="str">
        <f>$D$2&amp;" "&amp;$I$1&amp;RIGHT(U16,2)&amp;" - "&amp;EnergyBalance!G3</f>
        <v>Power Plants Existing00 - Nuclear Energy</v>
      </c>
      <c r="W16" s="201" t="str">
        <f t="shared" si="0"/>
        <v>PJ</v>
      </c>
      <c r="X16" s="201" t="str">
        <f t="shared" si="1"/>
        <v>GW</v>
      </c>
      <c r="Y16" s="200"/>
      <c r="Z16" s="201"/>
      <c r="AA16" s="201"/>
    </row>
    <row r="17" spans="2:27" x14ac:dyDescent="0.25">
      <c r="D17" s="48" t="str">
        <f>$U$6</f>
        <v>ELCCO2</v>
      </c>
      <c r="E17" s="133"/>
      <c r="F17" s="133"/>
      <c r="G17" s="134"/>
      <c r="H17" s="134"/>
      <c r="I17" s="121"/>
      <c r="J17" s="134"/>
      <c r="K17" s="134"/>
      <c r="L17" s="121"/>
      <c r="M17" s="131"/>
      <c r="N17" s="186">
        <f>76.4/G16</f>
        <v>305.60000000000002</v>
      </c>
      <c r="O17" s="52"/>
      <c r="P17" s="157"/>
      <c r="Q17" s="61"/>
      <c r="R17" s="64"/>
      <c r="S17" s="201"/>
      <c r="T17" s="201"/>
      <c r="U17" s="201" t="str">
        <f>$B$2&amp;$C$5&amp;$J$2&amp;RIGHT(Sector_Fuels!$L$7,3)&amp;"00"</f>
        <v>ELCTNCOA00</v>
      </c>
      <c r="V17" s="205" t="str">
        <f>$D$2&amp;" "&amp;$J$1&amp;RIGHT(U17,2)&amp;" - "&amp;EnergyBalance!D3</f>
        <v>Power Plants New00 - Solid Fuels</v>
      </c>
      <c r="W17" s="201" t="str">
        <f t="shared" si="0"/>
        <v>PJ</v>
      </c>
      <c r="X17" s="201" t="str">
        <f t="shared" si="1"/>
        <v>GW</v>
      </c>
      <c r="Y17" s="200"/>
      <c r="Z17" s="201"/>
      <c r="AA17" s="201"/>
    </row>
    <row r="18" spans="2:27" x14ac:dyDescent="0.25">
      <c r="B18" s="48" t="str">
        <f>U15</f>
        <v>ELCRERNW00</v>
      </c>
      <c r="C18" s="48" t="str">
        <f>$B$2&amp;RIGHT(Sector_Fuels!$L$10,3)</f>
        <v>ELCRNW</v>
      </c>
      <c r="D18" s="48" t="str">
        <f>$U$5</f>
        <v>ELC</v>
      </c>
      <c r="E18" s="132">
        <f>(-EnergyBalance!H11*G18)/(H18*O18)</f>
        <v>88.483849145949605</v>
      </c>
      <c r="F18" s="132">
        <f>E18</f>
        <v>88.483849145949605</v>
      </c>
      <c r="G18" s="120">
        <v>1</v>
      </c>
      <c r="H18" s="120">
        <v>0.45</v>
      </c>
      <c r="I18" s="119"/>
      <c r="J18" s="120">
        <v>70</v>
      </c>
      <c r="K18" s="120"/>
      <c r="L18" s="135"/>
      <c r="N18" s="54"/>
      <c r="O18" s="187">
        <v>31.536000000000001</v>
      </c>
      <c r="P18" s="156"/>
      <c r="Q18" s="61">
        <f>E18*H18*O18</f>
        <v>1255.692</v>
      </c>
      <c r="R18" s="64"/>
      <c r="S18" s="201"/>
      <c r="T18" s="201"/>
      <c r="U18" s="201" t="str">
        <f>$B$2&amp;$C$5&amp;$J$2&amp;RIGHT(Sector_Fuels!$L$8,3)&amp;"00"</f>
        <v>ELCTNGAS00</v>
      </c>
      <c r="V18" s="205" t="str">
        <f>$D$2&amp;" "&amp;$J$1&amp;RIGHT(U18,2)&amp;" - "&amp;EnergyBalance!E3</f>
        <v>Power Plants New00 - Natural Gas</v>
      </c>
      <c r="W18" s="201" t="str">
        <f t="shared" si="0"/>
        <v>PJ</v>
      </c>
      <c r="X18" s="201" t="str">
        <f t="shared" si="1"/>
        <v>GW</v>
      </c>
      <c r="Y18" s="201"/>
      <c r="Z18" s="201"/>
      <c r="AA18" s="201"/>
    </row>
    <row r="19" spans="2:27" x14ac:dyDescent="0.25">
      <c r="B19" s="178" t="str">
        <f>U16</f>
        <v>ELCTENUC00</v>
      </c>
      <c r="C19" s="178" t="str">
        <f>$B$2&amp;RIGHT(Sector_Fuels!$L$11,3)</f>
        <v>ELCNUC</v>
      </c>
      <c r="D19" s="178" t="str">
        <f>$U$5</f>
        <v>ELC</v>
      </c>
      <c r="E19" s="179">
        <f>(-EnergyBalance!G11*G19)/(H19*O19)</f>
        <v>125.28183557415862</v>
      </c>
      <c r="F19" s="179">
        <f>E19</f>
        <v>125.28183557415862</v>
      </c>
      <c r="G19" s="181">
        <v>0.33</v>
      </c>
      <c r="H19" s="180">
        <v>0.9</v>
      </c>
      <c r="I19" s="181"/>
      <c r="J19" s="180">
        <v>38</v>
      </c>
      <c r="K19" s="181">
        <v>0.27</v>
      </c>
      <c r="L19" s="184"/>
      <c r="M19" s="178"/>
      <c r="N19" s="183"/>
      <c r="O19" s="188">
        <v>31.536000000000001</v>
      </c>
      <c r="P19" s="194"/>
      <c r="Q19" s="61">
        <f>E19*H19*O19</f>
        <v>3555.7991699999998</v>
      </c>
      <c r="R19" s="64"/>
      <c r="S19" s="201"/>
      <c r="T19" s="201"/>
      <c r="U19" s="201" t="str">
        <f>$B$2&amp;$C$5&amp;$J$2&amp;RIGHT(Sector_Fuels!$L$9,3)&amp;"00"</f>
        <v>ELCTNOIL00</v>
      </c>
      <c r="V19" s="205" t="str">
        <f>$D$2&amp;" "&amp;$J$1&amp;RIGHT(U19,2)&amp;" - "&amp;EnergyBalance!F3</f>
        <v>Power Plants New00 - Crude Oil</v>
      </c>
      <c r="W19" s="201" t="str">
        <f t="shared" si="0"/>
        <v>PJ</v>
      </c>
      <c r="X19" s="201" t="str">
        <f t="shared" si="1"/>
        <v>GW</v>
      </c>
      <c r="Y19" s="201"/>
      <c r="Z19" s="201"/>
      <c r="AA19" s="201"/>
    </row>
    <row r="20" spans="2:27" x14ac:dyDescent="0.25">
      <c r="B20" s="48" t="str">
        <f>U17</f>
        <v>ELCTNCOA00</v>
      </c>
      <c r="C20" s="48" t="str">
        <f>$B$2&amp;RIGHT(Sector_Fuels!$L$7,3)</f>
        <v>ELCCOA</v>
      </c>
      <c r="D20" s="48" t="str">
        <f>$U$5</f>
        <v>ELC</v>
      </c>
      <c r="E20" s="54"/>
      <c r="F20" s="54"/>
      <c r="G20" s="120">
        <v>0.42</v>
      </c>
      <c r="H20" s="120">
        <v>0.85</v>
      </c>
      <c r="I20" s="119">
        <v>1650</v>
      </c>
      <c r="J20" s="120">
        <v>35</v>
      </c>
      <c r="K20" s="120">
        <v>0.4</v>
      </c>
      <c r="L20" s="119">
        <v>40</v>
      </c>
      <c r="M20" s="186">
        <v>2006</v>
      </c>
      <c r="N20" s="54"/>
      <c r="O20" s="187">
        <v>31.536000000000001</v>
      </c>
      <c r="P20" s="156"/>
      <c r="Q20" s="48"/>
      <c r="R20" s="64"/>
      <c r="S20" s="9"/>
      <c r="T20" s="9"/>
      <c r="U20" s="9" t="str">
        <f>+B26</f>
        <v>ELCTNOILS00</v>
      </c>
      <c r="V20" s="214" t="s">
        <v>213</v>
      </c>
      <c r="W20" s="214" t="s">
        <v>97</v>
      </c>
      <c r="X20" s="214" t="s">
        <v>155</v>
      </c>
      <c r="Y20" s="9"/>
      <c r="Z20" s="9"/>
      <c r="AA20" s="9"/>
    </row>
    <row r="21" spans="2:27" x14ac:dyDescent="0.25">
      <c r="D21" s="48" t="str">
        <f>$U$6</f>
        <v>ELCCO2</v>
      </c>
      <c r="E21" s="54"/>
      <c r="F21" s="54"/>
      <c r="G21" s="120"/>
      <c r="H21" s="120"/>
      <c r="I21" s="119"/>
      <c r="J21" s="120"/>
      <c r="K21" s="120"/>
      <c r="L21" s="119"/>
      <c r="M21" s="54"/>
      <c r="N21" s="186">
        <f>99.8/G20</f>
        <v>237.61904761904762</v>
      </c>
      <c r="P21" s="156"/>
      <c r="Q21" s="48"/>
    </row>
    <row r="22" spans="2:27" x14ac:dyDescent="0.25">
      <c r="B22" s="48" t="str">
        <f>U18</f>
        <v>ELCTNGAS00</v>
      </c>
      <c r="C22" s="48" t="str">
        <f>$B$2&amp;RIGHT(Sector_Fuels!$L$8,3)</f>
        <v>ELCGAS</v>
      </c>
      <c r="D22" s="48" t="str">
        <f>$U$5</f>
        <v>ELC</v>
      </c>
      <c r="G22" s="119">
        <v>0.52</v>
      </c>
      <c r="H22" s="120">
        <v>0.85</v>
      </c>
      <c r="I22" s="119">
        <v>750</v>
      </c>
      <c r="J22" s="120">
        <v>30</v>
      </c>
      <c r="K22" s="120">
        <v>0.35</v>
      </c>
      <c r="L22" s="119">
        <v>30</v>
      </c>
      <c r="M22" s="186">
        <v>2006</v>
      </c>
      <c r="N22" s="54"/>
      <c r="O22" s="187">
        <v>31.536000000000001</v>
      </c>
      <c r="P22" s="156"/>
      <c r="Q22" s="48"/>
    </row>
    <row r="23" spans="2:27" x14ac:dyDescent="0.25">
      <c r="D23" s="48" t="str">
        <f>$U$6</f>
        <v>ELCCO2</v>
      </c>
      <c r="G23" s="119"/>
      <c r="H23" s="119"/>
      <c r="I23" s="119"/>
      <c r="J23" s="120"/>
      <c r="K23" s="120"/>
      <c r="L23" s="119"/>
      <c r="M23" s="54"/>
      <c r="N23" s="186">
        <f>56.1/G22</f>
        <v>107.88461538461539</v>
      </c>
      <c r="P23" s="156"/>
      <c r="Q23" s="48"/>
    </row>
    <row r="24" spans="2:27" x14ac:dyDescent="0.25">
      <c r="B24" s="48" t="str">
        <f>U19</f>
        <v>ELCTNOIL00</v>
      </c>
      <c r="C24" s="48" t="str">
        <f>$B$2&amp;RIGHT(Sector_Fuels!$L$9,3)</f>
        <v>ELCOIL</v>
      </c>
      <c r="D24" s="48" t="str">
        <f>$U$5</f>
        <v>ELC</v>
      </c>
      <c r="G24" s="120">
        <v>0.3</v>
      </c>
      <c r="H24" s="120">
        <v>0.85</v>
      </c>
      <c r="I24" s="121">
        <v>250</v>
      </c>
      <c r="J24" s="134">
        <v>15</v>
      </c>
      <c r="K24" s="134">
        <v>0.2</v>
      </c>
      <c r="L24" s="119">
        <v>40</v>
      </c>
      <c r="M24" s="186">
        <v>2006</v>
      </c>
      <c r="N24" s="54"/>
      <c r="O24" s="187">
        <v>31.536000000000001</v>
      </c>
      <c r="P24" s="156"/>
      <c r="Q24" s="48"/>
    </row>
    <row r="25" spans="2:27" x14ac:dyDescent="0.25">
      <c r="D25" s="48" t="str">
        <f>$U$6</f>
        <v>ELCCO2</v>
      </c>
      <c r="G25" s="119"/>
      <c r="H25" s="119"/>
      <c r="I25" s="119"/>
      <c r="J25" s="119"/>
      <c r="K25" s="119"/>
      <c r="L25" s="119"/>
      <c r="M25" s="50"/>
      <c r="N25" s="186">
        <f>76.4/G24</f>
        <v>254.66666666666669</v>
      </c>
      <c r="P25" s="50"/>
      <c r="Q25" s="48"/>
    </row>
    <row r="26" spans="2:27" x14ac:dyDescent="0.25">
      <c r="B26" s="220" t="s">
        <v>212</v>
      </c>
      <c r="C26" s="48" t="str">
        <f>+Sector_Fuels!D27</f>
        <v>ELCOILS</v>
      </c>
      <c r="D26" s="220" t="s">
        <v>54</v>
      </c>
      <c r="G26" s="48">
        <v>0.3</v>
      </c>
      <c r="H26" s="48">
        <v>0.85</v>
      </c>
      <c r="I26" s="48">
        <v>250</v>
      </c>
      <c r="J26" s="48">
        <v>15</v>
      </c>
      <c r="K26" s="48">
        <v>0.2</v>
      </c>
      <c r="L26" s="48">
        <v>40</v>
      </c>
      <c r="M26" s="48">
        <v>2006</v>
      </c>
      <c r="N26" s="54"/>
      <c r="O26" s="48">
        <v>31.536000000000001</v>
      </c>
      <c r="Q26" s="192"/>
    </row>
    <row r="27" spans="2:27" x14ac:dyDescent="0.25">
      <c r="D27" s="220" t="s">
        <v>211</v>
      </c>
      <c r="N27" s="48">
        <v>254.66666666666669</v>
      </c>
    </row>
    <row r="28" spans="2:27" x14ac:dyDescent="0.25">
      <c r="Q28" s="192"/>
    </row>
    <row r="30" spans="2:27" x14ac:dyDescent="0.25">
      <c r="Q30" s="192"/>
      <c r="S30" s="9"/>
      <c r="T30" s="9"/>
      <c r="U30" s="9"/>
      <c r="V30" s="34"/>
      <c r="W30" s="9"/>
      <c r="X30" s="9"/>
      <c r="Y30" s="15"/>
    </row>
    <row r="31" spans="2:27" x14ac:dyDescent="0.25">
      <c r="B31" s="76"/>
      <c r="C31" s="1" t="s">
        <v>181</v>
      </c>
      <c r="S31" s="9"/>
      <c r="T31" s="9"/>
      <c r="U31" s="9"/>
      <c r="V31" s="34"/>
      <c r="W31" s="9"/>
      <c r="X31" s="9"/>
      <c r="Y31" s="9"/>
    </row>
    <row r="32" spans="2:27" x14ac:dyDescent="0.25">
      <c r="B32" s="111"/>
      <c r="C32" s="1" t="s">
        <v>182</v>
      </c>
      <c r="S32" s="9"/>
      <c r="T32" s="9"/>
      <c r="U32" s="9"/>
      <c r="V32" s="34"/>
      <c r="W32" s="9"/>
      <c r="X32" s="9"/>
      <c r="Y32" s="9"/>
    </row>
    <row r="33" spans="19:25" x14ac:dyDescent="0.25">
      <c r="S33" s="9"/>
      <c r="T33" s="9"/>
      <c r="U33" s="9"/>
      <c r="V33" s="34"/>
      <c r="W33" s="9"/>
      <c r="X33" s="9"/>
      <c r="Y33" s="9"/>
    </row>
    <row r="34" spans="19:25" x14ac:dyDescent="0.25">
      <c r="S34" s="9"/>
      <c r="T34" s="9"/>
      <c r="U34" s="9"/>
      <c r="V34" s="34"/>
      <c r="W34" s="9"/>
      <c r="X34" s="9"/>
      <c r="Y34" s="15"/>
    </row>
    <row r="35" spans="19:25" x14ac:dyDescent="0.25">
      <c r="S35" s="9"/>
      <c r="T35" s="9"/>
      <c r="U35" s="9"/>
      <c r="V35" s="9"/>
      <c r="W35" s="9"/>
      <c r="X35" s="9"/>
      <c r="Y35" s="15"/>
    </row>
    <row r="36" spans="19:25" x14ac:dyDescent="0.25">
      <c r="S36" s="9"/>
      <c r="T36" s="9"/>
      <c r="U36" s="9"/>
      <c r="V36" s="9"/>
      <c r="W36" s="9"/>
      <c r="X36" s="9"/>
      <c r="Y36" s="9"/>
    </row>
    <row r="37" spans="19:25" x14ac:dyDescent="0.25">
      <c r="S37" s="9"/>
      <c r="T37" s="9"/>
      <c r="U37" s="9"/>
      <c r="V37" s="9"/>
      <c r="W37" s="9"/>
      <c r="X37" s="9"/>
      <c r="Y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DemTechs_PCH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2004-11-16T14:57:57Z</cp:lastPrinted>
  <dcterms:created xsi:type="dcterms:W3CDTF">2000-12-13T15:53:11Z</dcterms:created>
  <dcterms:modified xsi:type="dcterms:W3CDTF">2022-02-17T15:53:52Z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79692065715789</vt:r8>
  </property>
</Properties>
</file>