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bRES_TMPL\"/>
    </mc:Choice>
  </mc:AlternateContent>
  <xr:revisionPtr revIDLastSave="0" documentId="13_ncr:1_{9E4CC17B-C96F-41DE-A602-3AE394EFE064}" xr6:coauthVersionLast="47" xr6:coauthVersionMax="47" xr10:uidLastSave="{00000000-0000-0000-0000-000000000000}"/>
  <bookViews>
    <workbookView xWindow="372" yWindow="0" windowWidth="22668" windowHeight="12240" xr2:uid="{00000000-000D-0000-FFFF-FFFF00000000}"/>
  </bookViews>
  <sheets>
    <sheet name="FILL Table" sheetId="19" r:id="rId1"/>
    <sheet name="Param_Transformation" sheetId="17" r:id="rId2"/>
    <sheet name="General" sheetId="20" state="hidden" r:id="rId3"/>
  </sheets>
  <definedNames>
    <definedName name="BASE_YEAR">General!$B$1</definedName>
    <definedName name="END_YEAR">General!$B$2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9" l="1"/>
  <c r="N23" i="17"/>
  <c r="N22" i="17"/>
  <c r="N21" i="17"/>
  <c r="G7" i="17"/>
  <c r="G8" i="17"/>
  <c r="G9" i="17"/>
  <c r="G10" i="17"/>
  <c r="G11" i="17"/>
  <c r="G6" i="17"/>
  <c r="G13" i="17"/>
  <c r="G14" i="17"/>
  <c r="G12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17" i="17"/>
  <c r="G16" i="17"/>
  <c r="G15" i="17"/>
  <c r="N20" i="17"/>
  <c r="N19" i="17"/>
  <c r="N18" i="17"/>
  <c r="I18" i="17" s="1"/>
  <c r="N17" i="17"/>
  <c r="J17" i="17" s="1"/>
  <c r="N16" i="17"/>
  <c r="N15" i="17"/>
  <c r="A8" i="19"/>
  <c r="A7" i="19"/>
  <c r="M20" i="17"/>
  <c r="K20" i="17" s="1"/>
  <c r="I20" i="17"/>
  <c r="H20" i="17"/>
  <c r="M19" i="17"/>
  <c r="K19" i="17" s="1"/>
  <c r="M18" i="17"/>
  <c r="H18" i="17"/>
  <c r="D48" i="17"/>
  <c r="N48" i="17" s="1"/>
  <c r="A5" i="19"/>
  <c r="A6" i="19"/>
  <c r="A10" i="19"/>
  <c r="A11" i="19"/>
  <c r="A12" i="19"/>
  <c r="A13" i="19"/>
  <c r="A14" i="19"/>
  <c r="A15" i="19"/>
  <c r="A16" i="19"/>
  <c r="A17" i="19"/>
  <c r="A18" i="19"/>
  <c r="A19" i="19"/>
  <c r="D47" i="17"/>
  <c r="N47" i="17" s="1"/>
  <c r="N46" i="17"/>
  <c r="J46" i="17" s="1"/>
  <c r="K46" i="17"/>
  <c r="I46" i="17"/>
  <c r="N45" i="17"/>
  <c r="K45" i="17" s="1"/>
  <c r="N30" i="17"/>
  <c r="I30" i="17" s="1"/>
  <c r="N33" i="17"/>
  <c r="K33" i="17" s="1"/>
  <c r="M35" i="17"/>
  <c r="M34" i="17"/>
  <c r="M33" i="17"/>
  <c r="N32" i="17"/>
  <c r="M32" i="17"/>
  <c r="J32" i="17" s="1"/>
  <c r="N31" i="17"/>
  <c r="I31" i="17" s="1"/>
  <c r="M31" i="17"/>
  <c r="K31" i="17" s="1"/>
  <c r="M30" i="17"/>
  <c r="M17" i="17"/>
  <c r="I17" i="17"/>
  <c r="M16" i="17"/>
  <c r="J16" i="17" s="1"/>
  <c r="M15" i="17"/>
  <c r="K15" i="17" s="1"/>
  <c r="J15" i="17"/>
  <c r="I15" i="17"/>
  <c r="N7" i="17"/>
  <c r="H7" i="17" s="1"/>
  <c r="M7" i="17"/>
  <c r="J7" i="17" s="1"/>
  <c r="I7" i="17"/>
  <c r="N8" i="17"/>
  <c r="J8" i="17" s="1"/>
  <c r="M8" i="17"/>
  <c r="I8" i="17"/>
  <c r="N9" i="17"/>
  <c r="M9" i="17"/>
  <c r="N10" i="17"/>
  <c r="M10" i="17"/>
  <c r="J10" i="17"/>
  <c r="N11" i="17"/>
  <c r="K11" i="17" s="1"/>
  <c r="M11" i="17"/>
  <c r="J11" i="17"/>
  <c r="M12" i="17"/>
  <c r="M13" i="17"/>
  <c r="M14" i="17"/>
  <c r="M21" i="17"/>
  <c r="J21" i="17" s="1"/>
  <c r="M22" i="17"/>
  <c r="I22" i="17" s="1"/>
  <c r="J22" i="17"/>
  <c r="K22" i="17"/>
  <c r="M23" i="17"/>
  <c r="K23" i="17" s="1"/>
  <c r="I23" i="17"/>
  <c r="N24" i="17"/>
  <c r="M24" i="17"/>
  <c r="H24" i="17" s="1"/>
  <c r="I24" i="17"/>
  <c r="J24" i="17"/>
  <c r="N25" i="17"/>
  <c r="M25" i="17"/>
  <c r="N26" i="17"/>
  <c r="I26" i="17" s="1"/>
  <c r="M26" i="17"/>
  <c r="N27" i="17"/>
  <c r="M27" i="17"/>
  <c r="I27" i="17" s="1"/>
  <c r="J27" i="17"/>
  <c r="K27" i="17"/>
  <c r="N28" i="17"/>
  <c r="I28" i="17" s="1"/>
  <c r="M28" i="17"/>
  <c r="N29" i="17"/>
  <c r="M29" i="17"/>
  <c r="H29" i="17" s="1"/>
  <c r="I29" i="17"/>
  <c r="N36" i="17"/>
  <c r="M36" i="17"/>
  <c r="N37" i="17"/>
  <c r="K37" i="17" s="1"/>
  <c r="M37" i="17"/>
  <c r="N38" i="17"/>
  <c r="M38" i="17"/>
  <c r="I38" i="17"/>
  <c r="J38" i="17"/>
  <c r="N39" i="17"/>
  <c r="M39" i="17"/>
  <c r="H39" i="17" s="1"/>
  <c r="N40" i="17"/>
  <c r="I40" i="17" s="1"/>
  <c r="M40" i="17"/>
  <c r="N41" i="17"/>
  <c r="H41" i="17" s="1"/>
  <c r="M41" i="17"/>
  <c r="I41" i="17" s="1"/>
  <c r="J41" i="17"/>
  <c r="K41" i="17"/>
  <c r="N42" i="17"/>
  <c r="I42" i="17" s="1"/>
  <c r="M42" i="17"/>
  <c r="N43" i="17"/>
  <c r="M43" i="17"/>
  <c r="K43" i="17" s="1"/>
  <c r="I43" i="17"/>
  <c r="N44" i="17"/>
  <c r="M44" i="17"/>
  <c r="N6" i="17"/>
  <c r="I6" i="17" s="1"/>
  <c r="M6" i="17"/>
  <c r="G47" i="17"/>
  <c r="G48" i="17" s="1"/>
  <c r="F6" i="17"/>
  <c r="F7" i="17"/>
  <c r="F8" i="17" s="1"/>
  <c r="F9" i="17" s="1"/>
  <c r="F10" i="17" s="1"/>
  <c r="F11" i="17" s="1"/>
  <c r="H9" i="17"/>
  <c r="H46" i="17"/>
  <c r="H17" i="17"/>
  <c r="H15" i="17"/>
  <c r="H8" i="17"/>
  <c r="H11" i="17"/>
  <c r="H22" i="17"/>
  <c r="H40" i="17"/>
  <c r="H23" i="17"/>
  <c r="H38" i="17"/>
  <c r="J47" i="17" l="1"/>
  <c r="K47" i="17"/>
  <c r="H47" i="17"/>
  <c r="I48" i="17"/>
  <c r="H48" i="17"/>
  <c r="J48" i="17"/>
  <c r="H42" i="17"/>
  <c r="H27" i="17"/>
  <c r="H28" i="17"/>
  <c r="J42" i="17"/>
  <c r="J28" i="17"/>
  <c r="J23" i="17"/>
  <c r="I21" i="17"/>
  <c r="J31" i="17"/>
  <c r="I16" i="17"/>
  <c r="I39" i="17"/>
  <c r="K10" i="17"/>
  <c r="K17" i="17"/>
  <c r="I32" i="17"/>
  <c r="J18" i="17"/>
  <c r="J19" i="17"/>
  <c r="K18" i="17"/>
  <c r="J20" i="17"/>
  <c r="H44" i="17"/>
  <c r="I36" i="17"/>
  <c r="H6" i="17"/>
  <c r="J30" i="17"/>
  <c r="I9" i="17"/>
  <c r="K30" i="17"/>
  <c r="K32" i="17"/>
  <c r="H31" i="17"/>
  <c r="H43" i="17"/>
  <c r="K40" i="17"/>
  <c r="K38" i="17"/>
  <c r="J29" i="17"/>
  <c r="K26" i="17"/>
  <c r="K24" i="17"/>
  <c r="K21" i="17"/>
  <c r="I11" i="17"/>
  <c r="H19" i="17"/>
  <c r="I25" i="17"/>
  <c r="H32" i="17"/>
  <c r="H21" i="17"/>
  <c r="K6" i="17"/>
  <c r="J37" i="17"/>
  <c r="K8" i="17"/>
  <c r="F15" i="17"/>
  <c r="F16" i="17" s="1"/>
  <c r="F17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12" i="17"/>
  <c r="F13" i="17" s="1"/>
  <c r="F14" i="17" s="1"/>
  <c r="F18" i="17" s="1"/>
  <c r="F19" i="17" s="1"/>
  <c r="F20" i="17" s="1"/>
  <c r="H36" i="17"/>
  <c r="J6" i="17"/>
  <c r="J40" i="17"/>
  <c r="I37" i="17"/>
  <c r="K29" i="17"/>
  <c r="J26" i="17"/>
  <c r="N12" i="17"/>
  <c r="I10" i="17"/>
  <c r="K16" i="17"/>
  <c r="I19" i="17"/>
  <c r="H45" i="17"/>
  <c r="H30" i="17"/>
  <c r="H26" i="17"/>
  <c r="H16" i="17"/>
  <c r="J43" i="17"/>
  <c r="N34" i="17"/>
  <c r="H33" i="17"/>
  <c r="K36" i="17"/>
  <c r="K9" i="17"/>
  <c r="K48" i="17"/>
  <c r="K44" i="17"/>
  <c r="J44" i="17"/>
  <c r="K39" i="17"/>
  <c r="J36" i="17"/>
  <c r="K25" i="17"/>
  <c r="J9" i="17"/>
  <c r="I33" i="17"/>
  <c r="I45" i="17"/>
  <c r="I47" i="17"/>
  <c r="H37" i="17"/>
  <c r="I44" i="17"/>
  <c r="J39" i="17"/>
  <c r="K28" i="17"/>
  <c r="J25" i="17"/>
  <c r="K7" i="17"/>
  <c r="J33" i="17"/>
  <c r="J45" i="17"/>
  <c r="H10" i="17"/>
  <c r="K42" i="17"/>
  <c r="H25" i="17"/>
  <c r="K34" i="17" l="1"/>
  <c r="H34" i="17"/>
  <c r="J34" i="17"/>
  <c r="N35" i="17"/>
  <c r="I34" i="17"/>
  <c r="I12" i="17"/>
  <c r="J12" i="17"/>
  <c r="K12" i="17"/>
  <c r="N13" i="17"/>
  <c r="H12" i="17"/>
  <c r="F36" i="17"/>
  <c r="F37" i="17" s="1"/>
  <c r="F38" i="17" s="1"/>
  <c r="F39" i="17" s="1"/>
  <c r="F40" i="17" s="1"/>
  <c r="F41" i="17" s="1"/>
  <c r="F42" i="17" s="1"/>
  <c r="F43" i="17" s="1"/>
  <c r="F44" i="17" s="1"/>
  <c r="F33" i="17"/>
  <c r="F34" i="17" s="1"/>
  <c r="F35" i="17" s="1"/>
  <c r="K35" i="17" l="1"/>
  <c r="H35" i="17"/>
  <c r="J35" i="17"/>
  <c r="I35" i="17"/>
  <c r="N14" i="17"/>
  <c r="I13" i="17"/>
  <c r="J13" i="17"/>
  <c r="H13" i="17"/>
  <c r="K13" i="17"/>
  <c r="K14" i="17" l="1"/>
  <c r="I14" i="17"/>
  <c r="J14" i="17"/>
  <c r="H14" i="17"/>
</calcChain>
</file>

<file path=xl/sharedStrings.xml><?xml version="1.0" encoding="utf-8"?>
<sst xmlns="http://schemas.openxmlformats.org/spreadsheetml/2006/main" count="180" uniqueCount="84">
  <si>
    <t>~TFM_INS</t>
  </si>
  <si>
    <t>TimeSlice</t>
  </si>
  <si>
    <t>LimType</t>
  </si>
  <si>
    <t>Attribute</t>
  </si>
  <si>
    <t>Year</t>
  </si>
  <si>
    <t>Pset_PN</t>
  </si>
  <si>
    <t>Cset_CN</t>
  </si>
  <si>
    <t>~TFM_FILL</t>
  </si>
  <si>
    <t>Operation_Sum_Avg_Count</t>
  </si>
  <si>
    <t>Scenario Name</t>
  </si>
  <si>
    <t>A</t>
  </si>
  <si>
    <t>BASE</t>
  </si>
  <si>
    <t>AGRMACOILGSL_E00</t>
  </si>
  <si>
    <t>AGRMACOILDSL_E00</t>
  </si>
  <si>
    <t>EFF</t>
  </si>
  <si>
    <t>PRC_CAPACT</t>
  </si>
  <si>
    <t>Collect parameter values from the Base year templates callibration</t>
  </si>
  <si>
    <t>Multipliers</t>
  </si>
  <si>
    <t>Update values for the New Technologies</t>
  </si>
  <si>
    <t>AGRMACOILGSL_N_ST</t>
  </si>
  <si>
    <t>AGRMACOILGSL_N_IM</t>
  </si>
  <si>
    <t>AGRMACOILGSL_N_AD</t>
  </si>
  <si>
    <t>AGRMACOILDSL_N_ST</t>
  </si>
  <si>
    <t>AGRMACOILDSL_N_IM</t>
  </si>
  <si>
    <t>AGRMACOILDSL_N_AD</t>
  </si>
  <si>
    <t>BASE_YEAR</t>
  </si>
  <si>
    <t>END_YEAR</t>
  </si>
  <si>
    <t>Lookups</t>
  </si>
  <si>
    <t>AGRMAC*</t>
  </si>
  <si>
    <t>AGRMAC*N*</t>
  </si>
  <si>
    <t>AGRSTHTOILDSL_E00</t>
  </si>
  <si>
    <t>AGRSTHTGASNAT_E00</t>
  </si>
  <si>
    <t>AGRSTHTBIOLOG_E00</t>
  </si>
  <si>
    <t>AGRSTMCHOILDSL_E00</t>
  </si>
  <si>
    <t>AGRSTMCHAGRELC_E00</t>
  </si>
  <si>
    <t>AGRSTOTHAGRELC_E00</t>
  </si>
  <si>
    <t>AGRSTA_E00</t>
  </si>
  <si>
    <t>INPUT</t>
  </si>
  <si>
    <t>AGRSTHT</t>
  </si>
  <si>
    <t>AGRSTMCH</t>
  </si>
  <si>
    <t>AGRSTOTH</t>
  </si>
  <si>
    <t>AGRSTHTOILDSL_N_ST</t>
  </si>
  <si>
    <t>AGRSTHTOILDSL_N_IM</t>
  </si>
  <si>
    <t>AGRSTHTOILDSL_N_AD</t>
  </si>
  <si>
    <t>AGRSTHTGASNAT_N_ST</t>
  </si>
  <si>
    <t>AGRSTHTGASNAT_N_IM</t>
  </si>
  <si>
    <t>AGRSTHTGASNAT_N_AD</t>
  </si>
  <si>
    <t>AGRSTHTBIOLOG_N_ST</t>
  </si>
  <si>
    <t>AGRSTHTBIOLOG_N_IM</t>
  </si>
  <si>
    <t>AGRSTHTBIOLOG_N_AD</t>
  </si>
  <si>
    <t>AGRSTMCHOILDSL_N_ST</t>
  </si>
  <si>
    <t>AGRSTMCHOILDSL_N_IM</t>
  </si>
  <si>
    <t>AGRSTMCHOILDSL_N_AD</t>
  </si>
  <si>
    <t>AGRSTMCHAGRELC_N_ST</t>
  </si>
  <si>
    <t>AGRSTMCHAGRELC_N_IM</t>
  </si>
  <si>
    <t>AGRSTMCHAGRELC_N_AD</t>
  </si>
  <si>
    <t>AGRSTOTHAGRELC_N_ST</t>
  </si>
  <si>
    <t>AGRSTOTHAGRELC_N_IM</t>
  </si>
  <si>
    <t>AGRSTOTHAGRELC_N_AD</t>
  </si>
  <si>
    <t>AGRSTA_N_ST</t>
  </si>
  <si>
    <t>AGRSTHTAGRLTH_N_ST</t>
  </si>
  <si>
    <t>AGRSTHTAGRLTH_N_IM</t>
  </si>
  <si>
    <t>AGRSTHTAGRLTH_N_AD</t>
  </si>
  <si>
    <t>AGRSTHTAGRLTH_E00</t>
  </si>
  <si>
    <t>AGRMACBIODSL_N_ST</t>
  </si>
  <si>
    <t>AGRMACBIODSL_N_IM</t>
  </si>
  <si>
    <t>AGRMACBIODSL_N_AD</t>
  </si>
  <si>
    <t>AGRSTHTAGRELC_N_ST</t>
  </si>
  <si>
    <t>AGRSTHTAGRELC_N_IM</t>
  </si>
  <si>
    <t>AGRSTHTAGRELC_N_AD</t>
  </si>
  <si>
    <t>KZK</t>
  </si>
  <si>
    <t>AZJ</t>
  </si>
  <si>
    <t>TKM</t>
  </si>
  <si>
    <t>UZB</t>
  </si>
  <si>
    <t>2018,2050</t>
  </si>
  <si>
    <t>AGRSTHTCOASUB_N_ST</t>
  </si>
  <si>
    <t>AGRSTHTCOASUB_N_IM</t>
  </si>
  <si>
    <t>AGRSTHTCOASUB_N_AD</t>
  </si>
  <si>
    <t>AGRSTHTCOASUB_E00</t>
  </si>
  <si>
    <t>AGRSTHTCOABIC_E00</t>
  </si>
  <si>
    <t>AGRSTHTCOABIC_N_ST</t>
  </si>
  <si>
    <t>AGRSTHTCOABIC_N_IM</t>
  </si>
  <si>
    <t>AGRSTHTCOABIC_N_AD</t>
  </si>
  <si>
    <t>\I: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</si>
</sst>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00_);_(* \(#,##0.0000\);_(* &quot;-&quot;??_);_(@_)"/>
    <numFmt numFmtId="166" formatCode="0.0"/>
  </numFmts>
  <fonts count="10" x14ac:knownFonts="1">
    <font>
      <sz val="10"/>
      <name val="Arial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4" fillId="0" borderId="0" applyFont="0" applyFill="0" applyBorder="0" applyAlignment="0" applyProtection="0"/>
  </cellStyleXfs>
  <cellXfs count="32">
    <xf numFmtId="0" fontId="0" fillId="0" borderId="0" xfId="0"/>
    <xf numFmtId="0" fontId="3" fillId="3" borderId="0" xfId="1" applyFont="1" applyFill="1" applyAlignment="1">
      <alignment wrapText="1"/>
    </xf>
    <xf numFmtId="0" fontId="3" fillId="3" borderId="0" xfId="1" applyFont="1" applyFill="1" applyAlignment="1">
      <alignment horizontal="right" wrapText="1"/>
    </xf>
    <xf numFmtId="0" fontId="5" fillId="0" borderId="1" xfId="0" applyFont="1" applyFill="1" applyBorder="1" applyAlignment="1">
      <alignment horizontal="center"/>
    </xf>
    <xf numFmtId="0" fontId="6" fillId="0" borderId="0" xfId="0" applyFont="1" applyFill="1"/>
    <xf numFmtId="0" fontId="7" fillId="0" borderId="0" xfId="0" applyFont="1" applyFill="1" applyAlignment="1"/>
    <xf numFmtId="0" fontId="6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vertical="center"/>
    </xf>
    <xf numFmtId="1" fontId="2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5" fillId="0" borderId="0" xfId="0" applyFont="1" applyFill="1"/>
    <xf numFmtId="2" fontId="5" fillId="0" borderId="0" xfId="0" applyNumberFormat="1" applyFont="1" applyFill="1"/>
    <xf numFmtId="0" fontId="6" fillId="0" borderId="0" xfId="0" applyFont="1" applyFill="1" applyAlignment="1">
      <alignment horizontal="left"/>
    </xf>
    <xf numFmtId="0" fontId="2" fillId="0" borderId="0" xfId="0" applyFont="1" applyFill="1"/>
    <xf numFmtId="0" fontId="6" fillId="0" borderId="0" xfId="0" applyFont="1" applyFill="1" applyBorder="1"/>
    <xf numFmtId="0" fontId="9" fillId="0" borderId="0" xfId="0" applyFont="1" applyFill="1" applyAlignment="1">
      <alignment horizont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165" fontId="8" fillId="0" borderId="0" xfId="2" applyNumberFormat="1" applyFont="1" applyFill="1"/>
    <xf numFmtId="0" fontId="8" fillId="0" borderId="0" xfId="0" applyFont="1" applyFill="1" applyBorder="1"/>
    <xf numFmtId="2" fontId="8" fillId="0" borderId="0" xfId="0" applyNumberFormat="1" applyFont="1" applyFill="1" applyAlignment="1">
      <alignment horizontal="center"/>
    </xf>
    <xf numFmtId="0" fontId="6" fillId="0" borderId="2" xfId="0" applyFont="1" applyFill="1" applyBorder="1" applyAlignment="1">
      <alignment vertical="center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165" fontId="8" fillId="0" borderId="2" xfId="2" applyNumberFormat="1" applyFont="1" applyFill="1" applyBorder="1"/>
    <xf numFmtId="2" fontId="8" fillId="0" borderId="2" xfId="0" applyNumberFormat="1" applyFont="1" applyFill="1" applyBorder="1" applyAlignment="1">
      <alignment horizontal="center"/>
    </xf>
    <xf numFmtId="0" fontId="8" fillId="0" borderId="0" xfId="0" quotePrefix="1" applyFont="1" applyFill="1"/>
    <xf numFmtId="166" fontId="8" fillId="0" borderId="0" xfId="0" applyNumberFormat="1" applyFont="1" applyFill="1" applyAlignment="1">
      <alignment horizontal="center"/>
    </xf>
    <xf numFmtId="0" fontId="6" fillId="0" borderId="2" xfId="0" applyFont="1" applyFill="1" applyBorder="1"/>
    <xf numFmtId="0" fontId="8" fillId="0" borderId="2" xfId="0" quotePrefix="1" applyFont="1" applyFill="1" applyBorder="1"/>
    <xf numFmtId="166" fontId="8" fillId="0" borderId="2" xfId="0" applyNumberFormat="1" applyFont="1" applyFill="1" applyBorder="1" applyAlignment="1">
      <alignment horizontal="center"/>
    </xf>
  </cellXfs>
  <cellStyles count="3">
    <cellStyle name="Accent2" xfId="1" builtinId="33"/>
    <cellStyle name="Com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9"/>
  <sheetViews>
    <sheetView tabSelected="1" zoomScale="70" zoomScaleNormal="70" workbookViewId="0">
      <selection sqref="A1:XFD1048576"/>
    </sheetView>
  </sheetViews>
  <sheetFormatPr defaultRowHeight="13.2" x14ac:dyDescent="0.25"/>
  <cols>
    <col min="1" max="1" width="24.44140625" style="4" customWidth="1"/>
    <col min="2" max="2" width="3.5546875" style="4" customWidth="1"/>
    <col min="3" max="3" width="26.44140625" style="4" bestFit="1" customWidth="1"/>
    <col min="4" max="4" width="15.109375" style="4" bestFit="1" customWidth="1"/>
    <col min="5" max="5" width="15.6640625" style="4" customWidth="1"/>
    <col min="6" max="6" width="26.88671875" style="4" customWidth="1"/>
    <col min="7" max="7" width="38.5546875" style="4" customWidth="1"/>
    <col min="8" max="8" width="15.6640625" style="4" customWidth="1"/>
    <col min="9" max="9" width="12.33203125" style="6" customWidth="1"/>
    <col min="10" max="16384" width="8.88671875" style="4"/>
  </cols>
  <sheetData>
    <row r="1" spans="1:12" ht="17.399999999999999" x14ac:dyDescent="0.3">
      <c r="C1" s="5" t="s">
        <v>16</v>
      </c>
    </row>
    <row r="3" spans="1:12" x14ac:dyDescent="0.25">
      <c r="C3" s="4" t="s">
        <v>7</v>
      </c>
      <c r="E3" s="6"/>
    </row>
    <row r="4" spans="1:12" ht="15" thickBot="1" x14ac:dyDescent="0.3">
      <c r="A4" s="7" t="s">
        <v>27</v>
      </c>
      <c r="C4" s="8" t="s">
        <v>8</v>
      </c>
      <c r="D4" s="8" t="s">
        <v>9</v>
      </c>
      <c r="E4" s="9" t="s">
        <v>4</v>
      </c>
      <c r="F4" s="8" t="s">
        <v>3</v>
      </c>
      <c r="G4" s="8" t="s">
        <v>5</v>
      </c>
      <c r="H4" s="8" t="s">
        <v>6</v>
      </c>
      <c r="I4" s="3" t="s">
        <v>70</v>
      </c>
      <c r="J4" s="3" t="s">
        <v>71</v>
      </c>
      <c r="K4" s="3" t="s">
        <v>72</v>
      </c>
      <c r="L4" s="3" t="s">
        <v>73</v>
      </c>
    </row>
    <row r="5" spans="1:12" ht="13.8" x14ac:dyDescent="0.25">
      <c r="A5" s="4" t="str">
        <f>LEFT(G5,12)</f>
        <v>AGRMACOILGSL</v>
      </c>
      <c r="C5" s="10" t="s">
        <v>10</v>
      </c>
      <c r="D5" s="11" t="s">
        <v>11</v>
      </c>
      <c r="E5" s="10">
        <v>2017</v>
      </c>
      <c r="F5" s="10" t="s">
        <v>14</v>
      </c>
      <c r="G5" s="10" t="s">
        <v>12</v>
      </c>
      <c r="H5" s="10"/>
      <c r="I5" s="12">
        <v>0.25</v>
      </c>
      <c r="J5" s="4">
        <v>0.25</v>
      </c>
      <c r="K5" s="4">
        <v>0.25</v>
      </c>
      <c r="L5" s="4">
        <v>0.25</v>
      </c>
    </row>
    <row r="6" spans="1:12" ht="13.8" x14ac:dyDescent="0.25">
      <c r="A6" s="4" t="str">
        <f t="shared" ref="A6:A14" si="0">LEFT(G6,12)</f>
        <v>AGRMACOILDSL</v>
      </c>
      <c r="C6" s="10" t="s">
        <v>10</v>
      </c>
      <c r="D6" s="11" t="s">
        <v>11</v>
      </c>
      <c r="E6" s="10">
        <v>2017</v>
      </c>
      <c r="F6" s="10" t="s">
        <v>14</v>
      </c>
      <c r="G6" s="10" t="s">
        <v>13</v>
      </c>
      <c r="H6" s="10"/>
      <c r="I6" s="12">
        <v>0.3</v>
      </c>
      <c r="J6" s="4">
        <v>0.3</v>
      </c>
      <c r="K6" s="4">
        <v>0.3</v>
      </c>
      <c r="L6" s="4">
        <v>0.3</v>
      </c>
    </row>
    <row r="7" spans="1:12" ht="13.8" x14ac:dyDescent="0.25">
      <c r="A7" s="4" t="str">
        <f>LEFT(G7,12)</f>
        <v>AGRSTHTCOASU</v>
      </c>
      <c r="C7" s="10" t="s">
        <v>10</v>
      </c>
      <c r="D7" s="11" t="s">
        <v>11</v>
      </c>
      <c r="E7" s="10">
        <v>2017</v>
      </c>
      <c r="F7" s="10" t="s">
        <v>14</v>
      </c>
      <c r="G7" s="10" t="s">
        <v>78</v>
      </c>
      <c r="H7" s="10"/>
      <c r="I7" s="12">
        <v>0.6</v>
      </c>
      <c r="J7" s="4">
        <v>0.6</v>
      </c>
      <c r="L7" s="4">
        <v>0.6</v>
      </c>
    </row>
    <row r="8" spans="1:12" ht="13.8" x14ac:dyDescent="0.25">
      <c r="A8" s="4" t="str">
        <f>LEFT(G8,12)</f>
        <v>AGRSTHTCOABI</v>
      </c>
      <c r="C8" s="10" t="s">
        <v>10</v>
      </c>
      <c r="D8" s="11" t="s">
        <v>11</v>
      </c>
      <c r="E8" s="10">
        <v>2017</v>
      </c>
      <c r="F8" s="10" t="s">
        <v>14</v>
      </c>
      <c r="G8" s="10" t="s">
        <v>79</v>
      </c>
      <c r="H8" s="10"/>
      <c r="I8" s="12">
        <v>0.6</v>
      </c>
      <c r="J8" s="4">
        <v>0.6</v>
      </c>
      <c r="K8" s="4">
        <v>0.6</v>
      </c>
      <c r="L8" s="4">
        <v>0.6</v>
      </c>
    </row>
    <row r="9" spans="1:12" ht="13.8" x14ac:dyDescent="0.25">
      <c r="A9" s="4" t="str">
        <f>LEFT(G9,11)</f>
        <v>AGRSTHTOILD</v>
      </c>
      <c r="C9" s="10" t="s">
        <v>10</v>
      </c>
      <c r="D9" s="11" t="s">
        <v>11</v>
      </c>
      <c r="E9" s="10">
        <v>2017</v>
      </c>
      <c r="F9" s="10" t="s">
        <v>14</v>
      </c>
      <c r="G9" s="10" t="s">
        <v>30</v>
      </c>
      <c r="H9" s="10"/>
      <c r="I9" s="12">
        <v>0.7</v>
      </c>
      <c r="J9" s="4">
        <v>0.7</v>
      </c>
      <c r="K9" s="4">
        <v>0.7</v>
      </c>
      <c r="L9" s="4">
        <v>0.7</v>
      </c>
    </row>
    <row r="10" spans="1:12" ht="13.8" x14ac:dyDescent="0.25">
      <c r="A10" s="4" t="str">
        <f t="shared" si="0"/>
        <v>AGRSTHTGASNA</v>
      </c>
      <c r="C10" s="10" t="s">
        <v>10</v>
      </c>
      <c r="D10" s="11" t="s">
        <v>11</v>
      </c>
      <c r="E10" s="10">
        <v>2017</v>
      </c>
      <c r="F10" s="10" t="s">
        <v>14</v>
      </c>
      <c r="G10" s="10" t="s">
        <v>31</v>
      </c>
      <c r="H10" s="10"/>
      <c r="I10" s="12">
        <v>0.75</v>
      </c>
      <c r="J10" s="4">
        <v>0.75</v>
      </c>
      <c r="K10" s="4">
        <v>0.75</v>
      </c>
      <c r="L10" s="4">
        <v>0.75</v>
      </c>
    </row>
    <row r="11" spans="1:12" ht="13.8" x14ac:dyDescent="0.25">
      <c r="A11" s="4" t="str">
        <f t="shared" si="0"/>
        <v>AGRSTHTBIOLO</v>
      </c>
      <c r="C11" s="10" t="s">
        <v>10</v>
      </c>
      <c r="D11" s="11" t="s">
        <v>11</v>
      </c>
      <c r="E11" s="10">
        <v>2017</v>
      </c>
      <c r="F11" s="10" t="s">
        <v>14</v>
      </c>
      <c r="G11" s="10" t="s">
        <v>32</v>
      </c>
      <c r="H11" s="10"/>
      <c r="I11" s="12">
        <v>0.5</v>
      </c>
      <c r="J11" s="4">
        <v>0.5</v>
      </c>
      <c r="K11" s="4">
        <v>0.5</v>
      </c>
      <c r="L11" s="4">
        <v>0.5</v>
      </c>
    </row>
    <row r="12" spans="1:12" ht="13.8" x14ac:dyDescent="0.25">
      <c r="A12" s="4" t="str">
        <f t="shared" si="0"/>
        <v>AGRSTHTAGRLT</v>
      </c>
      <c r="C12" s="10" t="s">
        <v>10</v>
      </c>
      <c r="D12" s="11" t="s">
        <v>11</v>
      </c>
      <c r="E12" s="10">
        <v>2017</v>
      </c>
      <c r="F12" s="10" t="s">
        <v>14</v>
      </c>
      <c r="G12" s="10" t="s">
        <v>63</v>
      </c>
      <c r="H12" s="10"/>
      <c r="I12" s="12">
        <v>0.8</v>
      </c>
      <c r="J12" s="4">
        <v>0.8</v>
      </c>
      <c r="K12" s="4">
        <v>0.8</v>
      </c>
      <c r="L12" s="4">
        <v>0.8</v>
      </c>
    </row>
    <row r="13" spans="1:12" ht="13.8" x14ac:dyDescent="0.25">
      <c r="A13" s="4" t="str">
        <f t="shared" si="0"/>
        <v>AGRSTMCHOILD</v>
      </c>
      <c r="C13" s="10" t="s">
        <v>10</v>
      </c>
      <c r="D13" s="11" t="s">
        <v>11</v>
      </c>
      <c r="E13" s="10">
        <v>2017</v>
      </c>
      <c r="F13" s="10" t="s">
        <v>14</v>
      </c>
      <c r="G13" s="10" t="s">
        <v>33</v>
      </c>
      <c r="H13" s="10"/>
      <c r="I13" s="12">
        <v>0.4</v>
      </c>
      <c r="J13" s="4">
        <v>0.4</v>
      </c>
      <c r="K13" s="4">
        <v>0.4</v>
      </c>
      <c r="L13" s="4">
        <v>0.4</v>
      </c>
    </row>
    <row r="14" spans="1:12" ht="13.8" x14ac:dyDescent="0.25">
      <c r="A14" s="4" t="str">
        <f t="shared" si="0"/>
        <v>AGRSTMCHAGRE</v>
      </c>
      <c r="C14" s="10" t="s">
        <v>10</v>
      </c>
      <c r="D14" s="11" t="s">
        <v>11</v>
      </c>
      <c r="E14" s="10">
        <v>2017</v>
      </c>
      <c r="F14" s="10" t="s">
        <v>14</v>
      </c>
      <c r="G14" s="10" t="s">
        <v>34</v>
      </c>
      <c r="H14" s="10"/>
      <c r="I14" s="12">
        <v>0.8</v>
      </c>
      <c r="J14" s="4">
        <v>0.8</v>
      </c>
      <c r="K14" s="4">
        <v>0.8</v>
      </c>
      <c r="L14" s="4">
        <v>0.8</v>
      </c>
    </row>
    <row r="15" spans="1:12" ht="13.8" x14ac:dyDescent="0.25">
      <c r="A15" s="4" t="str">
        <f>LEFT(G15,9)</f>
        <v>AGRSTOTHA</v>
      </c>
      <c r="C15" s="10" t="s">
        <v>10</v>
      </c>
      <c r="D15" s="11" t="s">
        <v>11</v>
      </c>
      <c r="E15" s="10">
        <v>2017</v>
      </c>
      <c r="F15" s="10" t="s">
        <v>14</v>
      </c>
      <c r="G15" s="10" t="s">
        <v>35</v>
      </c>
      <c r="H15" s="10"/>
      <c r="I15" s="12">
        <v>0.7</v>
      </c>
      <c r="J15" s="4">
        <v>0.7</v>
      </c>
      <c r="K15" s="4">
        <v>0.7</v>
      </c>
      <c r="L15" s="4">
        <v>0.7</v>
      </c>
    </row>
    <row r="16" spans="1:12" ht="13.8" x14ac:dyDescent="0.25">
      <c r="A16" s="4" t="str">
        <f>LEFT(G16,6)&amp;F16</f>
        <v>AGRMACPRC_CAPACT</v>
      </c>
      <c r="C16" s="10" t="s">
        <v>10</v>
      </c>
      <c r="D16" s="11" t="s">
        <v>11</v>
      </c>
      <c r="E16" s="10"/>
      <c r="F16" s="10" t="s">
        <v>15</v>
      </c>
      <c r="G16" s="10" t="s">
        <v>28</v>
      </c>
      <c r="H16" s="10"/>
      <c r="I16" s="12">
        <v>3.3569899672131101E-2</v>
      </c>
      <c r="J16" s="4">
        <v>3.7813414736842098E-2</v>
      </c>
      <c r="K16" s="4">
        <v>3.4706368421052597E-2</v>
      </c>
      <c r="L16" s="4">
        <v>4.0279903448275901E-2</v>
      </c>
    </row>
    <row r="17" spans="1:12" ht="13.8" x14ac:dyDescent="0.25">
      <c r="A17" s="13" t="str">
        <f t="shared" ref="A17:A19" si="1">LEFT(G17,6)&amp;RIGHT(H17,3)</f>
        <v>AGRSTATHT</v>
      </c>
      <c r="C17" s="10" t="s">
        <v>10</v>
      </c>
      <c r="D17" s="11" t="s">
        <v>11</v>
      </c>
      <c r="E17" s="10">
        <v>2017</v>
      </c>
      <c r="F17" s="10" t="s">
        <v>37</v>
      </c>
      <c r="G17" s="10" t="s">
        <v>36</v>
      </c>
      <c r="H17" s="10" t="s">
        <v>38</v>
      </c>
      <c r="I17" s="12">
        <v>0.78093030075265801</v>
      </c>
      <c r="J17" s="4">
        <v>0.36296892255532498</v>
      </c>
      <c r="K17" s="4">
        <v>0.63787857128270098</v>
      </c>
      <c r="L17" s="4">
        <v>0.121664368561927</v>
      </c>
    </row>
    <row r="18" spans="1:12" ht="13.8" x14ac:dyDescent="0.25">
      <c r="A18" s="13" t="str">
        <f t="shared" si="1"/>
        <v>AGRSTAMCH</v>
      </c>
      <c r="C18" s="10" t="s">
        <v>10</v>
      </c>
      <c r="D18" s="11" t="s">
        <v>11</v>
      </c>
      <c r="E18" s="10">
        <v>2017</v>
      </c>
      <c r="F18" s="10" t="s">
        <v>37</v>
      </c>
      <c r="G18" s="10" t="s">
        <v>36</v>
      </c>
      <c r="H18" s="10" t="s">
        <v>39</v>
      </c>
      <c r="I18" s="12">
        <v>0.17974949681833199</v>
      </c>
      <c r="J18" s="4">
        <v>0.52269216610845204</v>
      </c>
      <c r="K18" s="4">
        <v>0.29712527484496398</v>
      </c>
      <c r="L18" s="4">
        <v>0.72068564630816201</v>
      </c>
    </row>
    <row r="19" spans="1:12" ht="13.8" x14ac:dyDescent="0.25">
      <c r="A19" s="13" t="str">
        <f t="shared" si="1"/>
        <v>AGRSTAOTH</v>
      </c>
      <c r="C19" s="10" t="s">
        <v>10</v>
      </c>
      <c r="D19" s="11" t="s">
        <v>11</v>
      </c>
      <c r="E19" s="10">
        <v>2017</v>
      </c>
      <c r="F19" s="10" t="s">
        <v>37</v>
      </c>
      <c r="G19" s="10" t="s">
        <v>36</v>
      </c>
      <c r="H19" s="10" t="s">
        <v>40</v>
      </c>
      <c r="I19" s="12">
        <v>3.9320202429010097E-2</v>
      </c>
      <c r="J19" s="4">
        <v>0.11433891133622399</v>
      </c>
      <c r="K19" s="4">
        <v>6.4996153872335802E-2</v>
      </c>
      <c r="L19" s="4">
        <v>0.15764998512990999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8"/>
  <sheetViews>
    <sheetView topLeftCell="A9" zoomScale="85" zoomScaleNormal="85" workbookViewId="0">
      <selection activeCell="A9" sqref="A1:XFD1048576"/>
    </sheetView>
  </sheetViews>
  <sheetFormatPr defaultRowHeight="13.2" x14ac:dyDescent="0.25"/>
  <cols>
    <col min="1" max="1" width="2.88671875" style="15" customWidth="1"/>
    <col min="2" max="2" width="11.5546875" style="4" customWidth="1"/>
    <col min="3" max="3" width="12.33203125" style="4" customWidth="1"/>
    <col min="4" max="4" width="32.88671875" style="4" customWidth="1"/>
    <col min="5" max="5" width="22.88671875" style="4" customWidth="1"/>
    <col min="6" max="6" width="40" style="4" customWidth="1"/>
    <col min="7" max="7" width="10.6640625" style="4" bestFit="1" customWidth="1"/>
    <col min="8" max="11" width="10.6640625" style="4" customWidth="1"/>
    <col min="12" max="12" width="8.88671875" style="4"/>
    <col min="13" max="13" width="16.44140625" style="6" customWidth="1"/>
    <col min="14" max="14" width="25.6640625" style="6" customWidth="1"/>
    <col min="15" max="16384" width="8.88671875" style="4"/>
  </cols>
  <sheetData>
    <row r="1" spans="2:14" ht="17.399999999999999" x14ac:dyDescent="0.3">
      <c r="B1" s="5" t="s">
        <v>18</v>
      </c>
    </row>
    <row r="2" spans="2:14" ht="17.399999999999999" x14ac:dyDescent="0.3">
      <c r="B2" s="5"/>
    </row>
    <row r="3" spans="2:14" ht="17.399999999999999" x14ac:dyDescent="0.3">
      <c r="B3" s="5"/>
      <c r="H3" s="16">
        <v>9</v>
      </c>
      <c r="I3" s="16">
        <v>10</v>
      </c>
      <c r="J3" s="16">
        <v>11</v>
      </c>
      <c r="K3" s="16">
        <v>12</v>
      </c>
    </row>
    <row r="4" spans="2:14" ht="14.4" x14ac:dyDescent="0.3">
      <c r="B4" s="14" t="s">
        <v>0</v>
      </c>
    </row>
    <row r="5" spans="2:14" ht="15" thickBot="1" x14ac:dyDescent="0.3">
      <c r="B5" s="8" t="s">
        <v>1</v>
      </c>
      <c r="C5" s="8" t="s">
        <v>2</v>
      </c>
      <c r="D5" s="8" t="s">
        <v>5</v>
      </c>
      <c r="E5" s="8" t="s">
        <v>6</v>
      </c>
      <c r="F5" s="8" t="s">
        <v>3</v>
      </c>
      <c r="G5" s="8" t="s">
        <v>4</v>
      </c>
      <c r="H5" s="3" t="s">
        <v>70</v>
      </c>
      <c r="I5" s="3" t="s">
        <v>71</v>
      </c>
      <c r="J5" s="3" t="s">
        <v>72</v>
      </c>
      <c r="K5" s="3" t="s">
        <v>73</v>
      </c>
      <c r="M5" s="3" t="s">
        <v>17</v>
      </c>
      <c r="N5" s="3" t="s">
        <v>27</v>
      </c>
    </row>
    <row r="6" spans="2:14" ht="13.8" x14ac:dyDescent="0.25">
      <c r="B6" s="17" t="s">
        <v>83</v>
      </c>
      <c r="C6" s="10"/>
      <c r="D6" s="10" t="s">
        <v>19</v>
      </c>
      <c r="E6" s="10"/>
      <c r="F6" s="10" t="str">
        <f>'FILL Table'!F5</f>
        <v>EFF</v>
      </c>
      <c r="G6" s="18">
        <f t="shared" ref="G6:G11" si="0">IF(RIGHT(D6,2)="ST",BASE_YEAR+1,IF(RIGHT(D6,2)="IM",BASE_YEAR+8,BASE_YEAR+13))</f>
        <v>2018</v>
      </c>
      <c r="H6" s="19">
        <f>VLOOKUP($N6,'FILL Table'!$A$4:$I$19,H$3,FALSE)*$M6</f>
        <v>0.2525</v>
      </c>
      <c r="I6" s="19">
        <f>VLOOKUP($N6,'FILL Table'!$A$4:$L$19,I$3,FALSE)*$M6</f>
        <v>0.2525</v>
      </c>
      <c r="J6" s="19">
        <f>VLOOKUP($N6,'FILL Table'!$A$4:$L$19,J$3,FALSE)*$M6</f>
        <v>0.2525</v>
      </c>
      <c r="K6" s="19">
        <f>VLOOKUP($N6,'FILL Table'!$A$4:$L$19,K$3,FALSE)*$M6</f>
        <v>0.2525</v>
      </c>
      <c r="L6" s="20"/>
      <c r="M6" s="21">
        <f>IF(RIGHT(D6,2)="ST",1.01,IF(RIGHT(D6,2)="IM",1.1,1.2))</f>
        <v>1.01</v>
      </c>
      <c r="N6" s="21" t="str">
        <f t="shared" ref="N6:N11" si="1">LEFT(D6,12)</f>
        <v>AGRMACOILGSL</v>
      </c>
    </row>
    <row r="7" spans="2:14" ht="13.8" x14ac:dyDescent="0.25">
      <c r="B7" s="17" t="s">
        <v>83</v>
      </c>
      <c r="C7" s="10"/>
      <c r="D7" s="10" t="s">
        <v>20</v>
      </c>
      <c r="E7" s="10"/>
      <c r="F7" s="10" t="str">
        <f t="shared" ref="F7:F14" si="2">F6</f>
        <v>EFF</v>
      </c>
      <c r="G7" s="18">
        <f t="shared" si="0"/>
        <v>2025</v>
      </c>
      <c r="H7" s="19">
        <f>VLOOKUP($N7,'FILL Table'!$A$4:$I$19,H$3,FALSE)*$M7</f>
        <v>0.27500000000000002</v>
      </c>
      <c r="I7" s="19">
        <f>VLOOKUP($N7,'FILL Table'!$A$4:$L$19,I$3,FALSE)*$M7</f>
        <v>0.27500000000000002</v>
      </c>
      <c r="J7" s="19">
        <f>VLOOKUP($N7,'FILL Table'!$A$4:$L$19,J$3,FALSE)*$M7</f>
        <v>0.27500000000000002</v>
      </c>
      <c r="K7" s="19">
        <f>VLOOKUP($N7,'FILL Table'!$A$4:$L$19,K$3,FALSE)*$M7</f>
        <v>0.27500000000000002</v>
      </c>
      <c r="L7" s="20"/>
      <c r="M7" s="21">
        <f t="shared" ref="M7:M44" si="3">IF(RIGHT(D7,2)="ST",1.01,IF(RIGHT(D7,2)="IM",1.1,1.2))</f>
        <v>1.1000000000000001</v>
      </c>
      <c r="N7" s="21" t="str">
        <f t="shared" si="1"/>
        <v>AGRMACOILGSL</v>
      </c>
    </row>
    <row r="8" spans="2:14" ht="13.8" x14ac:dyDescent="0.25">
      <c r="B8" s="17" t="s">
        <v>83</v>
      </c>
      <c r="C8" s="10"/>
      <c r="D8" s="10" t="s">
        <v>21</v>
      </c>
      <c r="E8" s="10"/>
      <c r="F8" s="10" t="str">
        <f t="shared" si="2"/>
        <v>EFF</v>
      </c>
      <c r="G8" s="18">
        <f t="shared" si="0"/>
        <v>2030</v>
      </c>
      <c r="H8" s="19">
        <f>VLOOKUP($N8,'FILL Table'!$A$4:$I$19,H$3,FALSE)*$M8</f>
        <v>0.3</v>
      </c>
      <c r="I8" s="19">
        <f>VLOOKUP($N8,'FILL Table'!$A$4:$L$19,I$3,FALSE)*$M8</f>
        <v>0.3</v>
      </c>
      <c r="J8" s="19">
        <f>VLOOKUP($N8,'FILL Table'!$A$4:$L$19,J$3,FALSE)*$M8</f>
        <v>0.3</v>
      </c>
      <c r="K8" s="19">
        <f>VLOOKUP($N8,'FILL Table'!$A$4:$L$19,K$3,FALSE)*$M8</f>
        <v>0.3</v>
      </c>
      <c r="L8" s="20"/>
      <c r="M8" s="21">
        <f t="shared" si="3"/>
        <v>1.2</v>
      </c>
      <c r="N8" s="21" t="str">
        <f t="shared" si="1"/>
        <v>AGRMACOILGSL</v>
      </c>
    </row>
    <row r="9" spans="2:14" ht="13.8" x14ac:dyDescent="0.25">
      <c r="B9" s="17" t="s">
        <v>83</v>
      </c>
      <c r="C9" s="10"/>
      <c r="D9" s="10" t="s">
        <v>22</v>
      </c>
      <c r="E9" s="10"/>
      <c r="F9" s="10" t="str">
        <f t="shared" si="2"/>
        <v>EFF</v>
      </c>
      <c r="G9" s="18">
        <f t="shared" si="0"/>
        <v>2018</v>
      </c>
      <c r="H9" s="19">
        <f>VLOOKUP($N9,'FILL Table'!$A$4:$I$19,H$3,FALSE)*$M9</f>
        <v>0.30299999999999999</v>
      </c>
      <c r="I9" s="19">
        <f>VLOOKUP($N9,'FILL Table'!$A$4:$L$19,I$3,FALSE)*$M9</f>
        <v>0.30299999999999999</v>
      </c>
      <c r="J9" s="19">
        <f>VLOOKUP($N9,'FILL Table'!$A$4:$L$19,J$3,FALSE)*$M9</f>
        <v>0.30299999999999999</v>
      </c>
      <c r="K9" s="19">
        <f>VLOOKUP($N9,'FILL Table'!$A$4:$L$19,K$3,FALSE)*$M9</f>
        <v>0.30299999999999999</v>
      </c>
      <c r="L9" s="20"/>
      <c r="M9" s="21">
        <f t="shared" si="3"/>
        <v>1.01</v>
      </c>
      <c r="N9" s="21" t="str">
        <f t="shared" si="1"/>
        <v>AGRMACOILDSL</v>
      </c>
    </row>
    <row r="10" spans="2:14" ht="13.8" x14ac:dyDescent="0.25">
      <c r="B10" s="17" t="s">
        <v>83</v>
      </c>
      <c r="C10" s="10"/>
      <c r="D10" s="10" t="s">
        <v>23</v>
      </c>
      <c r="E10" s="10"/>
      <c r="F10" s="10" t="str">
        <f t="shared" si="2"/>
        <v>EFF</v>
      </c>
      <c r="G10" s="18">
        <f t="shared" si="0"/>
        <v>2025</v>
      </c>
      <c r="H10" s="19">
        <f>VLOOKUP($N10,'FILL Table'!$A$4:$I$19,H$3,FALSE)*$M10</f>
        <v>0.33</v>
      </c>
      <c r="I10" s="19">
        <f>VLOOKUP($N10,'FILL Table'!$A$4:$L$19,I$3,FALSE)*$M10</f>
        <v>0.33</v>
      </c>
      <c r="J10" s="19">
        <f>VLOOKUP($N10,'FILL Table'!$A$4:$L$19,J$3,FALSE)*$M10</f>
        <v>0.33</v>
      </c>
      <c r="K10" s="19">
        <f>VLOOKUP($N10,'FILL Table'!$A$4:$L$19,K$3,FALSE)*$M10</f>
        <v>0.33</v>
      </c>
      <c r="L10" s="20"/>
      <c r="M10" s="21">
        <f t="shared" si="3"/>
        <v>1.1000000000000001</v>
      </c>
      <c r="N10" s="21" t="str">
        <f t="shared" si="1"/>
        <v>AGRMACOILDSL</v>
      </c>
    </row>
    <row r="11" spans="2:14" ht="13.8" x14ac:dyDescent="0.25">
      <c r="B11" s="17" t="s">
        <v>83</v>
      </c>
      <c r="C11" s="10"/>
      <c r="D11" s="10" t="s">
        <v>24</v>
      </c>
      <c r="E11" s="10"/>
      <c r="F11" s="10" t="str">
        <f t="shared" si="2"/>
        <v>EFF</v>
      </c>
      <c r="G11" s="18">
        <f t="shared" si="0"/>
        <v>2030</v>
      </c>
      <c r="H11" s="19">
        <f>VLOOKUP($N11,'FILL Table'!$A$4:$I$19,H$3,FALSE)*$M11</f>
        <v>0.36</v>
      </c>
      <c r="I11" s="19">
        <f>VLOOKUP($N11,'FILL Table'!$A$4:$L$19,I$3,FALSE)*$M11</f>
        <v>0.36</v>
      </c>
      <c r="J11" s="19">
        <f>VLOOKUP($N11,'FILL Table'!$A$4:$L$19,J$3,FALSE)*$M11</f>
        <v>0.36</v>
      </c>
      <c r="K11" s="19">
        <f>VLOOKUP($N11,'FILL Table'!$A$4:$L$19,K$3,FALSE)*$M11</f>
        <v>0.36</v>
      </c>
      <c r="L11" s="20"/>
      <c r="M11" s="21">
        <f t="shared" si="3"/>
        <v>1.2</v>
      </c>
      <c r="N11" s="21" t="str">
        <f t="shared" si="1"/>
        <v>AGRMACOILDSL</v>
      </c>
    </row>
    <row r="12" spans="2:14" ht="13.8" x14ac:dyDescent="0.25">
      <c r="B12" s="17" t="s">
        <v>83</v>
      </c>
      <c r="C12" s="10"/>
      <c r="D12" s="10" t="s">
        <v>64</v>
      </c>
      <c r="E12" s="10"/>
      <c r="F12" s="10" t="str">
        <f t="shared" si="2"/>
        <v>EFF</v>
      </c>
      <c r="G12" s="18">
        <f>IF(RIGHT(D12,2)="ST",BASE_YEAR+5,IF(RIGHT(D12,2)="IM",BASE_YEAR+13,BASE_YEAR+18))</f>
        <v>2022</v>
      </c>
      <c r="H12" s="19">
        <f>VLOOKUP($N12,'FILL Table'!$A$4:$I$19,H$3,FALSE)*$M12</f>
        <v>0.30299999999999999</v>
      </c>
      <c r="I12" s="19">
        <f>VLOOKUP($N12,'FILL Table'!$A$4:$L$19,I$3,FALSE)*$M12</f>
        <v>0.30299999999999999</v>
      </c>
      <c r="J12" s="19">
        <f>VLOOKUP($N12,'FILL Table'!$A$4:$L$19,J$3,FALSE)*$M12</f>
        <v>0.30299999999999999</v>
      </c>
      <c r="K12" s="19">
        <f>VLOOKUP($N12,'FILL Table'!$A$4:$L$19,K$3,FALSE)*$M12</f>
        <v>0.30299999999999999</v>
      </c>
      <c r="L12" s="20"/>
      <c r="M12" s="21">
        <f t="shared" si="3"/>
        <v>1.01</v>
      </c>
      <c r="N12" s="21" t="str">
        <f>N9</f>
        <v>AGRMACOILDSL</v>
      </c>
    </row>
    <row r="13" spans="2:14" ht="13.8" x14ac:dyDescent="0.25">
      <c r="B13" s="17" t="s">
        <v>83</v>
      </c>
      <c r="C13" s="10"/>
      <c r="D13" s="10" t="s">
        <v>65</v>
      </c>
      <c r="E13" s="10"/>
      <c r="F13" s="10" t="str">
        <f t="shared" si="2"/>
        <v>EFF</v>
      </c>
      <c r="G13" s="18">
        <f>IF(RIGHT(D13,2)="ST",BASE_YEAR+5,IF(RIGHT(D13,2)="IM",BASE_YEAR+13,BASE_YEAR+18))</f>
        <v>2030</v>
      </c>
      <c r="H13" s="19">
        <f>VLOOKUP($N13,'FILL Table'!$A$4:$I$19,H$3,FALSE)*$M13</f>
        <v>0.33</v>
      </c>
      <c r="I13" s="19">
        <f>VLOOKUP($N13,'FILL Table'!$A$4:$L$19,I$3,FALSE)*$M13</f>
        <v>0.33</v>
      </c>
      <c r="J13" s="19">
        <f>VLOOKUP($N13,'FILL Table'!$A$4:$L$19,J$3,FALSE)*$M13</f>
        <v>0.33</v>
      </c>
      <c r="K13" s="19">
        <f>VLOOKUP($N13,'FILL Table'!$A$4:$L$19,K$3,FALSE)*$M13</f>
        <v>0.33</v>
      </c>
      <c r="L13" s="20"/>
      <c r="M13" s="21">
        <f t="shared" si="3"/>
        <v>1.1000000000000001</v>
      </c>
      <c r="N13" s="21" t="str">
        <f>N12</f>
        <v>AGRMACOILDSL</v>
      </c>
    </row>
    <row r="14" spans="2:14" ht="13.8" x14ac:dyDescent="0.25">
      <c r="B14" s="17" t="s">
        <v>83</v>
      </c>
      <c r="C14" s="10"/>
      <c r="D14" s="10" t="s">
        <v>66</v>
      </c>
      <c r="E14" s="10"/>
      <c r="F14" s="10" t="str">
        <f t="shared" si="2"/>
        <v>EFF</v>
      </c>
      <c r="G14" s="18">
        <f>IF(RIGHT(D14,2)="ST",BASE_YEAR+5,IF(RIGHT(D14,2)="IM",BASE_YEAR+13,BASE_YEAR+18))</f>
        <v>2035</v>
      </c>
      <c r="H14" s="19">
        <f>VLOOKUP($N14,'FILL Table'!$A$4:$I$19,H$3,FALSE)*$M14</f>
        <v>0.36</v>
      </c>
      <c r="I14" s="19">
        <f>VLOOKUP($N14,'FILL Table'!$A$4:$L$19,I$3,FALSE)*$M14</f>
        <v>0.36</v>
      </c>
      <c r="J14" s="19">
        <f>VLOOKUP($N14,'FILL Table'!$A$4:$L$19,J$3,FALSE)*$M14</f>
        <v>0.36</v>
      </c>
      <c r="K14" s="19">
        <f>VLOOKUP($N14,'FILL Table'!$A$4:$L$19,K$3,FALSE)*$M14</f>
        <v>0.36</v>
      </c>
      <c r="L14" s="20"/>
      <c r="M14" s="21">
        <f t="shared" si="3"/>
        <v>1.2</v>
      </c>
      <c r="N14" s="21" t="str">
        <f>N13</f>
        <v>AGRMACOILDSL</v>
      </c>
    </row>
    <row r="15" spans="2:14" ht="13.8" x14ac:dyDescent="0.25">
      <c r="B15" s="17" t="s">
        <v>83</v>
      </c>
      <c r="C15" s="10"/>
      <c r="D15" s="10" t="s">
        <v>75</v>
      </c>
      <c r="E15" s="10"/>
      <c r="F15" s="10" t="str">
        <f>F11</f>
        <v>EFF</v>
      </c>
      <c r="G15" s="18">
        <f t="shared" ref="G15:G44" si="4">IF(RIGHT(D15,2)="ST",BASE_YEAR+1,IF(RIGHT(D15,2)="IM",BASE_YEAR+8,BASE_YEAR+13))</f>
        <v>2018</v>
      </c>
      <c r="H15" s="19">
        <f>IF(VLOOKUP($N15,'FILL Table'!$A$4:$I$19,H$3,FALSE)*$M15=0,0.75,VLOOKUP($N15,'FILL Table'!$A$4:$I$19,H$3,FALSE)*$M15)</f>
        <v>0.60599999999999998</v>
      </c>
      <c r="I15" s="19">
        <f>IF(VLOOKUP($N15,'FILL Table'!$A$4:$L$19,I$3,FALSE)*$M15=0,0.75,VLOOKUP($N15,'FILL Table'!$A$4:$L$19,I$3,FALSE)*$M15)</f>
        <v>0.60599999999999998</v>
      </c>
      <c r="J15" s="19">
        <f>IF(VLOOKUP($N15,'FILL Table'!$A$4:$L$19,J$3,FALSE)*$M15=0,0.75,VLOOKUP($N15,'FILL Table'!$A$4:$L$19,J$3,FALSE)*$M15)</f>
        <v>0.75</v>
      </c>
      <c r="K15" s="19">
        <f>IF(VLOOKUP($N15,'FILL Table'!$A$4:$L$19,K$3,FALSE)*$M15=0,0.75,VLOOKUP($N15,'FILL Table'!$A$4:$L$19,K$3,FALSE)*$M15)</f>
        <v>0.60599999999999998</v>
      </c>
      <c r="L15" s="20"/>
      <c r="M15" s="21">
        <f t="shared" si="3"/>
        <v>1.01</v>
      </c>
      <c r="N15" s="21" t="str">
        <f t="shared" ref="N15:N20" si="5">LEFT(D15,12)</f>
        <v>AGRSTHTCOASU</v>
      </c>
    </row>
    <row r="16" spans="2:14" ht="13.8" x14ac:dyDescent="0.25">
      <c r="B16" s="17" t="s">
        <v>83</v>
      </c>
      <c r="C16" s="10"/>
      <c r="D16" s="10" t="s">
        <v>76</v>
      </c>
      <c r="E16" s="10"/>
      <c r="F16" s="10" t="str">
        <f t="shared" ref="F16:F44" si="6">F15</f>
        <v>EFF</v>
      </c>
      <c r="G16" s="18">
        <f t="shared" si="4"/>
        <v>2025</v>
      </c>
      <c r="H16" s="19">
        <f>IF(VLOOKUP($N16,'FILL Table'!$A$4:$I$19,H$3,FALSE)*$M16=0,0.78,VLOOKUP($N16,'FILL Table'!$A$4:$I$19,H$3,FALSE)*$M16)</f>
        <v>0.66</v>
      </c>
      <c r="I16" s="19">
        <f>IF(VLOOKUP($N16,'FILL Table'!$A$4:$L$19,I$3,FALSE)*$M16=0,0.75,VLOOKUP($N16,'FILL Table'!$A$4:$L$19,I$3,FALSE)*$M16)</f>
        <v>0.66</v>
      </c>
      <c r="J16" s="19">
        <f>IF(VLOOKUP($N16,'FILL Table'!$A$4:$L$19,J$3,FALSE)*$M16=0,0.75,VLOOKUP($N16,'FILL Table'!$A$4:$L$19,J$3,FALSE)*$M16)</f>
        <v>0.75</v>
      </c>
      <c r="K16" s="19">
        <f>IF(VLOOKUP($N16,'FILL Table'!$A$4:$L$19,K$3,FALSE)*$M16=0,0.75,VLOOKUP($N16,'FILL Table'!$A$4:$L$19,K$3,FALSE)*$M16)</f>
        <v>0.66</v>
      </c>
      <c r="L16" s="20"/>
      <c r="M16" s="21">
        <f t="shared" si="3"/>
        <v>1.1000000000000001</v>
      </c>
      <c r="N16" s="21" t="str">
        <f t="shared" si="5"/>
        <v>AGRSTHTCOASU</v>
      </c>
    </row>
    <row r="17" spans="2:14" ht="13.8" x14ac:dyDescent="0.25">
      <c r="B17" s="17" t="s">
        <v>83</v>
      </c>
      <c r="C17" s="10"/>
      <c r="D17" s="10" t="s">
        <v>77</v>
      </c>
      <c r="E17" s="10"/>
      <c r="F17" s="10" t="str">
        <f t="shared" si="6"/>
        <v>EFF</v>
      </c>
      <c r="G17" s="18">
        <f t="shared" si="4"/>
        <v>2030</v>
      </c>
      <c r="H17" s="19">
        <f>IF(VLOOKUP($N17,'FILL Table'!$A$4:$I$19,H$3,FALSE)*$M17=0,0.8,VLOOKUP($N17,'FILL Table'!$A$4:$I$19,H$3,FALSE)*$M17)</f>
        <v>0.72</v>
      </c>
      <c r="I17" s="19">
        <f>IF(VLOOKUP($N17,'FILL Table'!$A$4:$L$19,I$3,FALSE)*$M17=0,0.75,VLOOKUP($N17,'FILL Table'!$A$4:$L$19,I$3,FALSE)*$M17)</f>
        <v>0.72</v>
      </c>
      <c r="J17" s="19">
        <f>IF(VLOOKUP($N17,'FILL Table'!$A$4:$L$19,J$3,FALSE)*$M17=0,0.75,VLOOKUP($N17,'FILL Table'!$A$4:$L$19,J$3,FALSE)*$M17)</f>
        <v>0.75</v>
      </c>
      <c r="K17" s="19">
        <f>IF(VLOOKUP($N17,'FILL Table'!$A$4:$L$19,K$3,FALSE)*$M17=0,0.75,VLOOKUP($N17,'FILL Table'!$A$4:$L$19,K$3,FALSE)*$M17)</f>
        <v>0.72</v>
      </c>
      <c r="L17" s="20"/>
      <c r="M17" s="21">
        <f t="shared" si="3"/>
        <v>1.2</v>
      </c>
      <c r="N17" s="21" t="str">
        <f t="shared" si="5"/>
        <v>AGRSTHTCOASU</v>
      </c>
    </row>
    <row r="18" spans="2:14" ht="13.8" x14ac:dyDescent="0.25">
      <c r="B18" s="17" t="s">
        <v>83</v>
      </c>
      <c r="C18" s="10"/>
      <c r="D18" s="10" t="s">
        <v>80</v>
      </c>
      <c r="E18" s="10"/>
      <c r="F18" s="10" t="str">
        <f>F14</f>
        <v>EFF</v>
      </c>
      <c r="G18" s="18">
        <f t="shared" si="4"/>
        <v>2018</v>
      </c>
      <c r="H18" s="19">
        <f>IF(VLOOKUP($N18,'FILL Table'!$A$4:$I$19,H$3,FALSE)*$M18=0,0.75,VLOOKUP($N18,'FILL Table'!$A$4:$I$19,H$3,FALSE)*$M18)</f>
        <v>0.60599999999999998</v>
      </c>
      <c r="I18" s="19">
        <f>IF(VLOOKUP($N18,'FILL Table'!$A$4:$L$19,I$3,FALSE)*$M18=0,0.75,VLOOKUP($N18,'FILL Table'!$A$4:$L$19,I$3,FALSE)*$M18)</f>
        <v>0.60599999999999998</v>
      </c>
      <c r="J18" s="19">
        <f>IF(VLOOKUP($N18,'FILL Table'!$A$4:$L$19,J$3,FALSE)*$M18=0,0.75,VLOOKUP($N18,'FILL Table'!$A$4:$L$19,J$3,FALSE)*$M18)</f>
        <v>0.60599999999999998</v>
      </c>
      <c r="K18" s="19">
        <f>IF(VLOOKUP($N18,'FILL Table'!$A$4:$L$19,K$3,FALSE)*$M18=0,0.75,VLOOKUP($N18,'FILL Table'!$A$4:$L$19,K$3,FALSE)*$M18)</f>
        <v>0.60599999999999998</v>
      </c>
      <c r="L18" s="20"/>
      <c r="M18" s="21">
        <f t="shared" ref="M18:M20" si="7">IF(RIGHT(D18,2)="ST",1.01,IF(RIGHT(D18,2)="IM",1.1,1.2))</f>
        <v>1.01</v>
      </c>
      <c r="N18" s="21" t="str">
        <f t="shared" si="5"/>
        <v>AGRSTHTCOABI</v>
      </c>
    </row>
    <row r="19" spans="2:14" ht="13.8" x14ac:dyDescent="0.25">
      <c r="B19" s="17" t="s">
        <v>83</v>
      </c>
      <c r="C19" s="10"/>
      <c r="D19" s="10" t="s">
        <v>81</v>
      </c>
      <c r="E19" s="10"/>
      <c r="F19" s="10" t="str">
        <f t="shared" si="6"/>
        <v>EFF</v>
      </c>
      <c r="G19" s="18">
        <f t="shared" si="4"/>
        <v>2025</v>
      </c>
      <c r="H19" s="19">
        <f>IF(VLOOKUP($N19,'FILL Table'!$A$4:$I$19,H$3,FALSE)*$M19=0,0.78,VLOOKUP($N19,'FILL Table'!$A$4:$I$19,H$3,FALSE)*$M19)</f>
        <v>0.66</v>
      </c>
      <c r="I19" s="19">
        <f>IF(VLOOKUP($N19,'FILL Table'!$A$4:$L$19,I$3,FALSE)*$M19=0,0.75,VLOOKUP($N19,'FILL Table'!$A$4:$L$19,I$3,FALSE)*$M19)</f>
        <v>0.66</v>
      </c>
      <c r="J19" s="19">
        <f>IF(VLOOKUP($N19,'FILL Table'!$A$4:$L$19,J$3,FALSE)*$M19=0,0.75,VLOOKUP($N19,'FILL Table'!$A$4:$L$19,J$3,FALSE)*$M19)</f>
        <v>0.66</v>
      </c>
      <c r="K19" s="19">
        <f>IF(VLOOKUP($N19,'FILL Table'!$A$4:$L$19,K$3,FALSE)*$M19=0,0.75,VLOOKUP($N19,'FILL Table'!$A$4:$L$19,K$3,FALSE)*$M19)</f>
        <v>0.66</v>
      </c>
      <c r="L19" s="20"/>
      <c r="M19" s="21">
        <f t="shared" si="7"/>
        <v>1.1000000000000001</v>
      </c>
      <c r="N19" s="21" t="str">
        <f t="shared" si="5"/>
        <v>AGRSTHTCOABI</v>
      </c>
    </row>
    <row r="20" spans="2:14" ht="13.8" x14ac:dyDescent="0.25">
      <c r="B20" s="17" t="s">
        <v>83</v>
      </c>
      <c r="C20" s="10"/>
      <c r="D20" s="10" t="s">
        <v>82</v>
      </c>
      <c r="E20" s="10"/>
      <c r="F20" s="10" t="str">
        <f t="shared" si="6"/>
        <v>EFF</v>
      </c>
      <c r="G20" s="18">
        <f t="shared" si="4"/>
        <v>2030</v>
      </c>
      <c r="H20" s="19">
        <f>IF(VLOOKUP($N20,'FILL Table'!$A$4:$I$19,H$3,FALSE)*$M20=0,0.8,VLOOKUP($N20,'FILL Table'!$A$4:$I$19,H$3,FALSE)*$M20)</f>
        <v>0.72</v>
      </c>
      <c r="I20" s="19">
        <f>IF(VLOOKUP($N20,'FILL Table'!$A$4:$L$19,I$3,FALSE)*$M20=0,0.75,VLOOKUP($N20,'FILL Table'!$A$4:$L$19,I$3,FALSE)*$M20)</f>
        <v>0.72</v>
      </c>
      <c r="J20" s="19">
        <f>IF(VLOOKUP($N20,'FILL Table'!$A$4:$L$19,J$3,FALSE)*$M20=0,0.75,VLOOKUP($N20,'FILL Table'!$A$4:$L$19,J$3,FALSE)*$M20)</f>
        <v>0.72</v>
      </c>
      <c r="K20" s="19">
        <f>IF(VLOOKUP($N20,'FILL Table'!$A$4:$L$19,K$3,FALSE)*$M20=0,0.75,VLOOKUP($N20,'FILL Table'!$A$4:$L$19,K$3,FALSE)*$M20)</f>
        <v>0.72</v>
      </c>
      <c r="L20" s="20"/>
      <c r="M20" s="21">
        <f t="shared" si="7"/>
        <v>1.2</v>
      </c>
      <c r="N20" s="21" t="str">
        <f t="shared" si="5"/>
        <v>AGRSTHTCOABI</v>
      </c>
    </row>
    <row r="21" spans="2:14" ht="13.8" x14ac:dyDescent="0.25">
      <c r="B21" s="17" t="s">
        <v>83</v>
      </c>
      <c r="C21" s="10"/>
      <c r="D21" s="10" t="s">
        <v>41</v>
      </c>
      <c r="E21" s="10"/>
      <c r="F21" s="10" t="str">
        <f>F17</f>
        <v>EFF</v>
      </c>
      <c r="G21" s="18">
        <f t="shared" si="4"/>
        <v>2018</v>
      </c>
      <c r="H21" s="19">
        <f>VLOOKUP($N21,'FILL Table'!$A$4:$I$19,H$3,FALSE)*$M21</f>
        <v>0.70699999999999996</v>
      </c>
      <c r="I21" s="19">
        <f>VLOOKUP($N21,'FILL Table'!$A$4:$L$19,I$3,FALSE)*$M21</f>
        <v>0.70699999999999996</v>
      </c>
      <c r="J21" s="19">
        <f>VLOOKUP($N21,'FILL Table'!$A$4:$L$19,J$3,FALSE)*$M21</f>
        <v>0.70699999999999996</v>
      </c>
      <c r="K21" s="19">
        <f>VLOOKUP($N21,'FILL Table'!$A$4:$L$19,K$3,FALSE)*$M21</f>
        <v>0.70699999999999996</v>
      </c>
      <c r="L21" s="20"/>
      <c r="M21" s="21">
        <f t="shared" si="3"/>
        <v>1.01</v>
      </c>
      <c r="N21" s="21" t="str">
        <f>LEFT(D21,11)</f>
        <v>AGRSTHTOILD</v>
      </c>
    </row>
    <row r="22" spans="2:14" ht="13.8" x14ac:dyDescent="0.25">
      <c r="B22" s="17" t="s">
        <v>83</v>
      </c>
      <c r="C22" s="10"/>
      <c r="D22" s="10" t="s">
        <v>42</v>
      </c>
      <c r="E22" s="10"/>
      <c r="F22" s="10" t="str">
        <f t="shared" si="6"/>
        <v>EFF</v>
      </c>
      <c r="G22" s="18">
        <f t="shared" si="4"/>
        <v>2025</v>
      </c>
      <c r="H22" s="19">
        <f>VLOOKUP($N22,'FILL Table'!$A$4:$I$19,H$3,FALSE)*$M22</f>
        <v>0.77</v>
      </c>
      <c r="I22" s="19">
        <f>VLOOKUP($N22,'FILL Table'!$A$4:$L$19,I$3,FALSE)*$M22</f>
        <v>0.77</v>
      </c>
      <c r="J22" s="19">
        <f>VLOOKUP($N22,'FILL Table'!$A$4:$L$19,J$3,FALSE)*$M22</f>
        <v>0.77</v>
      </c>
      <c r="K22" s="19">
        <f>VLOOKUP($N22,'FILL Table'!$A$4:$L$19,K$3,FALSE)*$M22</f>
        <v>0.77</v>
      </c>
      <c r="L22" s="20"/>
      <c r="M22" s="21">
        <f t="shared" si="3"/>
        <v>1.1000000000000001</v>
      </c>
      <c r="N22" s="21" t="str">
        <f t="shared" ref="N22:N23" si="8">LEFT(D22,11)</f>
        <v>AGRSTHTOILD</v>
      </c>
    </row>
    <row r="23" spans="2:14" ht="13.8" x14ac:dyDescent="0.25">
      <c r="B23" s="17" t="s">
        <v>83</v>
      </c>
      <c r="C23" s="10"/>
      <c r="D23" s="10" t="s">
        <v>43</v>
      </c>
      <c r="E23" s="10"/>
      <c r="F23" s="10" t="str">
        <f t="shared" si="6"/>
        <v>EFF</v>
      </c>
      <c r="G23" s="18">
        <f t="shared" si="4"/>
        <v>2030</v>
      </c>
      <c r="H23" s="19">
        <f>VLOOKUP($N23,'FILL Table'!$A$4:$I$19,H$3,FALSE)*$M23</f>
        <v>0.84</v>
      </c>
      <c r="I23" s="19">
        <f>VLOOKUP($N23,'FILL Table'!$A$4:$L$19,I$3,FALSE)*$M23</f>
        <v>0.84</v>
      </c>
      <c r="J23" s="19">
        <f>VLOOKUP($N23,'FILL Table'!$A$4:$L$19,J$3,FALSE)*$M23</f>
        <v>0.84</v>
      </c>
      <c r="K23" s="19">
        <f>VLOOKUP($N23,'FILL Table'!$A$4:$L$19,K$3,FALSE)*$M23</f>
        <v>0.84</v>
      </c>
      <c r="L23" s="20"/>
      <c r="M23" s="21">
        <f t="shared" si="3"/>
        <v>1.2</v>
      </c>
      <c r="N23" s="21" t="str">
        <f t="shared" si="8"/>
        <v>AGRSTHTOILD</v>
      </c>
    </row>
    <row r="24" spans="2:14" ht="13.8" x14ac:dyDescent="0.25">
      <c r="B24" s="17" t="s">
        <v>83</v>
      </c>
      <c r="C24" s="10"/>
      <c r="D24" s="10" t="s">
        <v>44</v>
      </c>
      <c r="E24" s="10"/>
      <c r="F24" s="10" t="str">
        <f t="shared" si="6"/>
        <v>EFF</v>
      </c>
      <c r="G24" s="18">
        <f t="shared" si="4"/>
        <v>2018</v>
      </c>
      <c r="H24" s="19">
        <f>VLOOKUP($N24,'FILL Table'!$A$4:$I$19,H$3,FALSE)*$M24</f>
        <v>0.75750000000000006</v>
      </c>
      <c r="I24" s="19">
        <f>VLOOKUP($N24,'FILL Table'!$A$4:$L$19,I$3,FALSE)*$M24</f>
        <v>0.75750000000000006</v>
      </c>
      <c r="J24" s="19">
        <f>VLOOKUP($N24,'FILL Table'!$A$4:$L$19,J$3,FALSE)*$M24</f>
        <v>0.75750000000000006</v>
      </c>
      <c r="K24" s="19">
        <f>VLOOKUP($N24,'FILL Table'!$A$4:$L$19,K$3,FALSE)*$M24</f>
        <v>0.75750000000000006</v>
      </c>
      <c r="L24" s="20"/>
      <c r="M24" s="21">
        <f t="shared" si="3"/>
        <v>1.01</v>
      </c>
      <c r="N24" s="21" t="str">
        <f t="shared" ref="N24:N41" si="9">LEFT(D24,12)</f>
        <v>AGRSTHTGASNA</v>
      </c>
    </row>
    <row r="25" spans="2:14" ht="13.8" x14ac:dyDescent="0.25">
      <c r="B25" s="17" t="s">
        <v>83</v>
      </c>
      <c r="C25" s="10"/>
      <c r="D25" s="10" t="s">
        <v>45</v>
      </c>
      <c r="E25" s="10"/>
      <c r="F25" s="10" t="str">
        <f t="shared" si="6"/>
        <v>EFF</v>
      </c>
      <c r="G25" s="18">
        <f t="shared" si="4"/>
        <v>2025</v>
      </c>
      <c r="H25" s="19">
        <f>VLOOKUP($N25,'FILL Table'!$A$4:$I$19,H$3,FALSE)*$M25</f>
        <v>0.82500000000000007</v>
      </c>
      <c r="I25" s="19">
        <f>VLOOKUP($N25,'FILL Table'!$A$4:$L$19,I$3,FALSE)*$M25</f>
        <v>0.82500000000000007</v>
      </c>
      <c r="J25" s="19">
        <f>VLOOKUP($N25,'FILL Table'!$A$4:$L$19,J$3,FALSE)*$M25</f>
        <v>0.82500000000000007</v>
      </c>
      <c r="K25" s="19">
        <f>VLOOKUP($N25,'FILL Table'!$A$4:$L$19,K$3,FALSE)*$M25</f>
        <v>0.82500000000000007</v>
      </c>
      <c r="L25" s="20"/>
      <c r="M25" s="21">
        <f t="shared" si="3"/>
        <v>1.1000000000000001</v>
      </c>
      <c r="N25" s="21" t="str">
        <f t="shared" si="9"/>
        <v>AGRSTHTGASNA</v>
      </c>
    </row>
    <row r="26" spans="2:14" ht="13.8" x14ac:dyDescent="0.25">
      <c r="B26" s="17" t="s">
        <v>83</v>
      </c>
      <c r="C26" s="10"/>
      <c r="D26" s="10" t="s">
        <v>46</v>
      </c>
      <c r="E26" s="10"/>
      <c r="F26" s="10" t="str">
        <f t="shared" si="6"/>
        <v>EFF</v>
      </c>
      <c r="G26" s="18">
        <f t="shared" si="4"/>
        <v>2030</v>
      </c>
      <c r="H26" s="19">
        <f>VLOOKUP($N26,'FILL Table'!$A$4:$I$19,H$3,FALSE)*$M26</f>
        <v>0.89999999999999991</v>
      </c>
      <c r="I26" s="19">
        <f>VLOOKUP($N26,'FILL Table'!$A$4:$L$19,I$3,FALSE)*$M26</f>
        <v>0.89999999999999991</v>
      </c>
      <c r="J26" s="19">
        <f>VLOOKUP($N26,'FILL Table'!$A$4:$L$19,J$3,FALSE)*$M26</f>
        <v>0.89999999999999991</v>
      </c>
      <c r="K26" s="19">
        <f>VLOOKUP($N26,'FILL Table'!$A$4:$L$19,K$3,FALSE)*$M26</f>
        <v>0.89999999999999991</v>
      </c>
      <c r="L26" s="20"/>
      <c r="M26" s="21">
        <f t="shared" si="3"/>
        <v>1.2</v>
      </c>
      <c r="N26" s="21" t="str">
        <f t="shared" si="9"/>
        <v>AGRSTHTGASNA</v>
      </c>
    </row>
    <row r="27" spans="2:14" ht="13.8" x14ac:dyDescent="0.25">
      <c r="B27" s="17" t="s">
        <v>83</v>
      </c>
      <c r="C27" s="10"/>
      <c r="D27" s="10" t="s">
        <v>47</v>
      </c>
      <c r="E27" s="10"/>
      <c r="F27" s="10" t="str">
        <f t="shared" si="6"/>
        <v>EFF</v>
      </c>
      <c r="G27" s="18">
        <f t="shared" si="4"/>
        <v>2018</v>
      </c>
      <c r="H27" s="19">
        <f>VLOOKUP($N27,'FILL Table'!$A$4:$I$19,H$3,FALSE)*$M27</f>
        <v>0.505</v>
      </c>
      <c r="I27" s="19">
        <f>VLOOKUP($N27,'FILL Table'!$A$4:$L$19,I$3,FALSE)*$M27</f>
        <v>0.505</v>
      </c>
      <c r="J27" s="19">
        <f>VLOOKUP($N27,'FILL Table'!$A$4:$L$19,J$3,FALSE)*$M27</f>
        <v>0.505</v>
      </c>
      <c r="K27" s="19">
        <f>VLOOKUP($N27,'FILL Table'!$A$4:$L$19,K$3,FALSE)*$M27</f>
        <v>0.505</v>
      </c>
      <c r="L27" s="20"/>
      <c r="M27" s="21">
        <f t="shared" si="3"/>
        <v>1.01</v>
      </c>
      <c r="N27" s="21" t="str">
        <f t="shared" si="9"/>
        <v>AGRSTHTBIOLO</v>
      </c>
    </row>
    <row r="28" spans="2:14" ht="13.8" x14ac:dyDescent="0.25">
      <c r="B28" s="17" t="s">
        <v>83</v>
      </c>
      <c r="C28" s="10"/>
      <c r="D28" s="10" t="s">
        <v>48</v>
      </c>
      <c r="E28" s="10"/>
      <c r="F28" s="10" t="str">
        <f t="shared" si="6"/>
        <v>EFF</v>
      </c>
      <c r="G28" s="18">
        <f t="shared" si="4"/>
        <v>2025</v>
      </c>
      <c r="H28" s="19">
        <f>VLOOKUP($N28,'FILL Table'!$A$4:$I$19,H$3,FALSE)*$M28</f>
        <v>0.55000000000000004</v>
      </c>
      <c r="I28" s="19">
        <f>VLOOKUP($N28,'FILL Table'!$A$4:$L$19,I$3,FALSE)*$M28</f>
        <v>0.55000000000000004</v>
      </c>
      <c r="J28" s="19">
        <f>VLOOKUP($N28,'FILL Table'!$A$4:$L$19,J$3,FALSE)*$M28</f>
        <v>0.55000000000000004</v>
      </c>
      <c r="K28" s="19">
        <f>VLOOKUP($N28,'FILL Table'!$A$4:$L$19,K$3,FALSE)*$M28</f>
        <v>0.55000000000000004</v>
      </c>
      <c r="L28" s="20"/>
      <c r="M28" s="21">
        <f t="shared" si="3"/>
        <v>1.1000000000000001</v>
      </c>
      <c r="N28" s="21" t="str">
        <f t="shared" si="9"/>
        <v>AGRSTHTBIOLO</v>
      </c>
    </row>
    <row r="29" spans="2:14" ht="13.8" x14ac:dyDescent="0.25">
      <c r="B29" s="17" t="s">
        <v>83</v>
      </c>
      <c r="C29" s="10"/>
      <c r="D29" s="10" t="s">
        <v>49</v>
      </c>
      <c r="E29" s="10"/>
      <c r="F29" s="10" t="str">
        <f t="shared" si="6"/>
        <v>EFF</v>
      </c>
      <c r="G29" s="18">
        <f t="shared" si="4"/>
        <v>2030</v>
      </c>
      <c r="H29" s="19">
        <f>VLOOKUP($N29,'FILL Table'!$A$4:$I$19,H$3,FALSE)*$M29</f>
        <v>0.6</v>
      </c>
      <c r="I29" s="19">
        <f>VLOOKUP($N29,'FILL Table'!$A$4:$L$19,I$3,FALSE)*$M29</f>
        <v>0.6</v>
      </c>
      <c r="J29" s="19">
        <f>VLOOKUP($N29,'FILL Table'!$A$4:$L$19,J$3,FALSE)*$M29</f>
        <v>0.6</v>
      </c>
      <c r="K29" s="19">
        <f>VLOOKUP($N29,'FILL Table'!$A$4:$L$19,K$3,FALSE)*$M29</f>
        <v>0.6</v>
      </c>
      <c r="L29" s="20"/>
      <c r="M29" s="21">
        <f t="shared" si="3"/>
        <v>1.2</v>
      </c>
      <c r="N29" s="21" t="str">
        <f t="shared" si="9"/>
        <v>AGRSTHTBIOLO</v>
      </c>
    </row>
    <row r="30" spans="2:14" ht="13.8" x14ac:dyDescent="0.25">
      <c r="B30" s="17" t="s">
        <v>83</v>
      </c>
      <c r="C30" s="10"/>
      <c r="D30" s="10" t="s">
        <v>60</v>
      </c>
      <c r="E30" s="10"/>
      <c r="F30" s="10" t="str">
        <f t="shared" si="6"/>
        <v>EFF</v>
      </c>
      <c r="G30" s="18">
        <f t="shared" si="4"/>
        <v>2018</v>
      </c>
      <c r="H30" s="19">
        <f>IF(VLOOKUP($N30,'FILL Table'!$A$4:$I$19,H$3,FALSE)*$M30=0,0.9,VLOOKUP($N30,'FILL Table'!$A$4:$I$19,H$3,FALSE)*$M30)</f>
        <v>0.80800000000000005</v>
      </c>
      <c r="I30" s="19">
        <f>IF(VLOOKUP($N30,'FILL Table'!$A$4:$L$19,I$3,FALSE)*$M30=0,0.9,VLOOKUP($N30,'FILL Table'!$A$4:$L$19,I$3,FALSE)*$M30)</f>
        <v>0.80800000000000005</v>
      </c>
      <c r="J30" s="19">
        <f>IF(VLOOKUP($N30,'FILL Table'!$A$4:$L$19,J$3,FALSE)*$M30=0,0.9,VLOOKUP($N30,'FILL Table'!$A$4:$L$19,J$3,FALSE)*$M30)</f>
        <v>0.80800000000000005</v>
      </c>
      <c r="K30" s="19">
        <f>IF(VLOOKUP($N30,'FILL Table'!$A$4:$L$19,K$3,FALSE)*$M30=0,0.9,VLOOKUP($N30,'FILL Table'!$A$4:$L$19,K$3,FALSE)*$M30)</f>
        <v>0.80800000000000005</v>
      </c>
      <c r="L30" s="20"/>
      <c r="M30" s="21">
        <f t="shared" si="3"/>
        <v>1.01</v>
      </c>
      <c r="N30" s="21" t="str">
        <f t="shared" si="9"/>
        <v>AGRSTHTAGRLT</v>
      </c>
    </row>
    <row r="31" spans="2:14" ht="13.8" x14ac:dyDescent="0.25">
      <c r="B31" s="17" t="s">
        <v>83</v>
      </c>
      <c r="C31" s="10"/>
      <c r="D31" s="10" t="s">
        <v>61</v>
      </c>
      <c r="E31" s="10"/>
      <c r="F31" s="10" t="str">
        <f t="shared" si="6"/>
        <v>EFF</v>
      </c>
      <c r="G31" s="18">
        <f t="shared" si="4"/>
        <v>2025</v>
      </c>
      <c r="H31" s="19">
        <f>IF(VLOOKUP($N31,'FILL Table'!$A$4:$I$19,H$3,FALSE)*$M31=0,0.92,VLOOKUP($N31,'FILL Table'!$A$4:$I$19,H$3,FALSE)*$M31)</f>
        <v>0.88000000000000012</v>
      </c>
      <c r="I31" s="19">
        <f>IF(VLOOKUP($N31,'FILL Table'!$A$4:$L$19,I$3,FALSE)*$M31=0,0.9,VLOOKUP($N31,'FILL Table'!$A$4:$L$19,I$3,FALSE)*$M31)</f>
        <v>0.88000000000000012</v>
      </c>
      <c r="J31" s="19">
        <f>IF(VLOOKUP($N31,'FILL Table'!$A$4:$L$19,J$3,FALSE)*$M31=0,0.9,VLOOKUP($N31,'FILL Table'!$A$4:$L$19,J$3,FALSE)*$M31)</f>
        <v>0.88000000000000012</v>
      </c>
      <c r="K31" s="19">
        <f>IF(VLOOKUP($N31,'FILL Table'!$A$4:$L$19,K$3,FALSE)*$M31=0,0.9,VLOOKUP($N31,'FILL Table'!$A$4:$L$19,K$3,FALSE)*$M31)</f>
        <v>0.88000000000000012</v>
      </c>
      <c r="L31" s="20"/>
      <c r="M31" s="21">
        <f t="shared" si="3"/>
        <v>1.1000000000000001</v>
      </c>
      <c r="N31" s="21" t="str">
        <f t="shared" si="9"/>
        <v>AGRSTHTAGRLT</v>
      </c>
    </row>
    <row r="32" spans="2:14" ht="13.8" x14ac:dyDescent="0.25">
      <c r="B32" s="17" t="s">
        <v>83</v>
      </c>
      <c r="C32" s="10"/>
      <c r="D32" s="10" t="s">
        <v>62</v>
      </c>
      <c r="E32" s="10"/>
      <c r="F32" s="10" t="str">
        <f t="shared" si="6"/>
        <v>EFF</v>
      </c>
      <c r="G32" s="18">
        <f t="shared" si="4"/>
        <v>2030</v>
      </c>
      <c r="H32" s="19">
        <f>IF(VLOOKUP($N32,'FILL Table'!$A$4:$I$19,H$3,FALSE)*$M32=0,0.95,VLOOKUP($N32,'FILL Table'!$A$4:$I$19,H$3,FALSE)*$M32)</f>
        <v>0.96</v>
      </c>
      <c r="I32" s="19">
        <f>IF(VLOOKUP($N32,'FILL Table'!$A$4:$L$19,I$3,FALSE)*$M32=0,0.9,VLOOKUP($N32,'FILL Table'!$A$4:$L$19,I$3,FALSE)*$M32)</f>
        <v>0.96</v>
      </c>
      <c r="J32" s="19">
        <f>IF(VLOOKUP($N32,'FILL Table'!$A$4:$L$19,J$3,FALSE)*$M32=0,0.9,VLOOKUP($N32,'FILL Table'!$A$4:$L$19,J$3,FALSE)*$M32)</f>
        <v>0.96</v>
      </c>
      <c r="K32" s="19">
        <f>IF(VLOOKUP($N32,'FILL Table'!$A$4:$L$19,K$3,FALSE)*$M32=0,0.9,VLOOKUP($N32,'FILL Table'!$A$4:$L$19,K$3,FALSE)*$M32)</f>
        <v>0.96</v>
      </c>
      <c r="L32" s="20"/>
      <c r="M32" s="21">
        <f t="shared" si="3"/>
        <v>1.2</v>
      </c>
      <c r="N32" s="21" t="str">
        <f t="shared" si="9"/>
        <v>AGRSTHTAGRLT</v>
      </c>
    </row>
    <row r="33" spans="2:14" ht="13.8" x14ac:dyDescent="0.25">
      <c r="B33" s="17" t="s">
        <v>83</v>
      </c>
      <c r="C33" s="10"/>
      <c r="D33" s="10" t="s">
        <v>67</v>
      </c>
      <c r="E33" s="10"/>
      <c r="F33" s="10" t="str">
        <f t="shared" si="6"/>
        <v>EFF</v>
      </c>
      <c r="G33" s="18">
        <f t="shared" si="4"/>
        <v>2018</v>
      </c>
      <c r="H33" s="19">
        <f>IF(VLOOKUP($N33,'FILL Table'!$A$4:$I$19,H$3,FALSE)*$M33=0,0.9,VLOOKUP($N33,'FILL Table'!$A$4:$I$19,H$3,FALSE)*$M33)</f>
        <v>0.80800000000000005</v>
      </c>
      <c r="I33" s="19">
        <f>IF(VLOOKUP($N33,'FILL Table'!$A$4:$L$19,I$3,FALSE)*$M33=0,0.9,VLOOKUP($N33,'FILL Table'!$A$4:$L$19,I$3,FALSE)*$M33)</f>
        <v>0.80800000000000005</v>
      </c>
      <c r="J33" s="19">
        <f>IF(VLOOKUP($N33,'FILL Table'!$A$4:$L$19,J$3,FALSE)*$M33=0,0.9,VLOOKUP($N33,'FILL Table'!$A$4:$L$19,J$3,FALSE)*$M33)</f>
        <v>0.80800000000000005</v>
      </c>
      <c r="K33" s="19">
        <f>IF(VLOOKUP($N33,'FILL Table'!$A$4:$L$19,K$3,FALSE)*$M33=0,0.9,VLOOKUP($N33,'FILL Table'!$A$4:$L$19,K$3,FALSE)*$M33)</f>
        <v>0.80800000000000005</v>
      </c>
      <c r="L33" s="20"/>
      <c r="M33" s="21">
        <f t="shared" ref="M33:M35" si="10">IF(RIGHT(D33,2)="ST",1.01,IF(RIGHT(D33,2)="IM",1.1,1.2))</f>
        <v>1.01</v>
      </c>
      <c r="N33" s="21" t="str">
        <f>N30</f>
        <v>AGRSTHTAGRLT</v>
      </c>
    </row>
    <row r="34" spans="2:14" ht="13.8" x14ac:dyDescent="0.25">
      <c r="B34" s="17" t="s">
        <v>83</v>
      </c>
      <c r="C34" s="10"/>
      <c r="D34" s="10" t="s">
        <v>68</v>
      </c>
      <c r="E34" s="10"/>
      <c r="F34" s="10" t="str">
        <f t="shared" si="6"/>
        <v>EFF</v>
      </c>
      <c r="G34" s="18">
        <f t="shared" si="4"/>
        <v>2025</v>
      </c>
      <c r="H34" s="19">
        <f>IF(VLOOKUP($N34,'FILL Table'!$A$4:$I$19,H$3,FALSE)*$M34=0,0.92,VLOOKUP($N34,'FILL Table'!$A$4:$I$19,H$3,FALSE)*$M34)</f>
        <v>0.88000000000000012</v>
      </c>
      <c r="I34" s="19">
        <f>IF(VLOOKUP($N34,'FILL Table'!$A$4:$L$19,I$3,FALSE)*$M34=0,0.9,VLOOKUP($N34,'FILL Table'!$A$4:$L$19,I$3,FALSE)*$M34)</f>
        <v>0.88000000000000012</v>
      </c>
      <c r="J34" s="19">
        <f>IF(VLOOKUP($N34,'FILL Table'!$A$4:$L$19,J$3,FALSE)*$M34=0,0.9,VLOOKUP($N34,'FILL Table'!$A$4:$L$19,J$3,FALSE)*$M34)</f>
        <v>0.88000000000000012</v>
      </c>
      <c r="K34" s="19">
        <f>IF(VLOOKUP($N34,'FILL Table'!$A$4:$L$19,K$3,FALSE)*$M34=0,0.9,VLOOKUP($N34,'FILL Table'!$A$4:$L$19,K$3,FALSE)*$M34)</f>
        <v>0.88000000000000012</v>
      </c>
      <c r="L34" s="20"/>
      <c r="M34" s="21">
        <f t="shared" si="10"/>
        <v>1.1000000000000001</v>
      </c>
      <c r="N34" s="21" t="str">
        <f>N33</f>
        <v>AGRSTHTAGRLT</v>
      </c>
    </row>
    <row r="35" spans="2:14" ht="13.8" x14ac:dyDescent="0.25">
      <c r="B35" s="17" t="s">
        <v>83</v>
      </c>
      <c r="C35" s="10"/>
      <c r="D35" s="10" t="s">
        <v>69</v>
      </c>
      <c r="E35" s="10"/>
      <c r="F35" s="10" t="str">
        <f t="shared" si="6"/>
        <v>EFF</v>
      </c>
      <c r="G35" s="18">
        <f t="shared" si="4"/>
        <v>2030</v>
      </c>
      <c r="H35" s="19">
        <f>IF(VLOOKUP($N35,'FILL Table'!$A$4:$I$19,H$3,FALSE)*$M35=0,0.95,VLOOKUP($N35,'FILL Table'!$A$4:$I$19,H$3,FALSE)*$M35)</f>
        <v>0.96</v>
      </c>
      <c r="I35" s="19">
        <f>IF(VLOOKUP($N35,'FILL Table'!$A$4:$L$19,I$3,FALSE)*$M35=0,0.9,VLOOKUP($N35,'FILL Table'!$A$4:$L$19,I$3,FALSE)*$M35)</f>
        <v>0.96</v>
      </c>
      <c r="J35" s="19">
        <f>IF(VLOOKUP($N35,'FILL Table'!$A$4:$L$19,J$3,FALSE)*$M35=0,0.9,VLOOKUP($N35,'FILL Table'!$A$4:$L$19,J$3,FALSE)*$M35)</f>
        <v>0.96</v>
      </c>
      <c r="K35" s="19">
        <f>IF(VLOOKUP($N35,'FILL Table'!$A$4:$L$19,K$3,FALSE)*$M35=0,0.9,VLOOKUP($N35,'FILL Table'!$A$4:$L$19,K$3,FALSE)*$M35)</f>
        <v>0.96</v>
      </c>
      <c r="L35" s="20"/>
      <c r="M35" s="21">
        <f t="shared" si="10"/>
        <v>1.2</v>
      </c>
      <c r="N35" s="21" t="str">
        <f>N34</f>
        <v>AGRSTHTAGRLT</v>
      </c>
    </row>
    <row r="36" spans="2:14" ht="13.8" x14ac:dyDescent="0.25">
      <c r="B36" s="17" t="s">
        <v>83</v>
      </c>
      <c r="C36" s="10"/>
      <c r="D36" s="10" t="s">
        <v>50</v>
      </c>
      <c r="E36" s="10"/>
      <c r="F36" s="10" t="str">
        <f>F32</f>
        <v>EFF</v>
      </c>
      <c r="G36" s="18">
        <f t="shared" si="4"/>
        <v>2018</v>
      </c>
      <c r="H36" s="19">
        <f>VLOOKUP($N36,'FILL Table'!$A$4:$I$19,H$3,FALSE)*$M36</f>
        <v>0.40400000000000003</v>
      </c>
      <c r="I36" s="19">
        <f>VLOOKUP($N36,'FILL Table'!$A$4:$L$19,I$3,FALSE)*$M36</f>
        <v>0.40400000000000003</v>
      </c>
      <c r="J36" s="19">
        <f>VLOOKUP($N36,'FILL Table'!$A$4:$L$19,J$3,FALSE)*$M36</f>
        <v>0.40400000000000003</v>
      </c>
      <c r="K36" s="19">
        <f>VLOOKUP($N36,'FILL Table'!$A$4:$L$19,K$3,FALSE)*$M36</f>
        <v>0.40400000000000003</v>
      </c>
      <c r="L36" s="20"/>
      <c r="M36" s="21">
        <f t="shared" si="3"/>
        <v>1.01</v>
      </c>
      <c r="N36" s="21" t="str">
        <f t="shared" si="9"/>
        <v>AGRSTMCHOILD</v>
      </c>
    </row>
    <row r="37" spans="2:14" ht="13.8" x14ac:dyDescent="0.25">
      <c r="B37" s="17" t="s">
        <v>83</v>
      </c>
      <c r="C37" s="10"/>
      <c r="D37" s="10" t="s">
        <v>51</v>
      </c>
      <c r="E37" s="10"/>
      <c r="F37" s="10" t="str">
        <f t="shared" si="6"/>
        <v>EFF</v>
      </c>
      <c r="G37" s="18">
        <f t="shared" si="4"/>
        <v>2025</v>
      </c>
      <c r="H37" s="19">
        <f>VLOOKUP($N37,'FILL Table'!$A$4:$I$19,H$3,FALSE)*$M37</f>
        <v>0.44000000000000006</v>
      </c>
      <c r="I37" s="19">
        <f>VLOOKUP($N37,'FILL Table'!$A$4:$L$19,I$3,FALSE)*$M37</f>
        <v>0.44000000000000006</v>
      </c>
      <c r="J37" s="19">
        <f>VLOOKUP($N37,'FILL Table'!$A$4:$L$19,J$3,FALSE)*$M37</f>
        <v>0.44000000000000006</v>
      </c>
      <c r="K37" s="19">
        <f>VLOOKUP($N37,'FILL Table'!$A$4:$L$19,K$3,FALSE)*$M37</f>
        <v>0.44000000000000006</v>
      </c>
      <c r="L37" s="20"/>
      <c r="M37" s="21">
        <f t="shared" si="3"/>
        <v>1.1000000000000001</v>
      </c>
      <c r="N37" s="21" t="str">
        <f t="shared" si="9"/>
        <v>AGRSTMCHOILD</v>
      </c>
    </row>
    <row r="38" spans="2:14" ht="13.8" x14ac:dyDescent="0.25">
      <c r="B38" s="17" t="s">
        <v>83</v>
      </c>
      <c r="C38" s="10"/>
      <c r="D38" s="10" t="s">
        <v>52</v>
      </c>
      <c r="E38" s="10"/>
      <c r="F38" s="10" t="str">
        <f t="shared" si="6"/>
        <v>EFF</v>
      </c>
      <c r="G38" s="18">
        <f t="shared" si="4"/>
        <v>2030</v>
      </c>
      <c r="H38" s="19">
        <f>VLOOKUP($N38,'FILL Table'!$A$4:$I$19,H$3,FALSE)*$M38</f>
        <v>0.48</v>
      </c>
      <c r="I38" s="19">
        <f>VLOOKUP($N38,'FILL Table'!$A$4:$L$19,I$3,FALSE)*$M38</f>
        <v>0.48</v>
      </c>
      <c r="J38" s="19">
        <f>VLOOKUP($N38,'FILL Table'!$A$4:$L$19,J$3,FALSE)*$M38</f>
        <v>0.48</v>
      </c>
      <c r="K38" s="19">
        <f>VLOOKUP($N38,'FILL Table'!$A$4:$L$19,K$3,FALSE)*$M38</f>
        <v>0.48</v>
      </c>
      <c r="L38" s="20"/>
      <c r="M38" s="21">
        <f t="shared" si="3"/>
        <v>1.2</v>
      </c>
      <c r="N38" s="21" t="str">
        <f t="shared" si="9"/>
        <v>AGRSTMCHOILD</v>
      </c>
    </row>
    <row r="39" spans="2:14" ht="13.8" x14ac:dyDescent="0.25">
      <c r="B39" s="17" t="s">
        <v>83</v>
      </c>
      <c r="C39" s="10"/>
      <c r="D39" s="10" t="s">
        <v>53</v>
      </c>
      <c r="E39" s="10"/>
      <c r="F39" s="10" t="str">
        <f t="shared" si="6"/>
        <v>EFF</v>
      </c>
      <c r="G39" s="18">
        <f t="shared" si="4"/>
        <v>2018</v>
      </c>
      <c r="H39" s="19">
        <f>VLOOKUP($N39,'FILL Table'!$A$4:$I$19,H$3,FALSE)*$M39</f>
        <v>0.80800000000000005</v>
      </c>
      <c r="I39" s="19">
        <f>VLOOKUP($N39,'FILL Table'!$A$4:$L$19,I$3,FALSE)*$M39</f>
        <v>0.80800000000000005</v>
      </c>
      <c r="J39" s="19">
        <f>VLOOKUP($N39,'FILL Table'!$A$4:$L$19,J$3,FALSE)*$M39</f>
        <v>0.80800000000000005</v>
      </c>
      <c r="K39" s="19">
        <f>VLOOKUP($N39,'FILL Table'!$A$4:$L$19,K$3,FALSE)*$M39</f>
        <v>0.80800000000000005</v>
      </c>
      <c r="L39" s="20"/>
      <c r="M39" s="21">
        <f t="shared" si="3"/>
        <v>1.01</v>
      </c>
      <c r="N39" s="21" t="str">
        <f t="shared" si="9"/>
        <v>AGRSTMCHAGRE</v>
      </c>
    </row>
    <row r="40" spans="2:14" ht="13.8" x14ac:dyDescent="0.25">
      <c r="B40" s="17" t="s">
        <v>83</v>
      </c>
      <c r="C40" s="10"/>
      <c r="D40" s="10" t="s">
        <v>54</v>
      </c>
      <c r="E40" s="10"/>
      <c r="F40" s="10" t="str">
        <f t="shared" si="6"/>
        <v>EFF</v>
      </c>
      <c r="G40" s="18">
        <f t="shared" si="4"/>
        <v>2025</v>
      </c>
      <c r="H40" s="19">
        <f>VLOOKUP($N40,'FILL Table'!$A$4:$I$19,H$3,FALSE)*$M40</f>
        <v>0.88000000000000012</v>
      </c>
      <c r="I40" s="19">
        <f>VLOOKUP($N40,'FILL Table'!$A$4:$L$19,I$3,FALSE)*$M40</f>
        <v>0.88000000000000012</v>
      </c>
      <c r="J40" s="19">
        <f>VLOOKUP($N40,'FILL Table'!$A$4:$L$19,J$3,FALSE)*$M40</f>
        <v>0.88000000000000012</v>
      </c>
      <c r="K40" s="19">
        <f>VLOOKUP($N40,'FILL Table'!$A$4:$L$19,K$3,FALSE)*$M40</f>
        <v>0.88000000000000012</v>
      </c>
      <c r="L40" s="20"/>
      <c r="M40" s="21">
        <f t="shared" si="3"/>
        <v>1.1000000000000001</v>
      </c>
      <c r="N40" s="21" t="str">
        <f t="shared" si="9"/>
        <v>AGRSTMCHAGRE</v>
      </c>
    </row>
    <row r="41" spans="2:14" ht="13.8" x14ac:dyDescent="0.25">
      <c r="B41" s="17" t="s">
        <v>83</v>
      </c>
      <c r="C41" s="10"/>
      <c r="D41" s="10" t="s">
        <v>55</v>
      </c>
      <c r="E41" s="10"/>
      <c r="F41" s="10" t="str">
        <f t="shared" si="6"/>
        <v>EFF</v>
      </c>
      <c r="G41" s="18">
        <f t="shared" si="4"/>
        <v>2030</v>
      </c>
      <c r="H41" s="19">
        <f>VLOOKUP($N41,'FILL Table'!$A$4:$I$19,H$3,FALSE)*$M41</f>
        <v>0.96</v>
      </c>
      <c r="I41" s="19">
        <f>VLOOKUP($N41,'FILL Table'!$A$4:$L$19,I$3,FALSE)*$M41</f>
        <v>0.96</v>
      </c>
      <c r="J41" s="19">
        <f>VLOOKUP($N41,'FILL Table'!$A$4:$L$19,J$3,FALSE)*$M41</f>
        <v>0.96</v>
      </c>
      <c r="K41" s="19">
        <f>VLOOKUP($N41,'FILL Table'!$A$4:$L$19,K$3,FALSE)*$M41</f>
        <v>0.96</v>
      </c>
      <c r="L41" s="20"/>
      <c r="M41" s="21">
        <f t="shared" si="3"/>
        <v>1.2</v>
      </c>
      <c r="N41" s="21" t="str">
        <f t="shared" si="9"/>
        <v>AGRSTMCHAGRE</v>
      </c>
    </row>
    <row r="42" spans="2:14" ht="13.8" x14ac:dyDescent="0.25">
      <c r="B42" s="17" t="s">
        <v>83</v>
      </c>
      <c r="C42" s="10"/>
      <c r="D42" s="10" t="s">
        <v>56</v>
      </c>
      <c r="E42" s="10"/>
      <c r="F42" s="10" t="str">
        <f t="shared" si="6"/>
        <v>EFF</v>
      </c>
      <c r="G42" s="18">
        <f t="shared" si="4"/>
        <v>2018</v>
      </c>
      <c r="H42" s="19">
        <f>VLOOKUP($N42,'FILL Table'!$A$4:$I$19,H$3,FALSE)*$M42</f>
        <v>0.70699999999999996</v>
      </c>
      <c r="I42" s="19">
        <f>VLOOKUP($N42,'FILL Table'!$A$4:$L$19,I$3,FALSE)*$M42</f>
        <v>0.70699999999999996</v>
      </c>
      <c r="J42" s="19">
        <f>VLOOKUP($N42,'FILL Table'!$A$4:$L$19,J$3,FALSE)*$M42</f>
        <v>0.70699999999999996</v>
      </c>
      <c r="K42" s="19">
        <f>VLOOKUP($N42,'FILL Table'!$A$4:$L$19,K$3,FALSE)*$M42</f>
        <v>0.70699999999999996</v>
      </c>
      <c r="L42" s="20"/>
      <c r="M42" s="21">
        <f t="shared" si="3"/>
        <v>1.01</v>
      </c>
      <c r="N42" s="21" t="str">
        <f>LEFT(D42,9)</f>
        <v>AGRSTOTHA</v>
      </c>
    </row>
    <row r="43" spans="2:14" ht="13.8" x14ac:dyDescent="0.25">
      <c r="B43" s="17" t="s">
        <v>83</v>
      </c>
      <c r="C43" s="10"/>
      <c r="D43" s="10" t="s">
        <v>57</v>
      </c>
      <c r="E43" s="10"/>
      <c r="F43" s="10" t="str">
        <f t="shared" si="6"/>
        <v>EFF</v>
      </c>
      <c r="G43" s="18">
        <f t="shared" si="4"/>
        <v>2025</v>
      </c>
      <c r="H43" s="19">
        <f>VLOOKUP($N43,'FILL Table'!$A$4:$I$19,H$3,FALSE)*$M43</f>
        <v>0.77</v>
      </c>
      <c r="I43" s="19">
        <f>VLOOKUP($N43,'FILL Table'!$A$4:$L$19,I$3,FALSE)*$M43</f>
        <v>0.77</v>
      </c>
      <c r="J43" s="19">
        <f>VLOOKUP($N43,'FILL Table'!$A$4:$L$19,J$3,FALSE)*$M43</f>
        <v>0.77</v>
      </c>
      <c r="K43" s="19">
        <f>VLOOKUP($N43,'FILL Table'!$A$4:$L$19,K$3,FALSE)*$M43</f>
        <v>0.77</v>
      </c>
      <c r="L43" s="20"/>
      <c r="M43" s="21">
        <f t="shared" si="3"/>
        <v>1.1000000000000001</v>
      </c>
      <c r="N43" s="21" t="str">
        <f>LEFT(D43,9)</f>
        <v>AGRSTOTHA</v>
      </c>
    </row>
    <row r="44" spans="2:14" ht="13.8" x14ac:dyDescent="0.25">
      <c r="B44" s="22" t="s">
        <v>83</v>
      </c>
      <c r="C44" s="23"/>
      <c r="D44" s="23" t="s">
        <v>58</v>
      </c>
      <c r="E44" s="23"/>
      <c r="F44" s="23" t="str">
        <f t="shared" si="6"/>
        <v>EFF</v>
      </c>
      <c r="G44" s="24">
        <f t="shared" si="4"/>
        <v>2030</v>
      </c>
      <c r="H44" s="25">
        <f>VLOOKUP($N44,'FILL Table'!$A$4:$I$19,H$3,FALSE)*$M44</f>
        <v>0.84</v>
      </c>
      <c r="I44" s="25">
        <f>VLOOKUP($N44,'FILL Table'!$A$4:$L$19,I$3,FALSE)*$M44</f>
        <v>0.84</v>
      </c>
      <c r="J44" s="25">
        <f>VLOOKUP($N44,'FILL Table'!$A$4:$L$19,J$3,FALSE)*$M44</f>
        <v>0.84</v>
      </c>
      <c r="K44" s="25">
        <f>VLOOKUP($N44,'FILL Table'!$A$4:$L$19,K$3,FALSE)*$M44</f>
        <v>0.84</v>
      </c>
      <c r="L44" s="23"/>
      <c r="M44" s="26">
        <f t="shared" si="3"/>
        <v>1.2</v>
      </c>
      <c r="N44" s="26" t="str">
        <f>LEFT(D44,9)</f>
        <v>AGRSTOTHA</v>
      </c>
    </row>
    <row r="45" spans="2:14" ht="13.8" x14ac:dyDescent="0.25">
      <c r="B45" s="23"/>
      <c r="C45" s="23"/>
      <c r="D45" s="23" t="s">
        <v>29</v>
      </c>
      <c r="E45" s="23"/>
      <c r="F45" s="23" t="s">
        <v>15</v>
      </c>
      <c r="G45" s="24"/>
      <c r="H45" s="25">
        <f>VLOOKUP($N45,'FILL Table'!$A$4:$I$19,H$3,FALSE)</f>
        <v>3.3569899672131101E-2</v>
      </c>
      <c r="I45" s="25">
        <f>VLOOKUP($N45,'FILL Table'!$A$4:$L$19,I$3,FALSE)</f>
        <v>3.7813414736842098E-2</v>
      </c>
      <c r="J45" s="25">
        <f>VLOOKUP($N45,'FILL Table'!$A$4:$L$19,J$3,FALSE)</f>
        <v>3.4706368421052597E-2</v>
      </c>
      <c r="K45" s="25">
        <f>VLOOKUP($N45,'FILL Table'!$A$4:$L$19,K$3,FALSE)</f>
        <v>4.0279903448275901E-2</v>
      </c>
      <c r="L45" s="23"/>
      <c r="M45" s="26"/>
      <c r="N45" s="26" t="str">
        <f>LEFT(D45,6)&amp;F45</f>
        <v>AGRMACPRC_CAPACT</v>
      </c>
    </row>
    <row r="46" spans="2:14" ht="13.8" x14ac:dyDescent="0.25">
      <c r="D46" s="10" t="s">
        <v>59</v>
      </c>
      <c r="E46" s="10" t="s">
        <v>38</v>
      </c>
      <c r="F46" s="10" t="s">
        <v>37</v>
      </c>
      <c r="G46" s="27" t="s">
        <v>74</v>
      </c>
      <c r="H46" s="19">
        <f>VLOOKUP($N46,'FILL Table'!$A$4:$I$19,H$3,FALSE)*$M46</f>
        <v>0.78093030075265801</v>
      </c>
      <c r="I46" s="19">
        <f>VLOOKUP($N46,'FILL Table'!$A$4:$L$19,I$3,FALSE)*$M46</f>
        <v>0.36296892255532498</v>
      </c>
      <c r="J46" s="19">
        <f>VLOOKUP($N46,'FILL Table'!$A$4:$L$19,J$3,FALSE)*$M46</f>
        <v>0.63787857128270098</v>
      </c>
      <c r="K46" s="19">
        <f>VLOOKUP($N46,'FILL Table'!$A$4:$L$19,K$3,FALSE)*$M46</f>
        <v>0.121664368561927</v>
      </c>
      <c r="L46" s="10"/>
      <c r="M46" s="28">
        <v>1</v>
      </c>
      <c r="N46" s="18" t="str">
        <f t="shared" ref="N46:N48" si="11">LEFT(D46,6)&amp;RIGHT(E46,3)</f>
        <v>AGRSTATHT</v>
      </c>
    </row>
    <row r="47" spans="2:14" ht="13.8" x14ac:dyDescent="0.25">
      <c r="D47" s="10" t="str">
        <f>D46</f>
        <v>AGRSTA_N_ST</v>
      </c>
      <c r="E47" s="10" t="s">
        <v>39</v>
      </c>
      <c r="F47" s="10" t="s">
        <v>37</v>
      </c>
      <c r="G47" s="27" t="str">
        <f>G46</f>
        <v>2018,2050</v>
      </c>
      <c r="H47" s="19">
        <f>VLOOKUP($N47,'FILL Table'!$A$4:$I$19,H$3,FALSE)*$M47</f>
        <v>0.17974949681833199</v>
      </c>
      <c r="I47" s="19">
        <f>VLOOKUP($N47,'FILL Table'!$A$4:$L$19,I$3,FALSE)*$M47</f>
        <v>0.52269216610845204</v>
      </c>
      <c r="J47" s="19">
        <f>VLOOKUP($N47,'FILL Table'!$A$4:$L$19,J$3,FALSE)*$M47</f>
        <v>0.29712527484496398</v>
      </c>
      <c r="K47" s="19">
        <f>VLOOKUP($N47,'FILL Table'!$A$4:$L$19,K$3,FALSE)*$M47</f>
        <v>0.72068564630816201</v>
      </c>
      <c r="L47" s="10"/>
      <c r="M47" s="28">
        <v>1</v>
      </c>
      <c r="N47" s="18" t="str">
        <f t="shared" si="11"/>
        <v>AGRSTAMCH</v>
      </c>
    </row>
    <row r="48" spans="2:14" ht="13.8" x14ac:dyDescent="0.25">
      <c r="B48" s="29"/>
      <c r="C48" s="29"/>
      <c r="D48" s="23" t="str">
        <f>D46</f>
        <v>AGRSTA_N_ST</v>
      </c>
      <c r="E48" s="23" t="s">
        <v>40</v>
      </c>
      <c r="F48" s="23" t="s">
        <v>37</v>
      </c>
      <c r="G48" s="30" t="str">
        <f t="shared" ref="G48" si="12">G47</f>
        <v>2018,2050</v>
      </c>
      <c r="H48" s="25">
        <f>VLOOKUP($N48,'FILL Table'!$A$4:$I$19,H$3,FALSE)*$M48</f>
        <v>3.9320202429010097E-2</v>
      </c>
      <c r="I48" s="25">
        <f>VLOOKUP($N48,'FILL Table'!$A$4:$L$19,I$3,FALSE)*$M48</f>
        <v>0.11433891133622399</v>
      </c>
      <c r="J48" s="25">
        <f>VLOOKUP($N48,'FILL Table'!$A$4:$L$19,J$3,FALSE)*$M48</f>
        <v>6.4996153872335802E-2</v>
      </c>
      <c r="K48" s="25">
        <f>VLOOKUP($N48,'FILL Table'!$A$4:$L$19,K$3,FALSE)*$M48</f>
        <v>0.15764998512990999</v>
      </c>
      <c r="L48" s="23"/>
      <c r="M48" s="31">
        <v>1</v>
      </c>
      <c r="N48" s="24" t="str">
        <f t="shared" si="11"/>
        <v>AGRSTAOTH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>
      <selection activeCell="B2" sqref="B2"/>
    </sheetView>
  </sheetViews>
  <sheetFormatPr defaultRowHeight="13.2" x14ac:dyDescent="0.25"/>
  <cols>
    <col min="1" max="1" width="23.6640625" customWidth="1"/>
  </cols>
  <sheetData>
    <row r="1" spans="1:2" ht="15" customHeight="1" x14ac:dyDescent="0.3">
      <c r="A1" s="1" t="s">
        <v>25</v>
      </c>
      <c r="B1" s="2">
        <v>2017</v>
      </c>
    </row>
    <row r="2" spans="1:2" ht="15" customHeight="1" x14ac:dyDescent="0.3">
      <c r="A2" s="1" t="s">
        <v>26</v>
      </c>
      <c r="B2" s="1">
        <v>2050</v>
      </c>
    </row>
    <row r="3" spans="1:2" ht="14.4" x14ac:dyDescent="0.3">
      <c r="A3" s="1"/>
      <c r="B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FILL Table</vt:lpstr>
      <vt:lpstr>Param_Transformation</vt:lpstr>
      <vt:lpstr>General</vt:lpstr>
      <vt:lpstr>BASE_YEAR</vt:lpstr>
      <vt:lpstr>END_YEAR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cp:lastPrinted>2001-09-28T20:39:50Z</cp:lastPrinted>
  <dcterms:created xsi:type="dcterms:W3CDTF">2001-09-28T18:48:17Z</dcterms:created>
  <dcterms:modified xsi:type="dcterms:W3CDTF">2022-09-23T16:59:32Z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55777251720428</vt:r8>
  </property>
</Properties>
</file>