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A94370FA-97D1-44EE-B099-B0920D5EC949}" xr6:coauthVersionLast="47" xr6:coauthVersionMax="47" xr10:uidLastSave="{00000000-0000-0000-0000-000000000000}"/>
  <bookViews>
    <workbookView xWindow="372" yWindow="0" windowWidth="22668" windowHeight="12240" xr2:uid="{00000000-000D-0000-FFFF-FFFF00000000}"/>
  </bookViews>
  <sheets>
    <sheet name="IND_IST" sheetId="30" r:id="rId1"/>
    <sheet name="IND_NFM" sheetId="31" r:id="rId2"/>
    <sheet name="IND_NMM" sheetId="28" r:id="rId3"/>
    <sheet name="IND_FBT" sheetId="27" r:id="rId4"/>
    <sheet name="IND_PCH" sheetId="32" r:id="rId5"/>
    <sheet name="IND_MIQ" sheetId="33" r:id="rId6"/>
    <sheet name="IND_CON" sheetId="34" r:id="rId7"/>
    <sheet name="IND_OTH" sheetId="21" r:id="rId8"/>
    <sheet name="IND_NED" sheetId="25" r:id="rId9"/>
    <sheet name="IND_CCS" sheetId="29" r:id="rId10"/>
    <sheet name="Commodities" sheetId="11" state="hidden" r:id="rId11"/>
    <sheet name="General" sheetId="12" state="hidden" r:id="rId12"/>
  </sheets>
  <externalReferences>
    <externalReference r:id="rId13"/>
  </externalReferences>
  <definedNames>
    <definedName name="BASE_YEAR" localSheetId="0">[1]General!$F$1</definedName>
    <definedName name="BASE_YEAR" localSheetId="1">[1]General!$F$1</definedName>
    <definedName name="BASE_YEAR">General!$F$1</definedName>
    <definedName name="END_YEAR" localSheetId="0">[1]General!$F$2</definedName>
    <definedName name="END_YEAR" localSheetId="1">[1]General!$F$2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" i="28" l="1"/>
  <c r="I93" i="28"/>
  <c r="I55" i="28"/>
  <c r="I54" i="28"/>
  <c r="I96" i="21"/>
  <c r="I56" i="21"/>
  <c r="I55" i="21"/>
  <c r="I54" i="21"/>
  <c r="I55" i="27"/>
  <c r="I96" i="27"/>
  <c r="I56" i="27"/>
  <c r="I54" i="27"/>
  <c r="E199" i="28"/>
  <c r="H199" i="28" l="1"/>
  <c r="T116" i="28"/>
  <c r="S116" i="28"/>
  <c r="J199" i="28"/>
  <c r="I199" i="28"/>
  <c r="D186" i="32"/>
  <c r="T108" i="28" l="1"/>
  <c r="T107" i="28"/>
  <c r="T106" i="28"/>
  <c r="S108" i="28"/>
  <c r="S107" i="28"/>
  <c r="S106" i="28"/>
  <c r="D190" i="28"/>
  <c r="D193" i="28"/>
  <c r="D196" i="28"/>
  <c r="M36" i="33"/>
  <c r="J48" i="34"/>
  <c r="J52" i="34"/>
  <c r="I45" i="33" l="1"/>
  <c r="I44" i="33"/>
  <c r="J45" i="33"/>
  <c r="J44" i="33"/>
  <c r="H45" i="33"/>
  <c r="H44" i="33"/>
  <c r="I41" i="33"/>
  <c r="J41" i="33" s="1"/>
  <c r="J42" i="33"/>
  <c r="J40" i="33"/>
  <c r="J38" i="33"/>
  <c r="J37" i="33"/>
  <c r="J36" i="33"/>
  <c r="J33" i="33"/>
  <c r="J32" i="33"/>
  <c r="J30" i="33"/>
  <c r="J29" i="33"/>
  <c r="J28" i="33"/>
  <c r="J26" i="33"/>
  <c r="J25" i="33"/>
  <c r="J24" i="33"/>
  <c r="J20" i="33"/>
  <c r="J18" i="33"/>
  <c r="J17" i="33"/>
  <c r="J16" i="33"/>
  <c r="J15" i="33"/>
  <c r="J14" i="33"/>
  <c r="J13" i="33"/>
  <c r="I10" i="33" l="1"/>
  <c r="K72" i="30"/>
  <c r="K62" i="30"/>
  <c r="H134" i="30"/>
  <c r="H125" i="30"/>
  <c r="H57" i="30"/>
  <c r="H47" i="30"/>
  <c r="H48" i="30"/>
  <c r="H13" i="30"/>
  <c r="T105" i="28" l="1"/>
  <c r="T104" i="28"/>
  <c r="T103" i="28"/>
  <c r="C23" i="25" l="1"/>
  <c r="J12" i="25"/>
  <c r="B23" i="25" s="1"/>
  <c r="G50" i="21" l="1"/>
  <c r="G49" i="21"/>
  <c r="G92" i="21"/>
  <c r="G91" i="21"/>
  <c r="G59" i="28"/>
  <c r="G58" i="28"/>
  <c r="G92" i="28"/>
  <c r="G91" i="28"/>
  <c r="H50" i="34" l="1"/>
  <c r="K53" i="30" l="1"/>
  <c r="N72" i="30"/>
  <c r="M72" i="30"/>
  <c r="L72" i="30"/>
  <c r="J72" i="30"/>
  <c r="I76" i="30"/>
  <c r="H74" i="30"/>
  <c r="H73" i="30"/>
  <c r="H72" i="30"/>
  <c r="F72" i="30"/>
  <c r="F73" i="30" s="1"/>
  <c r="F74" i="30" s="1"/>
  <c r="F75" i="30" s="1"/>
  <c r="F76" i="30" s="1"/>
  <c r="E76" i="30"/>
  <c r="D74" i="30"/>
  <c r="D73" i="30"/>
  <c r="D72" i="30"/>
  <c r="C72" i="30"/>
  <c r="B72" i="30"/>
  <c r="X20" i="30"/>
  <c r="Q98" i="30" l="1"/>
  <c r="H253" i="31" l="1"/>
  <c r="H252" i="31"/>
  <c r="H251" i="31"/>
  <c r="H250" i="31"/>
  <c r="H248" i="31"/>
  <c r="H247" i="31"/>
  <c r="H244" i="31"/>
  <c r="H242" i="31"/>
  <c r="H241" i="31"/>
  <c r="H240" i="31"/>
  <c r="H239" i="31"/>
  <c r="H238" i="31"/>
  <c r="H235" i="31"/>
  <c r="H234" i="31"/>
  <c r="H233" i="31"/>
  <c r="H232" i="31"/>
  <c r="H231" i="31"/>
  <c r="H230" i="31"/>
  <c r="H229" i="31"/>
  <c r="L247" i="31"/>
  <c r="K247" i="31"/>
  <c r="L238" i="31"/>
  <c r="K238" i="31"/>
  <c r="L229" i="31"/>
  <c r="K229" i="31"/>
  <c r="L213" i="31"/>
  <c r="K213" i="31"/>
  <c r="L204" i="31"/>
  <c r="K204" i="31"/>
  <c r="L195" i="31"/>
  <c r="K195" i="31"/>
  <c r="K124" i="31"/>
  <c r="L179" i="31"/>
  <c r="K179" i="31"/>
  <c r="L170" i="31"/>
  <c r="K170" i="31"/>
  <c r="L161" i="31"/>
  <c r="K161" i="31"/>
  <c r="H217" i="31"/>
  <c r="H208" i="31"/>
  <c r="H199" i="31"/>
  <c r="H183" i="31"/>
  <c r="H182" i="31"/>
  <c r="H174" i="31"/>
  <c r="H173" i="31"/>
  <c r="H167" i="31"/>
  <c r="H166" i="31"/>
  <c r="H165" i="31"/>
  <c r="H164" i="31"/>
  <c r="H163" i="31"/>
  <c r="H162" i="31"/>
  <c r="H161" i="31"/>
  <c r="H112" i="31"/>
  <c r="H111" i="31"/>
  <c r="H110" i="31"/>
  <c r="H109" i="31"/>
  <c r="H108" i="31"/>
  <c r="H105" i="31"/>
  <c r="H104" i="31"/>
  <c r="H103" i="31"/>
  <c r="H102" i="31"/>
  <c r="H100" i="31"/>
  <c r="H99" i="31"/>
  <c r="L90" i="31"/>
  <c r="K90" i="31"/>
  <c r="H96" i="31"/>
  <c r="H95" i="31"/>
  <c r="H94" i="31"/>
  <c r="H93" i="31"/>
  <c r="H92" i="31"/>
  <c r="H91" i="31"/>
  <c r="H90" i="31"/>
  <c r="H78" i="31"/>
  <c r="H77" i="31"/>
  <c r="H75" i="31"/>
  <c r="H74" i="31"/>
  <c r="H71" i="31"/>
  <c r="H70" i="31"/>
  <c r="H69" i="31"/>
  <c r="H68" i="31"/>
  <c r="H67" i="31"/>
  <c r="H66" i="31"/>
  <c r="H65" i="31"/>
  <c r="L56" i="31"/>
  <c r="K56" i="31"/>
  <c r="H62" i="31"/>
  <c r="H61" i="31"/>
  <c r="H60" i="31"/>
  <c r="H59" i="31"/>
  <c r="H58" i="31"/>
  <c r="H57" i="31"/>
  <c r="H56" i="31"/>
  <c r="H46" i="31"/>
  <c r="H44" i="31"/>
  <c r="H43" i="31"/>
  <c r="H39" i="31"/>
  <c r="H37" i="31"/>
  <c r="H36" i="31"/>
  <c r="L43" i="31"/>
  <c r="L36" i="31"/>
  <c r="K36" i="31"/>
  <c r="K29" i="31"/>
  <c r="L29" i="31"/>
  <c r="H25" i="31"/>
  <c r="H24" i="31"/>
  <c r="H21" i="31"/>
  <c r="H20" i="31"/>
  <c r="H19" i="31"/>
  <c r="H18" i="31"/>
  <c r="K24" i="31"/>
  <c r="L24" i="31"/>
  <c r="M24" i="31"/>
  <c r="M18" i="31"/>
  <c r="L18" i="31"/>
  <c r="K18" i="31"/>
  <c r="M11" i="31"/>
  <c r="L11" i="31"/>
  <c r="K11" i="31"/>
  <c r="H15" i="31"/>
  <c r="H14" i="31"/>
  <c r="H13" i="31"/>
  <c r="H12" i="31"/>
  <c r="H11" i="31"/>
  <c r="H15" i="34" l="1"/>
  <c r="H21" i="34"/>
  <c r="P313" i="31" l="1"/>
  <c r="G36" i="33" l="1"/>
  <c r="G24" i="33"/>
  <c r="M24" i="33" l="1"/>
  <c r="K43" i="31" l="1"/>
  <c r="C43" i="31"/>
  <c r="B43" i="31"/>
  <c r="H48" i="31"/>
  <c r="T97" i="21"/>
  <c r="S97" i="21"/>
  <c r="T115" i="28"/>
  <c r="S115" i="28"/>
  <c r="G94" i="28" l="1"/>
  <c r="G95" i="28" s="1"/>
  <c r="G55" i="28"/>
  <c r="G56" i="28" s="1"/>
  <c r="G117" i="28"/>
  <c r="G118" i="28" s="1"/>
  <c r="L264" i="32" l="1"/>
  <c r="O150" i="27"/>
  <c r="O147" i="27"/>
  <c r="O144" i="27"/>
  <c r="L299" i="31"/>
  <c r="L305" i="31" s="1"/>
  <c r="L311" i="31" s="1"/>
  <c r="L192" i="30"/>
  <c r="F240" i="32" l="1"/>
  <c r="F227" i="32"/>
  <c r="F200" i="32"/>
  <c r="F186" i="32"/>
  <c r="F172" i="32"/>
  <c r="F137" i="32"/>
  <c r="F123" i="32"/>
  <c r="F102" i="32"/>
  <c r="F87" i="32"/>
  <c r="F72" i="32"/>
  <c r="F172" i="28"/>
  <c r="F168" i="28"/>
  <c r="F164" i="28"/>
  <c r="I43" i="33" l="1"/>
  <c r="I40" i="33"/>
  <c r="I39" i="33"/>
  <c r="I36" i="33"/>
  <c r="J21" i="33"/>
  <c r="I22" i="33"/>
  <c r="J22" i="33" s="1"/>
  <c r="I21" i="33"/>
  <c r="I20" i="33"/>
  <c r="I19" i="33"/>
  <c r="J19" i="33" s="1"/>
  <c r="I18" i="33"/>
  <c r="I17" i="33"/>
  <c r="I16" i="33"/>
  <c r="I15" i="33"/>
  <c r="I14" i="33"/>
  <c r="I13" i="33"/>
  <c r="H39" i="33"/>
  <c r="H43" i="33"/>
  <c r="H41" i="33"/>
  <c r="H40" i="33"/>
  <c r="H36" i="33"/>
  <c r="I33" i="33"/>
  <c r="I31" i="33"/>
  <c r="I29" i="33"/>
  <c r="I28" i="33"/>
  <c r="I27" i="33"/>
  <c r="I24" i="33"/>
  <c r="H33" i="33"/>
  <c r="H31" i="33"/>
  <c r="H30" i="33"/>
  <c r="I30" i="33" s="1"/>
  <c r="H29" i="33"/>
  <c r="H32" i="33" s="1"/>
  <c r="I32" i="33" s="1"/>
  <c r="H28" i="33"/>
  <c r="H27" i="33"/>
  <c r="H25" i="33"/>
  <c r="H37" i="33" s="1"/>
  <c r="I37" i="33" s="1"/>
  <c r="H26" i="33"/>
  <c r="H38" i="33" s="1"/>
  <c r="I38" i="33" s="1"/>
  <c r="H24" i="33"/>
  <c r="H32" i="34"/>
  <c r="H31" i="34"/>
  <c r="H30" i="34"/>
  <c r="H29" i="34"/>
  <c r="H28" i="34"/>
  <c r="H26" i="34"/>
  <c r="H27" i="34"/>
  <c r="H25" i="34"/>
  <c r="D21" i="33"/>
  <c r="H42" i="33" l="1"/>
  <c r="I42" i="33" s="1"/>
  <c r="I25" i="33"/>
  <c r="I26" i="33"/>
  <c r="J45" i="34"/>
  <c r="J43" i="34"/>
  <c r="J42" i="34"/>
  <c r="J41" i="34"/>
  <c r="J40" i="34"/>
  <c r="J39" i="34"/>
  <c r="J38" i="34"/>
  <c r="J36" i="34"/>
  <c r="I45" i="34"/>
  <c r="I43" i="34"/>
  <c r="I42" i="34"/>
  <c r="I41" i="34"/>
  <c r="I40" i="34"/>
  <c r="I39" i="34"/>
  <c r="I38" i="34"/>
  <c r="I36" i="34"/>
  <c r="H45" i="34"/>
  <c r="H37" i="34"/>
  <c r="H44" i="34" s="1"/>
  <c r="I44" i="34" s="1"/>
  <c r="J44" i="34" s="1"/>
  <c r="J29" i="34"/>
  <c r="I32" i="34"/>
  <c r="J32" i="34" s="1"/>
  <c r="I31" i="34"/>
  <c r="J31" i="34" s="1"/>
  <c r="I30" i="34"/>
  <c r="J30" i="34" s="1"/>
  <c r="I29" i="34"/>
  <c r="I28" i="34"/>
  <c r="J28" i="34" s="1"/>
  <c r="I27" i="34"/>
  <c r="J27" i="34" s="1"/>
  <c r="I26" i="34"/>
  <c r="J26" i="34" s="1"/>
  <c r="I25" i="34"/>
  <c r="J25" i="34" s="1"/>
  <c r="H33" i="34"/>
  <c r="I33" i="34" s="1"/>
  <c r="J33" i="34" s="1"/>
  <c r="H34" i="34"/>
  <c r="I34" i="34" s="1"/>
  <c r="J34" i="34" s="1"/>
  <c r="I37" i="34" l="1"/>
  <c r="J37" i="34" s="1"/>
  <c r="J23" i="34"/>
  <c r="J22" i="34"/>
  <c r="J20" i="34"/>
  <c r="J19" i="34"/>
  <c r="J18" i="34"/>
  <c r="J17" i="34"/>
  <c r="J16" i="34"/>
  <c r="J15" i="34"/>
  <c r="J14" i="34"/>
  <c r="I23" i="34"/>
  <c r="I22" i="34"/>
  <c r="I21" i="34"/>
  <c r="J21" i="34" s="1"/>
  <c r="I20" i="34"/>
  <c r="I19" i="34"/>
  <c r="I18" i="34"/>
  <c r="I17" i="34"/>
  <c r="I16" i="34"/>
  <c r="I15" i="34"/>
  <c r="I14" i="34"/>
  <c r="D22" i="34"/>
  <c r="F54" i="34"/>
  <c r="F44" i="34"/>
  <c r="F33" i="34"/>
  <c r="F22" i="34"/>
  <c r="J54" i="34" l="1"/>
  <c r="J47" i="34"/>
  <c r="J11" i="34" l="1"/>
  <c r="I11" i="34"/>
  <c r="J10" i="33"/>
  <c r="S290" i="32" l="1"/>
  <c r="S277" i="32"/>
  <c r="S264" i="32"/>
  <c r="M150" i="27"/>
  <c r="M147" i="27"/>
  <c r="M144" i="27"/>
  <c r="R299" i="31"/>
  <c r="R305" i="31"/>
  <c r="R311" i="31"/>
  <c r="R206" i="30"/>
  <c r="R199" i="30"/>
  <c r="R192" i="30"/>
  <c r="Y10" i="32" l="1"/>
  <c r="Y9" i="32"/>
  <c r="Y8" i="32"/>
  <c r="W10" i="31"/>
  <c r="W9" i="31"/>
  <c r="W8" i="31"/>
  <c r="X10" i="30"/>
  <c r="X9" i="30"/>
  <c r="X8" i="30"/>
  <c r="R251" i="32" l="1"/>
  <c r="R250" i="32"/>
  <c r="R249" i="32"/>
  <c r="R248" i="32"/>
  <c r="R247" i="32"/>
  <c r="R246" i="32"/>
  <c r="R245" i="32"/>
  <c r="R244" i="32"/>
  <c r="R243" i="32"/>
  <c r="R242" i="32"/>
  <c r="R241" i="32"/>
  <c r="R240" i="32"/>
  <c r="R238" i="32"/>
  <c r="R237" i="32"/>
  <c r="R236" i="32"/>
  <c r="R235" i="32"/>
  <c r="R234" i="32"/>
  <c r="R233" i="32"/>
  <c r="R232" i="32"/>
  <c r="R231" i="32"/>
  <c r="R230" i="32"/>
  <c r="R229" i="32"/>
  <c r="R228" i="32"/>
  <c r="R227" i="32"/>
  <c r="R225" i="32"/>
  <c r="R224" i="32"/>
  <c r="R223" i="32"/>
  <c r="R222" i="32"/>
  <c r="R221" i="32"/>
  <c r="R220" i="32"/>
  <c r="R219" i="32"/>
  <c r="R218" i="32"/>
  <c r="R217" i="32"/>
  <c r="R216" i="32"/>
  <c r="R215" i="32"/>
  <c r="R214" i="32"/>
  <c r="H240" i="32"/>
  <c r="H227" i="32"/>
  <c r="H281" i="31"/>
  <c r="H174" i="30"/>
  <c r="P308" i="31"/>
  <c r="P307" i="31"/>
  <c r="P306" i="31"/>
  <c r="P305" i="31"/>
  <c r="P302" i="31"/>
  <c r="P301" i="31"/>
  <c r="P300" i="31"/>
  <c r="P299" i="31"/>
  <c r="M47" i="34"/>
  <c r="M36" i="34"/>
  <c r="M25" i="34"/>
  <c r="M14" i="34"/>
  <c r="R48" i="34"/>
  <c r="R37" i="34"/>
  <c r="R26" i="34"/>
  <c r="R15" i="34"/>
  <c r="M13" i="33"/>
  <c r="R37" i="33"/>
  <c r="R25" i="33"/>
  <c r="R14" i="33"/>
  <c r="X277" i="32" l="1"/>
  <c r="Y264" i="32"/>
  <c r="X264" i="32"/>
  <c r="W311" i="31"/>
  <c r="W305" i="31"/>
  <c r="W299" i="31"/>
  <c r="X299" i="31" s="1"/>
  <c r="W199" i="30"/>
  <c r="X199" i="30" s="1"/>
  <c r="AA199" i="30" s="1"/>
  <c r="W192" i="30"/>
  <c r="Y299" i="31" l="1"/>
  <c r="Z299" i="31" s="1"/>
  <c r="AA299" i="31"/>
  <c r="Z264" i="32"/>
  <c r="AA264" i="32" s="1"/>
  <c r="AB264" i="32"/>
  <c r="X192" i="30"/>
  <c r="X311" i="31"/>
  <c r="X305" i="31"/>
  <c r="Y199" i="30"/>
  <c r="Z199" i="30" s="1"/>
  <c r="Y305" i="31" l="1"/>
  <c r="Z305" i="31" s="1"/>
  <c r="AA305" i="31"/>
  <c r="Y192" i="30"/>
  <c r="Z192" i="30" s="1"/>
  <c r="AA192" i="30"/>
  <c r="Y311" i="31"/>
  <c r="AA311" i="31"/>
  <c r="Z311" i="31"/>
  <c r="K264" i="32" l="1"/>
  <c r="N144" i="27"/>
  <c r="K299" i="31"/>
  <c r="K192" i="30"/>
  <c r="E145" i="27" l="1"/>
  <c r="E148" i="27" s="1"/>
  <c r="E151" i="27" s="1"/>
  <c r="R211" i="32"/>
  <c r="P287" i="32"/>
  <c r="P285" i="32"/>
  <c r="P284" i="32"/>
  <c r="P278" i="32"/>
  <c r="P274" i="32"/>
  <c r="P273" i="32"/>
  <c r="P272" i="32"/>
  <c r="P271" i="32"/>
  <c r="P270" i="32"/>
  <c r="P269" i="32"/>
  <c r="P268" i="32"/>
  <c r="P267" i="32"/>
  <c r="P266" i="32"/>
  <c r="P265" i="32"/>
  <c r="P264" i="32"/>
  <c r="P210" i="30"/>
  <c r="P209" i="30"/>
  <c r="P208" i="30"/>
  <c r="P207" i="30"/>
  <c r="P206" i="30"/>
  <c r="P203" i="30"/>
  <c r="P202" i="30"/>
  <c r="P201" i="30"/>
  <c r="P200" i="30"/>
  <c r="P199" i="30"/>
  <c r="P196" i="30"/>
  <c r="P195" i="30"/>
  <c r="P194" i="30"/>
  <c r="P193" i="30"/>
  <c r="P192" i="30"/>
  <c r="H152" i="31" l="1"/>
  <c r="H142" i="31"/>
  <c r="H128" i="21" l="1"/>
  <c r="H130" i="21" s="1"/>
  <c r="H125" i="21"/>
  <c r="H127" i="21" s="1"/>
  <c r="H122" i="21"/>
  <c r="H124" i="21" s="1"/>
  <c r="H119" i="21"/>
  <c r="H121" i="21" s="1"/>
  <c r="H109" i="21"/>
  <c r="H108" i="21"/>
  <c r="H105" i="21"/>
  <c r="H107" i="21" s="1"/>
  <c r="H103" i="21"/>
  <c r="H102" i="21"/>
  <c r="H104" i="21" s="1"/>
  <c r="H101" i="21"/>
  <c r="H100" i="21"/>
  <c r="H99" i="21"/>
  <c r="H97" i="21"/>
  <c r="H96" i="21"/>
  <c r="H98" i="21" s="1"/>
  <c r="H110" i="21" s="1"/>
  <c r="H93" i="21"/>
  <c r="H94" i="21" s="1"/>
  <c r="H92" i="21"/>
  <c r="H91" i="21"/>
  <c r="H90" i="21"/>
  <c r="H87" i="21"/>
  <c r="H89" i="21" s="1"/>
  <c r="H86" i="21"/>
  <c r="H85" i="21"/>
  <c r="H84" i="21"/>
  <c r="H81" i="21"/>
  <c r="H83" i="21" s="1"/>
  <c r="H79" i="21"/>
  <c r="H78" i="21"/>
  <c r="H80" i="21" s="1"/>
  <c r="H77" i="21"/>
  <c r="H76" i="21"/>
  <c r="H75" i="21"/>
  <c r="H68" i="21"/>
  <c r="H67" i="21"/>
  <c r="H60" i="21"/>
  <c r="H62" i="21" s="1"/>
  <c r="H57" i="21"/>
  <c r="H59" i="21" s="1"/>
  <c r="H54" i="21"/>
  <c r="H56" i="21" s="1"/>
  <c r="H65" i="21" s="1"/>
  <c r="H52" i="21"/>
  <c r="H51" i="21"/>
  <c r="H53" i="21" s="1"/>
  <c r="H49" i="21"/>
  <c r="H48" i="21"/>
  <c r="H50" i="21" s="1"/>
  <c r="H46" i="21"/>
  <c r="H45" i="21"/>
  <c r="H47" i="21" s="1"/>
  <c r="H44" i="21"/>
  <c r="H43" i="21"/>
  <c r="H42" i="21"/>
  <c r="H41" i="21"/>
  <c r="H40" i="21"/>
  <c r="H39" i="21"/>
  <c r="H36" i="21"/>
  <c r="H38" i="21" s="1"/>
  <c r="H33" i="21"/>
  <c r="H35" i="21" s="1"/>
  <c r="H22" i="21"/>
  <c r="H21" i="21"/>
  <c r="H20" i="21"/>
  <c r="H19" i="21"/>
  <c r="H17" i="21"/>
  <c r="H16" i="21"/>
  <c r="H15" i="21"/>
  <c r="H14" i="21"/>
  <c r="H128" i="27"/>
  <c r="H130" i="27" s="1"/>
  <c r="H125" i="27"/>
  <c r="H127" i="27" s="1"/>
  <c r="H122" i="27"/>
  <c r="H123" i="27" s="1"/>
  <c r="H119" i="27"/>
  <c r="H121" i="27" s="1"/>
  <c r="H108" i="27"/>
  <c r="H105" i="27"/>
  <c r="H107" i="27" s="1"/>
  <c r="H102" i="27"/>
  <c r="H104" i="27" s="1"/>
  <c r="H99" i="27"/>
  <c r="H101" i="27" s="1"/>
  <c r="H97" i="27"/>
  <c r="H109" i="27" s="1"/>
  <c r="H96" i="27"/>
  <c r="H98" i="27" s="1"/>
  <c r="H110" i="27" s="1"/>
  <c r="H95" i="27"/>
  <c r="H94" i="27"/>
  <c r="H93" i="27"/>
  <c r="H90" i="27"/>
  <c r="H91" i="27" s="1"/>
  <c r="H87" i="27"/>
  <c r="H88" i="27" s="1"/>
  <c r="H84" i="27"/>
  <c r="H86" i="27" s="1"/>
  <c r="H82" i="27"/>
  <c r="H81" i="27"/>
  <c r="H83" i="27" s="1"/>
  <c r="H78" i="27"/>
  <c r="H80" i="27" s="1"/>
  <c r="H75" i="27"/>
  <c r="H77" i="27" s="1"/>
  <c r="H63" i="27"/>
  <c r="H68" i="27"/>
  <c r="H67" i="27"/>
  <c r="H62" i="27"/>
  <c r="H60" i="27"/>
  <c r="H61" i="27" s="1"/>
  <c r="H57" i="27"/>
  <c r="H59" i="27" s="1"/>
  <c r="H54" i="27"/>
  <c r="H56" i="27" s="1"/>
  <c r="H65" i="27" s="1"/>
  <c r="H51" i="27"/>
  <c r="H53" i="27" s="1"/>
  <c r="H48" i="27"/>
  <c r="H50" i="27" s="1"/>
  <c r="H47" i="27"/>
  <c r="H45" i="27"/>
  <c r="H46" i="27" s="1"/>
  <c r="H42" i="27"/>
  <c r="H44" i="27" s="1"/>
  <c r="H41" i="27"/>
  <c r="H39" i="27"/>
  <c r="H40" i="27" s="1"/>
  <c r="H38" i="27"/>
  <c r="H37" i="27"/>
  <c r="H36" i="27"/>
  <c r="H33" i="27"/>
  <c r="H35" i="27" s="1"/>
  <c r="H22" i="27"/>
  <c r="H21" i="27"/>
  <c r="H20" i="27"/>
  <c r="H19" i="27"/>
  <c r="H17" i="27"/>
  <c r="H16" i="27"/>
  <c r="H15" i="27"/>
  <c r="H14" i="27"/>
  <c r="H183" i="28"/>
  <c r="H182" i="28"/>
  <c r="H186" i="28"/>
  <c r="H185" i="28"/>
  <c r="H189" i="28"/>
  <c r="H188" i="28"/>
  <c r="H192" i="28"/>
  <c r="H191" i="28"/>
  <c r="H194" i="28"/>
  <c r="H195" i="28"/>
  <c r="S114" i="28"/>
  <c r="S113" i="28"/>
  <c r="S112" i="28"/>
  <c r="T114" i="28"/>
  <c r="T113" i="28"/>
  <c r="T112" i="28"/>
  <c r="S111" i="28"/>
  <c r="S110" i="28"/>
  <c r="S109" i="28"/>
  <c r="T111" i="28"/>
  <c r="T110" i="28"/>
  <c r="T109" i="28"/>
  <c r="H190" i="28"/>
  <c r="H187" i="28"/>
  <c r="H184" i="28"/>
  <c r="H181" i="28"/>
  <c r="H172" i="28"/>
  <c r="H171" i="28"/>
  <c r="H170" i="28"/>
  <c r="H168" i="28"/>
  <c r="H167" i="28"/>
  <c r="H166" i="28"/>
  <c r="H147" i="28"/>
  <c r="H146" i="28"/>
  <c r="H145" i="28"/>
  <c r="H124" i="28"/>
  <c r="H123" i="28"/>
  <c r="H121" i="28"/>
  <c r="H120" i="28"/>
  <c r="H118" i="28"/>
  <c r="H117" i="28"/>
  <c r="H115" i="28"/>
  <c r="H114" i="28"/>
  <c r="H113" i="28"/>
  <c r="H104" i="28"/>
  <c r="H103" i="28"/>
  <c r="H101" i="28"/>
  <c r="H100" i="28"/>
  <c r="H98" i="28"/>
  <c r="H97" i="28"/>
  <c r="H95" i="28"/>
  <c r="H94" i="28"/>
  <c r="H92" i="28"/>
  <c r="H91" i="28"/>
  <c r="H89" i="28"/>
  <c r="H88" i="28"/>
  <c r="H86" i="28"/>
  <c r="H85" i="28"/>
  <c r="H83" i="28"/>
  <c r="H82" i="28"/>
  <c r="H80" i="28"/>
  <c r="H79" i="28"/>
  <c r="H77" i="28"/>
  <c r="H76" i="28"/>
  <c r="H75" i="28"/>
  <c r="H74" i="28"/>
  <c r="H73" i="28"/>
  <c r="H65" i="28"/>
  <c r="H64" i="28"/>
  <c r="H122" i="28"/>
  <c r="H119" i="28"/>
  <c r="H116" i="28"/>
  <c r="H102" i="28"/>
  <c r="H99" i="28"/>
  <c r="H96" i="28"/>
  <c r="H93" i="28"/>
  <c r="H90" i="28"/>
  <c r="H87" i="28"/>
  <c r="H84" i="28"/>
  <c r="H81" i="28"/>
  <c r="H78" i="28"/>
  <c r="H72" i="28"/>
  <c r="H33" i="28"/>
  <c r="H35" i="28" s="1"/>
  <c r="H22" i="28"/>
  <c r="H21" i="28"/>
  <c r="H20" i="28"/>
  <c r="H19" i="28"/>
  <c r="H17" i="28"/>
  <c r="H16" i="28"/>
  <c r="H15" i="28"/>
  <c r="H14" i="28"/>
  <c r="H115" i="31"/>
  <c r="H114" i="31"/>
  <c r="H106" i="31"/>
  <c r="H81" i="31"/>
  <c r="H80" i="31"/>
  <c r="H72" i="31"/>
  <c r="H97" i="31"/>
  <c r="H63" i="31"/>
  <c r="C36" i="31"/>
  <c r="B36" i="31"/>
  <c r="H34" i="31"/>
  <c r="H41" i="31" s="1"/>
  <c r="H33" i="31"/>
  <c r="H32" i="31"/>
  <c r="H31" i="31"/>
  <c r="H30" i="31"/>
  <c r="H29" i="31"/>
  <c r="H22" i="31"/>
  <c r="I56" i="34"/>
  <c r="J56" i="34" s="1"/>
  <c r="I55" i="34"/>
  <c r="J55" i="34" s="1"/>
  <c r="I54" i="34"/>
  <c r="I53" i="34"/>
  <c r="J53" i="34" s="1"/>
  <c r="I52" i="34"/>
  <c r="I51" i="34"/>
  <c r="J51" i="34" s="1"/>
  <c r="I49" i="34"/>
  <c r="J49" i="34" s="1"/>
  <c r="I48" i="34"/>
  <c r="I47" i="34"/>
  <c r="D56" i="34"/>
  <c r="D54" i="34"/>
  <c r="D53" i="34"/>
  <c r="D52" i="34"/>
  <c r="D51" i="34"/>
  <c r="D50" i="34"/>
  <c r="D49" i="34"/>
  <c r="D48" i="34"/>
  <c r="D47" i="34"/>
  <c r="D45" i="34"/>
  <c r="D43" i="34"/>
  <c r="D42" i="34"/>
  <c r="D41" i="34"/>
  <c r="D40" i="34"/>
  <c r="D39" i="34"/>
  <c r="D38" i="34"/>
  <c r="D37" i="34"/>
  <c r="D36" i="34"/>
  <c r="D34" i="34"/>
  <c r="D33" i="34"/>
  <c r="D44" i="34" s="1"/>
  <c r="D55" i="34" s="1"/>
  <c r="D32" i="34"/>
  <c r="D31" i="34"/>
  <c r="D30" i="34"/>
  <c r="D29" i="34"/>
  <c r="D28" i="34"/>
  <c r="D27" i="34"/>
  <c r="D26" i="34"/>
  <c r="D25" i="34"/>
  <c r="D37" i="33"/>
  <c r="D39" i="33"/>
  <c r="D43" i="33"/>
  <c r="D36" i="33"/>
  <c r="D25" i="33"/>
  <c r="D26" i="33"/>
  <c r="D38" i="33" s="1"/>
  <c r="D27" i="33"/>
  <c r="D28" i="33"/>
  <c r="D40" i="33" s="1"/>
  <c r="D29" i="33"/>
  <c r="D41" i="33" s="1"/>
  <c r="D30" i="33"/>
  <c r="D42" i="33" s="1"/>
  <c r="D31" i="33"/>
  <c r="D32" i="33"/>
  <c r="D44" i="33" s="1"/>
  <c r="D33" i="33"/>
  <c r="D45" i="33" s="1"/>
  <c r="D24" i="33"/>
  <c r="D102" i="32"/>
  <c r="D101" i="32"/>
  <c r="D100" i="32"/>
  <c r="D99" i="32"/>
  <c r="D98" i="32"/>
  <c r="D97" i="32"/>
  <c r="D95" i="32"/>
  <c r="D94" i="32"/>
  <c r="D93" i="32"/>
  <c r="D92" i="32"/>
  <c r="D91" i="32"/>
  <c r="D90" i="32"/>
  <c r="D89" i="32"/>
  <c r="D87" i="32"/>
  <c r="D86" i="32"/>
  <c r="D85" i="32"/>
  <c r="D84" i="32"/>
  <c r="D83" i="32"/>
  <c r="D82" i="32"/>
  <c r="D81" i="32"/>
  <c r="D96" i="32" s="1"/>
  <c r="D80" i="32"/>
  <c r="D79" i="32"/>
  <c r="D78" i="32"/>
  <c r="D77" i="32"/>
  <c r="D76" i="32"/>
  <c r="D75" i="32"/>
  <c r="D74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H144" i="30"/>
  <c r="H141" i="30"/>
  <c r="H142" i="30"/>
  <c r="H146" i="30"/>
  <c r="H145" i="30"/>
  <c r="H140" i="30"/>
  <c r="H137" i="30"/>
  <c r="H136" i="30"/>
  <c r="H135" i="30"/>
  <c r="H133" i="30"/>
  <c r="H132" i="30"/>
  <c r="H138" i="30"/>
  <c r="H129" i="30"/>
  <c r="H128" i="30"/>
  <c r="H127" i="30"/>
  <c r="H126" i="30"/>
  <c r="H124" i="30"/>
  <c r="H123" i="30"/>
  <c r="H122" i="30"/>
  <c r="K106" i="30"/>
  <c r="H104" i="30"/>
  <c r="H103" i="30"/>
  <c r="H102" i="30"/>
  <c r="H101" i="30"/>
  <c r="H100" i="30"/>
  <c r="H99" i="30"/>
  <c r="H98" i="30"/>
  <c r="H97" i="30"/>
  <c r="X23" i="30"/>
  <c r="D69" i="30"/>
  <c r="E71" i="30"/>
  <c r="H60" i="30"/>
  <c r="H49" i="27" l="1"/>
  <c r="H89" i="27"/>
  <c r="H43" i="27"/>
  <c r="H120" i="27"/>
  <c r="H76" i="27"/>
  <c r="H92" i="27"/>
  <c r="H100" i="27"/>
  <c r="H124" i="27"/>
  <c r="H123" i="21"/>
  <c r="H126" i="21"/>
  <c r="H120" i="21"/>
  <c r="H129" i="21"/>
  <c r="H88" i="21"/>
  <c r="H95" i="21"/>
  <c r="H82" i="21"/>
  <c r="H106" i="21"/>
  <c r="H37" i="21"/>
  <c r="H61" i="21"/>
  <c r="H55" i="21"/>
  <c r="H64" i="21" s="1"/>
  <c r="H63" i="21"/>
  <c r="H34" i="21"/>
  <c r="H58" i="21"/>
  <c r="H126" i="27"/>
  <c r="H129" i="27"/>
  <c r="H85" i="27"/>
  <c r="H79" i="27"/>
  <c r="H103" i="27"/>
  <c r="H106" i="27"/>
  <c r="H34" i="27"/>
  <c r="H58" i="27"/>
  <c r="H52" i="27"/>
  <c r="H55" i="27"/>
  <c r="H64" i="27" s="1"/>
  <c r="H34" i="28"/>
  <c r="H54" i="28"/>
  <c r="H51" i="28"/>
  <c r="H45" i="28"/>
  <c r="H42" i="28"/>
  <c r="H39" i="28"/>
  <c r="H48" i="28"/>
  <c r="H60" i="28"/>
  <c r="H36" i="28"/>
  <c r="H57" i="28"/>
  <c r="H59" i="28" l="1"/>
  <c r="H58" i="28"/>
  <c r="H50" i="28"/>
  <c r="H49" i="28"/>
  <c r="H38" i="28"/>
  <c r="H37" i="28"/>
  <c r="H62" i="28"/>
  <c r="H61" i="28"/>
  <c r="H41" i="28"/>
  <c r="H40" i="28"/>
  <c r="H44" i="28"/>
  <c r="H43" i="28"/>
  <c r="H47" i="28"/>
  <c r="H46" i="28"/>
  <c r="H53" i="28"/>
  <c r="H52" i="28"/>
  <c r="H56" i="28"/>
  <c r="H55" i="28"/>
  <c r="H56" i="30" l="1"/>
  <c r="H59" i="30"/>
  <c r="H58" i="30"/>
  <c r="H55" i="30"/>
  <c r="H54" i="30"/>
  <c r="H50" i="30"/>
  <c r="H49" i="30"/>
  <c r="H46" i="30"/>
  <c r="H45" i="30"/>
  <c r="H44" i="30"/>
  <c r="K28" i="30"/>
  <c r="H26" i="30"/>
  <c r="H25" i="30"/>
  <c r="H23" i="30"/>
  <c r="H24" i="30"/>
  <c r="H22" i="30"/>
  <c r="H21" i="30"/>
  <c r="H20" i="30"/>
  <c r="H19" i="30"/>
  <c r="H33" i="30"/>
  <c r="H30" i="30"/>
  <c r="H29" i="30"/>
  <c r="H28" i="30"/>
  <c r="G129" i="21" l="1"/>
  <c r="G130" i="21" s="1"/>
  <c r="G126" i="21"/>
  <c r="G127" i="21" s="1"/>
  <c r="G123" i="21"/>
  <c r="G124" i="21" s="1"/>
  <c r="G120" i="21"/>
  <c r="G121" i="21" s="1"/>
  <c r="G109" i="21"/>
  <c r="G110" i="21" s="1"/>
  <c r="G106" i="21"/>
  <c r="G107" i="21" s="1"/>
  <c r="G103" i="21"/>
  <c r="G104" i="21" s="1"/>
  <c r="G100" i="21"/>
  <c r="G101" i="21" s="1"/>
  <c r="G97" i="21"/>
  <c r="G98" i="21" s="1"/>
  <c r="G88" i="21"/>
  <c r="G89" i="21" s="1"/>
  <c r="G85" i="21"/>
  <c r="G86" i="21" s="1"/>
  <c r="G82" i="21"/>
  <c r="G83" i="21" s="1"/>
  <c r="G79" i="21"/>
  <c r="G80" i="21" s="1"/>
  <c r="G76" i="21"/>
  <c r="G77" i="21" s="1"/>
  <c r="G67" i="21"/>
  <c r="G68" i="21" s="1"/>
  <c r="G64" i="21"/>
  <c r="G65" i="21" s="1"/>
  <c r="G62" i="21"/>
  <c r="G61" i="21"/>
  <c r="G58" i="21"/>
  <c r="G59" i="21" s="1"/>
  <c r="G55" i="21"/>
  <c r="G56" i="21" s="1"/>
  <c r="G52" i="21"/>
  <c r="G53" i="21" s="1"/>
  <c r="G46" i="21"/>
  <c r="G47" i="21" s="1"/>
  <c r="G43" i="21"/>
  <c r="G44" i="21" s="1"/>
  <c r="G40" i="21"/>
  <c r="G41" i="21" s="1"/>
  <c r="G37" i="21"/>
  <c r="G38" i="21" s="1"/>
  <c r="G34" i="21"/>
  <c r="G14" i="21"/>
  <c r="G290" i="32"/>
  <c r="G277" i="32"/>
  <c r="G240" i="32"/>
  <c r="G227" i="32"/>
  <c r="G188" i="32"/>
  <c r="G174" i="32"/>
  <c r="G139" i="32"/>
  <c r="G125" i="32"/>
  <c r="G89" i="32"/>
  <c r="G74" i="32"/>
  <c r="G38" i="32"/>
  <c r="G24" i="32"/>
  <c r="G129" i="27"/>
  <c r="G126" i="27"/>
  <c r="G123" i="27"/>
  <c r="G120" i="27"/>
  <c r="G109" i="27"/>
  <c r="G106" i="27"/>
  <c r="G103" i="27"/>
  <c r="G100" i="27"/>
  <c r="G97" i="27"/>
  <c r="G94" i="27"/>
  <c r="G91" i="27"/>
  <c r="G88" i="27"/>
  <c r="G85" i="27"/>
  <c r="G82" i="27"/>
  <c r="G79" i="27"/>
  <c r="G76" i="27"/>
  <c r="G14" i="27"/>
  <c r="G67" i="27"/>
  <c r="G64" i="27"/>
  <c r="G61" i="27"/>
  <c r="G58" i="27"/>
  <c r="G55" i="27"/>
  <c r="G52" i="27"/>
  <c r="G49" i="27"/>
  <c r="G46" i="27"/>
  <c r="G43" i="27"/>
  <c r="G40" i="27"/>
  <c r="G37" i="27"/>
  <c r="G34" i="27"/>
  <c r="G197" i="28"/>
  <c r="G194" i="28"/>
  <c r="G191" i="28"/>
  <c r="G188" i="28"/>
  <c r="G185" i="28"/>
  <c r="G182" i="28"/>
  <c r="G166" i="28"/>
  <c r="G144" i="28"/>
  <c r="G123" i="28"/>
  <c r="G124" i="28" s="1"/>
  <c r="G120" i="28"/>
  <c r="G121" i="28" s="1"/>
  <c r="G114" i="28"/>
  <c r="G115" i="28" s="1"/>
  <c r="G104" i="28"/>
  <c r="G103" i="28"/>
  <c r="G100" i="28"/>
  <c r="G101" i="28" s="1"/>
  <c r="G88" i="28"/>
  <c r="G89" i="28" s="1"/>
  <c r="G85" i="28"/>
  <c r="G86" i="28" s="1"/>
  <c r="G83" i="28"/>
  <c r="G82" i="28"/>
  <c r="G79" i="28"/>
  <c r="G80" i="28" s="1"/>
  <c r="G76" i="28"/>
  <c r="G77" i="28" s="1"/>
  <c r="G73" i="28"/>
  <c r="G74" i="28" s="1"/>
  <c r="G64" i="28"/>
  <c r="G65" i="28" s="1"/>
  <c r="G61" i="28"/>
  <c r="G62" i="28" s="1"/>
  <c r="G52" i="28"/>
  <c r="G53" i="28" s="1"/>
  <c r="G49" i="28"/>
  <c r="G50" i="28" s="1"/>
  <c r="G46" i="28"/>
  <c r="G47" i="28" s="1"/>
  <c r="G43" i="28"/>
  <c r="G44" i="28" s="1"/>
  <c r="G40" i="28"/>
  <c r="G41" i="28" s="1"/>
  <c r="G38" i="28"/>
  <c r="G37" i="28"/>
  <c r="G34" i="28"/>
  <c r="G14" i="28"/>
  <c r="K24" i="33"/>
  <c r="G36" i="34" l="1"/>
  <c r="G25" i="34"/>
  <c r="C47" i="34"/>
  <c r="B47" i="34"/>
  <c r="X11" i="34"/>
  <c r="Y11" i="34"/>
  <c r="F47" i="34"/>
  <c r="F48" i="34" s="1"/>
  <c r="F49" i="34" s="1"/>
  <c r="F50" i="34" s="1"/>
  <c r="F51" i="34" s="1"/>
  <c r="F52" i="34" s="1"/>
  <c r="F53" i="34" s="1"/>
  <c r="F55" i="34" s="1"/>
  <c r="F57" i="34" l="1"/>
  <c r="F56" i="34"/>
  <c r="T18" i="28"/>
  <c r="T17" i="28"/>
  <c r="T16" i="28"/>
  <c r="S93" i="21" l="1"/>
  <c r="S92" i="21"/>
  <c r="S91" i="21"/>
  <c r="S90" i="21"/>
  <c r="S89" i="21"/>
  <c r="S88" i="21"/>
  <c r="S87" i="21"/>
  <c r="S86" i="21"/>
  <c r="S85" i="21"/>
  <c r="S84" i="21"/>
  <c r="S83" i="21"/>
  <c r="S82" i="21"/>
  <c r="S81" i="21"/>
  <c r="S80" i="21"/>
  <c r="S79" i="21"/>
  <c r="S78" i="21"/>
  <c r="S77" i="21"/>
  <c r="S76" i="21"/>
  <c r="S75" i="21"/>
  <c r="S74" i="21"/>
  <c r="S73" i="21"/>
  <c r="S72" i="21"/>
  <c r="S71" i="21"/>
  <c r="S70" i="21"/>
  <c r="S69" i="21"/>
  <c r="S68" i="21"/>
  <c r="S67" i="21"/>
  <c r="S66" i="21"/>
  <c r="S65" i="21"/>
  <c r="S64" i="21"/>
  <c r="S63" i="21"/>
  <c r="S62" i="21"/>
  <c r="S61" i="21"/>
  <c r="S60" i="21"/>
  <c r="S59" i="21"/>
  <c r="S58" i="21"/>
  <c r="S45" i="21"/>
  <c r="S44" i="21"/>
  <c r="S43" i="21"/>
  <c r="S42" i="21"/>
  <c r="S41" i="21"/>
  <c r="S40" i="21"/>
  <c r="S39" i="21"/>
  <c r="S38" i="21"/>
  <c r="S37" i="21"/>
  <c r="S36" i="21"/>
  <c r="S35" i="21"/>
  <c r="S34" i="21"/>
  <c r="S33" i="21"/>
  <c r="S32" i="21"/>
  <c r="S31" i="21"/>
  <c r="S30" i="21"/>
  <c r="S29" i="21"/>
  <c r="S28" i="21"/>
  <c r="S27" i="21"/>
  <c r="S26" i="21"/>
  <c r="S25" i="21"/>
  <c r="S24" i="21"/>
  <c r="S23" i="21"/>
  <c r="S22" i="21"/>
  <c r="S24" i="28"/>
  <c r="S23" i="28"/>
  <c r="S22" i="28"/>
  <c r="S27" i="28"/>
  <c r="S26" i="28"/>
  <c r="S25" i="28"/>
  <c r="S30" i="28"/>
  <c r="S29" i="28"/>
  <c r="S28" i="28"/>
  <c r="S31" i="28"/>
  <c r="S34" i="28"/>
  <c r="S33" i="28"/>
  <c r="S32" i="28"/>
  <c r="S36" i="28"/>
  <c r="S35" i="28"/>
  <c r="S39" i="28"/>
  <c r="S38" i="28"/>
  <c r="S37" i="28"/>
  <c r="S42" i="28"/>
  <c r="S41" i="28"/>
  <c r="S40" i="28"/>
  <c r="S60" i="27"/>
  <c r="S59" i="27"/>
  <c r="S58" i="27"/>
  <c r="S24" i="27"/>
  <c r="S23" i="27"/>
  <c r="S22" i="27"/>
  <c r="S57" i="28"/>
  <c r="S56" i="28"/>
  <c r="S55" i="28"/>
  <c r="S60" i="28"/>
  <c r="S59" i="28"/>
  <c r="S58" i="28"/>
  <c r="S63" i="28"/>
  <c r="S62" i="28"/>
  <c r="S61" i="28"/>
  <c r="S66" i="28"/>
  <c r="S65" i="28"/>
  <c r="S64" i="28"/>
  <c r="S69" i="28"/>
  <c r="S68" i="28"/>
  <c r="S67" i="28"/>
  <c r="S72" i="28"/>
  <c r="S71" i="28"/>
  <c r="S70" i="28"/>
  <c r="S75" i="28"/>
  <c r="S74" i="28"/>
  <c r="S73" i="28"/>
  <c r="S87" i="28"/>
  <c r="S86" i="28"/>
  <c r="S85" i="28"/>
  <c r="S84" i="28"/>
  <c r="S83" i="28"/>
  <c r="S82" i="28"/>
  <c r="S81" i="28"/>
  <c r="S80" i="28"/>
  <c r="S79" i="28"/>
  <c r="S78" i="28"/>
  <c r="S77" i="28"/>
  <c r="S76" i="28"/>
  <c r="S45" i="27"/>
  <c r="S44" i="27"/>
  <c r="S43" i="27"/>
  <c r="S42" i="27"/>
  <c r="S41" i="27"/>
  <c r="S40" i="27"/>
  <c r="S39" i="27"/>
  <c r="S38" i="27"/>
  <c r="S37" i="27"/>
  <c r="S36" i="27"/>
  <c r="S35" i="27"/>
  <c r="S34" i="27"/>
  <c r="S33" i="27"/>
  <c r="S32" i="27"/>
  <c r="S31" i="27"/>
  <c r="S30" i="27"/>
  <c r="S29" i="27"/>
  <c r="S28" i="27"/>
  <c r="S27" i="27"/>
  <c r="S26" i="27"/>
  <c r="S25" i="27"/>
  <c r="S81" i="27"/>
  <c r="S80" i="27"/>
  <c r="S79" i="27"/>
  <c r="S78" i="27"/>
  <c r="S77" i="27"/>
  <c r="S76" i="27"/>
  <c r="S75" i="27"/>
  <c r="S74" i="27"/>
  <c r="S73" i="27"/>
  <c r="S72" i="27"/>
  <c r="S71" i="27"/>
  <c r="S70" i="27"/>
  <c r="S69" i="27"/>
  <c r="S68" i="27"/>
  <c r="S67" i="27"/>
  <c r="S66" i="27"/>
  <c r="S65" i="27"/>
  <c r="S64" i="27"/>
  <c r="S63" i="27"/>
  <c r="S62" i="27"/>
  <c r="S61" i="27"/>
  <c r="S93" i="27"/>
  <c r="S92" i="27"/>
  <c r="S91" i="27"/>
  <c r="S90" i="27"/>
  <c r="S89" i="27"/>
  <c r="S88" i="27"/>
  <c r="S87" i="27"/>
  <c r="S86" i="27"/>
  <c r="S85" i="27"/>
  <c r="S84" i="27"/>
  <c r="S83" i="27"/>
  <c r="S82" i="27"/>
  <c r="D144" i="27" l="1"/>
  <c r="D147" i="27" s="1"/>
  <c r="D150" i="27" s="1"/>
  <c r="I109" i="21" l="1"/>
  <c r="J109" i="21" s="1"/>
  <c r="J108" i="21"/>
  <c r="J105" i="21"/>
  <c r="J102" i="21"/>
  <c r="J99" i="21"/>
  <c r="J98" i="21"/>
  <c r="J111" i="21" s="1"/>
  <c r="J97" i="21"/>
  <c r="J96" i="21"/>
  <c r="J95" i="21"/>
  <c r="J93" i="21"/>
  <c r="J90" i="21"/>
  <c r="J89" i="21"/>
  <c r="J88" i="21"/>
  <c r="J87" i="21"/>
  <c r="J84" i="21"/>
  <c r="J81" i="21"/>
  <c r="J78" i="21"/>
  <c r="J75" i="21"/>
  <c r="J105" i="27"/>
  <c r="J102" i="27"/>
  <c r="J81" i="27"/>
  <c r="J75" i="27"/>
  <c r="J75" i="28"/>
  <c r="J78" i="28"/>
  <c r="J81" i="28"/>
  <c r="J84" i="28"/>
  <c r="J87" i="28"/>
  <c r="J90" i="28"/>
  <c r="J93" i="28"/>
  <c r="J96" i="28"/>
  <c r="J99" i="28"/>
  <c r="J102" i="28"/>
  <c r="J72" i="28"/>
  <c r="I110" i="21"/>
  <c r="J110" i="21" s="1"/>
  <c r="I107" i="21"/>
  <c r="J107" i="21" s="1"/>
  <c r="I106" i="21"/>
  <c r="J106" i="21" s="1"/>
  <c r="I104" i="21"/>
  <c r="J104" i="21" s="1"/>
  <c r="I103" i="21"/>
  <c r="J103" i="21" s="1"/>
  <c r="I101" i="21"/>
  <c r="J101" i="21" s="1"/>
  <c r="I100" i="21"/>
  <c r="J100" i="21" s="1"/>
  <c r="I98" i="21"/>
  <c r="I111" i="21" s="1"/>
  <c r="I97" i="21"/>
  <c r="I95" i="21"/>
  <c r="I94" i="21"/>
  <c r="J94" i="21" s="1"/>
  <c r="I92" i="21"/>
  <c r="J92" i="21" s="1"/>
  <c r="I91" i="21"/>
  <c r="J91" i="21" s="1"/>
  <c r="I89" i="21"/>
  <c r="I88" i="21"/>
  <c r="I86" i="21"/>
  <c r="J86" i="21" s="1"/>
  <c r="I85" i="21"/>
  <c r="J85" i="21" s="1"/>
  <c r="I83" i="21"/>
  <c r="J83" i="21" s="1"/>
  <c r="I82" i="21"/>
  <c r="J82" i="21" s="1"/>
  <c r="I80" i="21"/>
  <c r="J80" i="21" s="1"/>
  <c r="I79" i="21"/>
  <c r="J79" i="21" s="1"/>
  <c r="I77" i="21"/>
  <c r="J77" i="21" s="1"/>
  <c r="I76" i="21"/>
  <c r="J76" i="21" s="1"/>
  <c r="I108" i="21"/>
  <c r="I105" i="21"/>
  <c r="I102" i="21"/>
  <c r="I99" i="21"/>
  <c r="I93" i="21"/>
  <c r="I90" i="21"/>
  <c r="I87" i="21"/>
  <c r="I84" i="21"/>
  <c r="I81" i="21"/>
  <c r="I78" i="21"/>
  <c r="I75" i="21"/>
  <c r="T161" i="32"/>
  <c r="T112" i="32"/>
  <c r="T60" i="32"/>
  <c r="T11" i="32"/>
  <c r="I107" i="27"/>
  <c r="J107" i="27" s="1"/>
  <c r="I106" i="27"/>
  <c r="J106" i="27" s="1"/>
  <c r="I101" i="27"/>
  <c r="J101" i="27" s="1"/>
  <c r="I100" i="27"/>
  <c r="J100" i="27" s="1"/>
  <c r="I83" i="27"/>
  <c r="J83" i="27" s="1"/>
  <c r="I82" i="27"/>
  <c r="J82" i="27" s="1"/>
  <c r="I77" i="27"/>
  <c r="J77" i="27" s="1"/>
  <c r="I76" i="27"/>
  <c r="J76" i="27" s="1"/>
  <c r="I108" i="27"/>
  <c r="I109" i="27" s="1"/>
  <c r="J109" i="27" s="1"/>
  <c r="I105" i="27"/>
  <c r="I102" i="27"/>
  <c r="I104" i="27" s="1"/>
  <c r="J104" i="27" s="1"/>
  <c r="I99" i="27"/>
  <c r="J99" i="27" s="1"/>
  <c r="I98" i="27"/>
  <c r="J98" i="27" s="1"/>
  <c r="I93" i="27"/>
  <c r="I95" i="27" s="1"/>
  <c r="J95" i="27" s="1"/>
  <c r="I90" i="27"/>
  <c r="I92" i="27" s="1"/>
  <c r="J92" i="27" s="1"/>
  <c r="I87" i="27"/>
  <c r="J87" i="27" s="1"/>
  <c r="I84" i="27"/>
  <c r="I86" i="27" s="1"/>
  <c r="J86" i="27" s="1"/>
  <c r="I81" i="27"/>
  <c r="I78" i="27"/>
  <c r="I80" i="27" s="1"/>
  <c r="J80" i="27" s="1"/>
  <c r="I75" i="27"/>
  <c r="I102" i="28"/>
  <c r="I99" i="28"/>
  <c r="I96" i="28"/>
  <c r="I90" i="28"/>
  <c r="I87" i="28"/>
  <c r="I84" i="28"/>
  <c r="I81" i="28"/>
  <c r="I78" i="28"/>
  <c r="I75" i="28"/>
  <c r="I72" i="28"/>
  <c r="D66" i="21"/>
  <c r="D105" i="21"/>
  <c r="D128" i="21"/>
  <c r="D125" i="21"/>
  <c r="D108" i="21"/>
  <c r="D63" i="21"/>
  <c r="I9" i="28"/>
  <c r="I9" i="27"/>
  <c r="D108" i="27"/>
  <c r="D63" i="27"/>
  <c r="D66" i="27"/>
  <c r="D105" i="27" s="1"/>
  <c r="J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J182" i="28"/>
  <c r="J181" i="28"/>
  <c r="I162" i="28"/>
  <c r="D122" i="28"/>
  <c r="D119" i="28"/>
  <c r="D102" i="28"/>
  <c r="D63" i="28"/>
  <c r="D73" i="28"/>
  <c r="D74" i="28" s="1"/>
  <c r="I79" i="27" l="1"/>
  <c r="J79" i="27" s="1"/>
  <c r="I91" i="27"/>
  <c r="J91" i="27" s="1"/>
  <c r="I103" i="27"/>
  <c r="J103" i="27" s="1"/>
  <c r="J78" i="27"/>
  <c r="J90" i="27"/>
  <c r="I88" i="27"/>
  <c r="J88" i="27" s="1"/>
  <c r="I94" i="27"/>
  <c r="J94" i="27" s="1"/>
  <c r="J93" i="27"/>
  <c r="J108" i="27"/>
  <c r="I89" i="27"/>
  <c r="J89" i="27" s="1"/>
  <c r="J96" i="27"/>
  <c r="I85" i="27"/>
  <c r="J85" i="27" s="1"/>
  <c r="I97" i="27"/>
  <c r="J97" i="27" s="1"/>
  <c r="I110" i="27"/>
  <c r="J110" i="27" s="1"/>
  <c r="J84" i="27"/>
  <c r="D125" i="27"/>
  <c r="D128" i="27" s="1"/>
  <c r="D106" i="27"/>
  <c r="D107" i="27" s="1"/>
  <c r="D67" i="27"/>
  <c r="D68" i="27" s="1"/>
  <c r="K108" i="31"/>
  <c r="L99" i="31"/>
  <c r="L108" i="31" s="1"/>
  <c r="K99" i="31"/>
  <c r="L65" i="31"/>
  <c r="L74" i="31" s="1"/>
  <c r="K74" i="31"/>
  <c r="K65" i="31"/>
  <c r="K144" i="31" l="1"/>
  <c r="K134" i="31"/>
  <c r="L28" i="30" l="1"/>
  <c r="L19" i="30"/>
  <c r="L10" i="30"/>
  <c r="K131" i="30"/>
  <c r="M131" i="30" s="1"/>
  <c r="K97" i="30"/>
  <c r="M97" i="30"/>
  <c r="L97" i="30"/>
  <c r="M53" i="30"/>
  <c r="L53" i="30"/>
  <c r="K19" i="30"/>
  <c r="M62" i="30"/>
  <c r="L62" i="30"/>
  <c r="M106" i="30"/>
  <c r="L106" i="30"/>
  <c r="M88" i="30"/>
  <c r="L88" i="30"/>
  <c r="M44" i="30"/>
  <c r="L44" i="30"/>
  <c r="K44" i="30"/>
  <c r="M140" i="30"/>
  <c r="M122" i="30"/>
  <c r="M10" i="30"/>
  <c r="M19" i="30" s="1"/>
  <c r="M28" i="30" s="1"/>
  <c r="K140" i="30" l="1"/>
  <c r="K88" i="30"/>
  <c r="X19" i="30" l="1"/>
  <c r="B152" i="31" l="1"/>
  <c r="I9" i="21" l="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130" i="21"/>
  <c r="J129" i="21"/>
  <c r="J128" i="21"/>
  <c r="J126" i="21"/>
  <c r="L214" i="32"/>
  <c r="K214" i="32"/>
  <c r="K188" i="32"/>
  <c r="K174" i="32"/>
  <c r="K160" i="32"/>
  <c r="K139" i="32"/>
  <c r="K125" i="32"/>
  <c r="K111" i="32"/>
  <c r="K89" i="32"/>
  <c r="K74" i="32"/>
  <c r="K59" i="32"/>
  <c r="K38" i="32"/>
  <c r="K24" i="32"/>
  <c r="K10" i="32"/>
  <c r="J130" i="27"/>
  <c r="J129" i="27"/>
  <c r="J128" i="27"/>
  <c r="J127" i="27"/>
  <c r="J126" i="27"/>
  <c r="J121" i="27"/>
  <c r="J65" i="27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I139" i="28"/>
  <c r="J124" i="28"/>
  <c r="J123" i="28"/>
  <c r="J122" i="28"/>
  <c r="J121" i="28"/>
  <c r="J120" i="28"/>
  <c r="J115" i="28"/>
  <c r="I104" i="28"/>
  <c r="J104" i="28" s="1"/>
  <c r="I103" i="28"/>
  <c r="J103" i="28" s="1"/>
  <c r="J62" i="28"/>
  <c r="J61" i="28"/>
  <c r="J60" i="28"/>
  <c r="I100" i="28"/>
  <c r="J100" i="28" s="1"/>
  <c r="J59" i="28"/>
  <c r="J58" i="28"/>
  <c r="J57" i="28"/>
  <c r="I98" i="28"/>
  <c r="J98" i="28" s="1"/>
  <c r="J56" i="28"/>
  <c r="I95" i="28"/>
  <c r="J55" i="28"/>
  <c r="J54" i="28"/>
  <c r="I94" i="28"/>
  <c r="J94" i="28" s="1"/>
  <c r="J53" i="28"/>
  <c r="I92" i="28"/>
  <c r="J92" i="28" s="1"/>
  <c r="J52" i="28"/>
  <c r="I91" i="28"/>
  <c r="J91" i="28" s="1"/>
  <c r="J51" i="28"/>
  <c r="J50" i="28"/>
  <c r="J49" i="28"/>
  <c r="J48" i="28"/>
  <c r="I88" i="28"/>
  <c r="J88" i="28" s="1"/>
  <c r="J47" i="28"/>
  <c r="J46" i="28"/>
  <c r="J45" i="28"/>
  <c r="I86" i="28"/>
  <c r="J86" i="28" s="1"/>
  <c r="J44" i="28"/>
  <c r="I83" i="28"/>
  <c r="J83" i="28" s="1"/>
  <c r="J43" i="28"/>
  <c r="J42" i="28"/>
  <c r="I82" i="28"/>
  <c r="J82" i="28" s="1"/>
  <c r="J41" i="28"/>
  <c r="I80" i="28"/>
  <c r="J80" i="28" s="1"/>
  <c r="J40" i="28"/>
  <c r="I79" i="28"/>
  <c r="J79" i="28" s="1"/>
  <c r="J39" i="28"/>
  <c r="J38" i="28"/>
  <c r="J37" i="28"/>
  <c r="J36" i="28"/>
  <c r="I77" i="28"/>
  <c r="J77" i="28" s="1"/>
  <c r="J35" i="28"/>
  <c r="J34" i="28"/>
  <c r="J33" i="28"/>
  <c r="I74" i="28"/>
  <c r="J74" i="28" s="1"/>
  <c r="L267" i="31"/>
  <c r="K267" i="31"/>
  <c r="K167" i="30"/>
  <c r="L174" i="30"/>
  <c r="L167" i="30"/>
  <c r="L160" i="30"/>
  <c r="K160" i="30"/>
  <c r="J95" i="28" l="1"/>
  <c r="J105" i="28" s="1"/>
  <c r="I105" i="28"/>
  <c r="J127" i="21"/>
  <c r="J125" i="21"/>
  <c r="J119" i="27"/>
  <c r="J120" i="27"/>
  <c r="J125" i="27"/>
  <c r="J113" i="28"/>
  <c r="J114" i="28"/>
  <c r="J119" i="28"/>
  <c r="I73" i="28"/>
  <c r="J73" i="28" s="1"/>
  <c r="I89" i="28"/>
  <c r="J89" i="28" s="1"/>
  <c r="I97" i="28"/>
  <c r="J97" i="28" s="1"/>
  <c r="I101" i="28"/>
  <c r="J101" i="28" s="1"/>
  <c r="I76" i="28"/>
  <c r="J76" i="28" s="1"/>
  <c r="I85" i="28"/>
  <c r="J85" i="28" s="1"/>
  <c r="T51" i="21"/>
  <c r="T50" i="21"/>
  <c r="T49" i="21"/>
  <c r="T48" i="21"/>
  <c r="T47" i="21"/>
  <c r="T46" i="21"/>
  <c r="T15" i="21"/>
  <c r="T14" i="21"/>
  <c r="T13" i="21"/>
  <c r="T12" i="21"/>
  <c r="T11" i="21"/>
  <c r="T10" i="21"/>
  <c r="T15" i="27"/>
  <c r="T14" i="27"/>
  <c r="T13" i="27"/>
  <c r="T51" i="27"/>
  <c r="T50" i="27"/>
  <c r="T49" i="27"/>
  <c r="T48" i="27"/>
  <c r="T47" i="27"/>
  <c r="T46" i="27"/>
  <c r="T12" i="27"/>
  <c r="T11" i="27"/>
  <c r="T10" i="27"/>
  <c r="J124" i="21" l="1"/>
  <c r="J123" i="21"/>
  <c r="J122" i="21"/>
  <c r="J120" i="21"/>
  <c r="J119" i="21"/>
  <c r="J121" i="21"/>
  <c r="J122" i="27"/>
  <c r="J123" i="27"/>
  <c r="J124" i="27"/>
  <c r="J118" i="28"/>
  <c r="J117" i="28"/>
  <c r="J116" i="28"/>
  <c r="S105" i="28"/>
  <c r="S104" i="28"/>
  <c r="S103" i="28"/>
  <c r="S99" i="28"/>
  <c r="S98" i="28"/>
  <c r="S97" i="28"/>
  <c r="T99" i="28"/>
  <c r="T98" i="28"/>
  <c r="T97" i="28"/>
  <c r="T48" i="28"/>
  <c r="T47" i="28"/>
  <c r="T46" i="28"/>
  <c r="T45" i="28"/>
  <c r="T44" i="28"/>
  <c r="T43" i="28"/>
  <c r="T15" i="28"/>
  <c r="T14" i="28"/>
  <c r="T13" i="28"/>
  <c r="T12" i="28"/>
  <c r="T11" i="28"/>
  <c r="T10" i="28"/>
  <c r="Y10" i="34" l="1"/>
  <c r="Y9" i="34"/>
  <c r="Y8" i="34"/>
  <c r="Z25" i="32"/>
  <c r="Z24" i="32"/>
  <c r="Z23" i="32"/>
  <c r="Z22" i="32"/>
  <c r="Z21" i="32"/>
  <c r="Z20" i="32"/>
  <c r="Z19" i="32"/>
  <c r="Z18" i="32"/>
  <c r="Z17" i="32"/>
  <c r="Z16" i="32"/>
  <c r="Z15" i="32"/>
  <c r="Z14" i="32"/>
  <c r="Z13" i="32"/>
  <c r="Z12" i="32"/>
  <c r="Z11" i="32"/>
  <c r="Z10" i="32"/>
  <c r="Z9" i="32"/>
  <c r="Z8" i="32"/>
  <c r="F300" i="31"/>
  <c r="F301" i="31" s="1"/>
  <c r="F302" i="31" s="1"/>
  <c r="F303" i="31" s="1"/>
  <c r="F304" i="31" s="1"/>
  <c r="F305" i="31"/>
  <c r="F282" i="31"/>
  <c r="F283" i="31" s="1"/>
  <c r="F284" i="31" s="1"/>
  <c r="F285" i="31" s="1"/>
  <c r="F286" i="31" s="1"/>
  <c r="F287" i="31" s="1"/>
  <c r="F275" i="31"/>
  <c r="F276" i="31" s="1"/>
  <c r="F277" i="31" s="1"/>
  <c r="F278" i="31" s="1"/>
  <c r="F279" i="31" s="1"/>
  <c r="F280" i="31" s="1"/>
  <c r="F36" i="34" l="1"/>
  <c r="F37" i="34" s="1"/>
  <c r="F38" i="34" s="1"/>
  <c r="F39" i="34" s="1"/>
  <c r="F40" i="34" s="1"/>
  <c r="F41" i="34" s="1"/>
  <c r="F42" i="34" s="1"/>
  <c r="F43" i="34" s="1"/>
  <c r="F46" i="34" s="1"/>
  <c r="K25" i="34"/>
  <c r="F25" i="34"/>
  <c r="F26" i="34" s="1"/>
  <c r="F27" i="34" s="1"/>
  <c r="F28" i="34" s="1"/>
  <c r="F29" i="34" s="1"/>
  <c r="F30" i="34" s="1"/>
  <c r="F31" i="34" s="1"/>
  <c r="F32" i="34" s="1"/>
  <c r="E35" i="34"/>
  <c r="E46" i="34" s="1"/>
  <c r="E57" i="34" s="1"/>
  <c r="G14" i="34"/>
  <c r="F14" i="34" s="1"/>
  <c r="F15" i="34" s="1"/>
  <c r="F16" i="34" s="1"/>
  <c r="F17" i="34" s="1"/>
  <c r="F18" i="34" s="1"/>
  <c r="F19" i="34" s="1"/>
  <c r="F20" i="34" s="1"/>
  <c r="F21" i="34" s="1"/>
  <c r="C36" i="34"/>
  <c r="X10" i="34"/>
  <c r="B36" i="34" s="1"/>
  <c r="C25" i="34"/>
  <c r="X9" i="34"/>
  <c r="B25" i="34" s="1"/>
  <c r="C14" i="34"/>
  <c r="X8" i="34"/>
  <c r="B14" i="34" s="1"/>
  <c r="F36" i="33"/>
  <c r="F37" i="33" s="1"/>
  <c r="F38" i="33" s="1"/>
  <c r="F39" i="33" s="1"/>
  <c r="F24" i="33"/>
  <c r="F25" i="33" s="1"/>
  <c r="F26" i="33" s="1"/>
  <c r="F27" i="33" s="1"/>
  <c r="E35" i="33"/>
  <c r="E47" i="33" s="1"/>
  <c r="C36" i="33"/>
  <c r="W13" i="33"/>
  <c r="B36" i="33" s="1"/>
  <c r="G13" i="33"/>
  <c r="F13" i="33" s="1"/>
  <c r="F14" i="33" s="1"/>
  <c r="F15" i="33" s="1"/>
  <c r="F16" i="33" s="1"/>
  <c r="C24" i="33"/>
  <c r="W12" i="33"/>
  <c r="B24" i="33" s="1"/>
  <c r="C13" i="33"/>
  <c r="W11" i="33"/>
  <c r="B13" i="33" s="1"/>
  <c r="F290" i="32"/>
  <c r="F291" i="32" s="1"/>
  <c r="F292" i="32" s="1"/>
  <c r="F293" i="32" s="1"/>
  <c r="F294" i="32" s="1"/>
  <c r="F295" i="32" s="1"/>
  <c r="F296" i="32" s="1"/>
  <c r="F297" i="32" s="1"/>
  <c r="F298" i="32" s="1"/>
  <c r="F299" i="32" s="1"/>
  <c r="F300" i="32" s="1"/>
  <c r="F301" i="32" s="1"/>
  <c r="F302" i="32" s="1"/>
  <c r="L277" i="32"/>
  <c r="L290" i="32" s="1"/>
  <c r="K277" i="32"/>
  <c r="K290" i="32" s="1"/>
  <c r="F277" i="32"/>
  <c r="F278" i="32" s="1"/>
  <c r="F279" i="32" s="1"/>
  <c r="F280" i="32" s="1"/>
  <c r="F281" i="32" s="1"/>
  <c r="F282" i="32" s="1"/>
  <c r="F283" i="32" s="1"/>
  <c r="F284" i="32" s="1"/>
  <c r="F285" i="32" s="1"/>
  <c r="F286" i="32" s="1"/>
  <c r="F287" i="32" s="1"/>
  <c r="F288" i="32" s="1"/>
  <c r="F289" i="32" s="1"/>
  <c r="X290" i="32"/>
  <c r="G264" i="32"/>
  <c r="F264" i="32" s="1"/>
  <c r="F265" i="32" s="1"/>
  <c r="F266" i="32" s="1"/>
  <c r="F267" i="32" s="1"/>
  <c r="F268" i="32" s="1"/>
  <c r="F269" i="32" s="1"/>
  <c r="F270" i="32" s="1"/>
  <c r="F271" i="32" s="1"/>
  <c r="F272" i="32" s="1"/>
  <c r="F273" i="32" s="1"/>
  <c r="F274" i="32" s="1"/>
  <c r="F275" i="32" s="1"/>
  <c r="F276" i="32" s="1"/>
  <c r="F241" i="32"/>
  <c r="F242" i="32" s="1"/>
  <c r="F243" i="32" s="1"/>
  <c r="F244" i="32" s="1"/>
  <c r="F245" i="32" s="1"/>
  <c r="F246" i="32" s="1"/>
  <c r="F247" i="32" s="1"/>
  <c r="F248" i="32" s="1"/>
  <c r="F249" i="32" s="1"/>
  <c r="F250" i="32" s="1"/>
  <c r="F251" i="32" s="1"/>
  <c r="K227" i="32"/>
  <c r="K240" i="32" s="1"/>
  <c r="F228" i="32"/>
  <c r="F229" i="32" s="1"/>
  <c r="F230" i="32" s="1"/>
  <c r="F231" i="32" s="1"/>
  <c r="E239" i="32"/>
  <c r="E252" i="32" s="1"/>
  <c r="E275" i="32" s="1"/>
  <c r="E288" i="32" s="1"/>
  <c r="E301" i="32" s="1"/>
  <c r="G214" i="32"/>
  <c r="F214" i="32"/>
  <c r="F215" i="32" s="1"/>
  <c r="F216" i="32" s="1"/>
  <c r="F217" i="32" s="1"/>
  <c r="F218" i="32" s="1"/>
  <c r="T211" i="32"/>
  <c r="S211" i="32"/>
  <c r="P211" i="32"/>
  <c r="F188" i="32"/>
  <c r="F189" i="32" s="1"/>
  <c r="F190" i="32" s="1"/>
  <c r="F191" i="32" s="1"/>
  <c r="F192" i="32" s="1"/>
  <c r="F193" i="32" s="1"/>
  <c r="E187" i="32"/>
  <c r="E201" i="32" s="1"/>
  <c r="F174" i="32"/>
  <c r="F175" i="32" s="1"/>
  <c r="F176" i="32" s="1"/>
  <c r="F177" i="32" s="1"/>
  <c r="F178" i="32" s="1"/>
  <c r="F179" i="32" s="1"/>
  <c r="R162" i="32"/>
  <c r="R161" i="32"/>
  <c r="L160" i="32"/>
  <c r="I174" i="32"/>
  <c r="L174" i="32" s="1"/>
  <c r="G160" i="32"/>
  <c r="F160" i="32" s="1"/>
  <c r="F161" i="32" s="1"/>
  <c r="F162" i="32" s="1"/>
  <c r="F163" i="32" s="1"/>
  <c r="F164" i="32" s="1"/>
  <c r="F165" i="32" s="1"/>
  <c r="F139" i="32"/>
  <c r="F140" i="32" s="1"/>
  <c r="F141" i="32" s="1"/>
  <c r="F142" i="32" s="1"/>
  <c r="F143" i="32" s="1"/>
  <c r="F144" i="32" s="1"/>
  <c r="C139" i="32"/>
  <c r="F125" i="32"/>
  <c r="F126" i="32" s="1"/>
  <c r="F127" i="32" s="1"/>
  <c r="F128" i="32" s="1"/>
  <c r="F129" i="32" s="1"/>
  <c r="F130" i="32" s="1"/>
  <c r="E138" i="32"/>
  <c r="E152" i="32" s="1"/>
  <c r="R113" i="32"/>
  <c r="S111" i="32" s="1"/>
  <c r="R112" i="32"/>
  <c r="L111" i="32"/>
  <c r="G111" i="32"/>
  <c r="F111" i="32"/>
  <c r="F112" i="32" s="1"/>
  <c r="F113" i="32" s="1"/>
  <c r="F114" i="32" s="1"/>
  <c r="F115" i="32" s="1"/>
  <c r="F116" i="32" s="1"/>
  <c r="L89" i="32"/>
  <c r="F89" i="32"/>
  <c r="F90" i="32" s="1"/>
  <c r="F91" i="32" s="1"/>
  <c r="F92" i="32" s="1"/>
  <c r="F93" i="32" s="1"/>
  <c r="F94" i="32" s="1"/>
  <c r="F95" i="32" s="1"/>
  <c r="F96" i="32" s="1"/>
  <c r="E88" i="32"/>
  <c r="E103" i="32" s="1"/>
  <c r="L74" i="32"/>
  <c r="F74" i="32"/>
  <c r="F75" i="32" s="1"/>
  <c r="F76" i="32" s="1"/>
  <c r="F77" i="32" s="1"/>
  <c r="F78" i="32" s="1"/>
  <c r="F79" i="32" s="1"/>
  <c r="F80" i="32" s="1"/>
  <c r="F81" i="32" s="1"/>
  <c r="R61" i="32"/>
  <c r="S59" i="32" s="1"/>
  <c r="R60" i="32"/>
  <c r="L59" i="32"/>
  <c r="G59" i="32"/>
  <c r="F59" i="32" s="1"/>
  <c r="F60" i="32" s="1"/>
  <c r="F61" i="32" s="1"/>
  <c r="F62" i="32" s="1"/>
  <c r="F63" i="32" s="1"/>
  <c r="F64" i="32" s="1"/>
  <c r="F65" i="32" s="1"/>
  <c r="F66" i="32" s="1"/>
  <c r="F38" i="32"/>
  <c r="F39" i="32" s="1"/>
  <c r="F40" i="32" s="1"/>
  <c r="F41" i="32" s="1"/>
  <c r="F42" i="32" s="1"/>
  <c r="F43" i="32" s="1"/>
  <c r="F44" i="32" s="1"/>
  <c r="F45" i="32" s="1"/>
  <c r="D48" i="32"/>
  <c r="D47" i="32"/>
  <c r="D44" i="32"/>
  <c r="D43" i="32"/>
  <c r="D40" i="32"/>
  <c r="C188" i="32"/>
  <c r="Y25" i="32"/>
  <c r="B188" i="32" s="1"/>
  <c r="C174" i="32"/>
  <c r="Y24" i="32"/>
  <c r="B174" i="32" s="1"/>
  <c r="F24" i="32"/>
  <c r="F25" i="32" s="1"/>
  <c r="F26" i="32" s="1"/>
  <c r="F27" i="32" s="1"/>
  <c r="F28" i="32" s="1"/>
  <c r="F29" i="32" s="1"/>
  <c r="F30" i="32" s="1"/>
  <c r="F31" i="32" s="1"/>
  <c r="C160" i="32"/>
  <c r="Y23" i="32"/>
  <c r="B160" i="32" s="1"/>
  <c r="E37" i="32"/>
  <c r="E51" i="32" s="1"/>
  <c r="Y22" i="32"/>
  <c r="B139" i="32" s="1"/>
  <c r="C125" i="32"/>
  <c r="Y21" i="32"/>
  <c r="B125" i="32" s="1"/>
  <c r="C111" i="32"/>
  <c r="Y20" i="32"/>
  <c r="B111" i="32" s="1"/>
  <c r="C89" i="32"/>
  <c r="Y19" i="32"/>
  <c r="B89" i="32" s="1"/>
  <c r="C74" i="32"/>
  <c r="Y18" i="32"/>
  <c r="B74" i="32" s="1"/>
  <c r="C59" i="32"/>
  <c r="Y17" i="32"/>
  <c r="B59" i="32" s="1"/>
  <c r="D45" i="32"/>
  <c r="C38" i="32"/>
  <c r="Y16" i="32"/>
  <c r="B38" i="32" s="1"/>
  <c r="C24" i="32"/>
  <c r="Y15" i="32"/>
  <c r="B24" i="32" s="1"/>
  <c r="C10" i="32"/>
  <c r="Y14" i="32"/>
  <c r="B10" i="32" s="1"/>
  <c r="D42" i="32"/>
  <c r="C240" i="32"/>
  <c r="Y13" i="32"/>
  <c r="B240" i="32" s="1"/>
  <c r="C227" i="32"/>
  <c r="Y12" i="32"/>
  <c r="B227" i="32" s="1"/>
  <c r="R12" i="32"/>
  <c r="C214" i="32"/>
  <c r="Y11" i="32"/>
  <c r="B214" i="32" s="1"/>
  <c r="R11" i="32"/>
  <c r="D39" i="32"/>
  <c r="C290" i="32"/>
  <c r="B290" i="32"/>
  <c r="L10" i="32"/>
  <c r="L38" i="32"/>
  <c r="G10" i="32"/>
  <c r="F10" i="32" s="1"/>
  <c r="F11" i="32" s="1"/>
  <c r="F12" i="32" s="1"/>
  <c r="F13" i="32" s="1"/>
  <c r="F14" i="32" s="1"/>
  <c r="F15" i="32" s="1"/>
  <c r="F16" i="32" s="1"/>
  <c r="F17" i="32" s="1"/>
  <c r="D38" i="32"/>
  <c r="C277" i="32"/>
  <c r="B277" i="32"/>
  <c r="C264" i="32"/>
  <c r="B264" i="32"/>
  <c r="I4" i="32"/>
  <c r="I3" i="32"/>
  <c r="H26" i="32" s="1"/>
  <c r="H40" i="32" s="1"/>
  <c r="F311" i="31"/>
  <c r="F312" i="31" s="1"/>
  <c r="F313" i="31" s="1"/>
  <c r="F314" i="31" s="1"/>
  <c r="F315" i="31" s="1"/>
  <c r="F316" i="31" s="1"/>
  <c r="K305" i="31"/>
  <c r="K311" i="31" s="1"/>
  <c r="F306" i="31"/>
  <c r="F307" i="31" s="1"/>
  <c r="F308" i="31" s="1"/>
  <c r="F309" i="31" s="1"/>
  <c r="F310" i="31" s="1"/>
  <c r="K274" i="31"/>
  <c r="K281" i="31" s="1"/>
  <c r="F268" i="31"/>
  <c r="F269" i="31" s="1"/>
  <c r="F270" i="31" s="1"/>
  <c r="F271" i="31" s="1"/>
  <c r="F272" i="31" s="1"/>
  <c r="F273" i="31" s="1"/>
  <c r="F247" i="31"/>
  <c r="F248" i="31" s="1"/>
  <c r="F249" i="31" s="1"/>
  <c r="F250" i="31" s="1"/>
  <c r="F251" i="31" s="1"/>
  <c r="F252" i="31" s="1"/>
  <c r="F253" i="31" s="1"/>
  <c r="F254" i="31" s="1"/>
  <c r="F255" i="31" s="1"/>
  <c r="F238" i="31"/>
  <c r="F239" i="31" s="1"/>
  <c r="F240" i="31" s="1"/>
  <c r="F241" i="31" s="1"/>
  <c r="F242" i="31" s="1"/>
  <c r="F243" i="31" s="1"/>
  <c r="F244" i="31" s="1"/>
  <c r="F245" i="31" s="1"/>
  <c r="F246" i="31" s="1"/>
  <c r="F229" i="31"/>
  <c r="F230" i="31" s="1"/>
  <c r="F231" i="31" s="1"/>
  <c r="F232" i="31" s="1"/>
  <c r="F233" i="31" s="1"/>
  <c r="F234" i="31" s="1"/>
  <c r="F235" i="31" s="1"/>
  <c r="F236" i="31" s="1"/>
  <c r="F237" i="31" s="1"/>
  <c r="F213" i="31"/>
  <c r="F214" i="31" s="1"/>
  <c r="F215" i="31" s="1"/>
  <c r="F216" i="31" s="1"/>
  <c r="F217" i="31" s="1"/>
  <c r="F218" i="31" s="1"/>
  <c r="F219" i="31" s="1"/>
  <c r="F220" i="31" s="1"/>
  <c r="F221" i="31" s="1"/>
  <c r="F204" i="31"/>
  <c r="F205" i="31" s="1"/>
  <c r="F206" i="31" s="1"/>
  <c r="F207" i="31" s="1"/>
  <c r="F208" i="31" s="1"/>
  <c r="F209" i="31" s="1"/>
  <c r="F210" i="31" s="1"/>
  <c r="F211" i="31" s="1"/>
  <c r="F212" i="31" s="1"/>
  <c r="F195" i="31"/>
  <c r="F196" i="31" s="1"/>
  <c r="F197" i="31" s="1"/>
  <c r="F198" i="31" s="1"/>
  <c r="F199" i="31" s="1"/>
  <c r="F200" i="31" s="1"/>
  <c r="F201" i="31" s="1"/>
  <c r="F202" i="31" s="1"/>
  <c r="F203" i="31" s="1"/>
  <c r="F179" i="31"/>
  <c r="F180" i="31" s="1"/>
  <c r="F181" i="31" s="1"/>
  <c r="F182" i="31" s="1"/>
  <c r="F183" i="31" s="1"/>
  <c r="F184" i="31" s="1"/>
  <c r="F185" i="31" s="1"/>
  <c r="F186" i="31" s="1"/>
  <c r="F187" i="31" s="1"/>
  <c r="F170" i="31"/>
  <c r="F171" i="31" s="1"/>
  <c r="F172" i="31" s="1"/>
  <c r="F173" i="31" s="1"/>
  <c r="F174" i="31" s="1"/>
  <c r="F175" i="31" s="1"/>
  <c r="F176" i="31" s="1"/>
  <c r="F177" i="31" s="1"/>
  <c r="F178" i="31" s="1"/>
  <c r="F161" i="31"/>
  <c r="F162" i="31" s="1"/>
  <c r="F163" i="31" s="1"/>
  <c r="F164" i="31" s="1"/>
  <c r="F165" i="31" s="1"/>
  <c r="F166" i="31" s="1"/>
  <c r="F167" i="31" s="1"/>
  <c r="F168" i="31" s="1"/>
  <c r="F169" i="31" s="1"/>
  <c r="B151" i="31"/>
  <c r="F144" i="31"/>
  <c r="F145" i="31" s="1"/>
  <c r="F146" i="31" s="1"/>
  <c r="F147" i="31" s="1"/>
  <c r="F148" i="31" s="1"/>
  <c r="F149" i="31" s="1"/>
  <c r="F150" i="31" s="1"/>
  <c r="B142" i="31"/>
  <c r="B141" i="31"/>
  <c r="F134" i="31"/>
  <c r="F135" i="31" s="1"/>
  <c r="F136" i="31" s="1"/>
  <c r="F137" i="31" s="1"/>
  <c r="F138" i="31" s="1"/>
  <c r="F139" i="31" s="1"/>
  <c r="F140" i="31" s="1"/>
  <c r="F141" i="31" s="1"/>
  <c r="F124" i="31"/>
  <c r="F125" i="31" s="1"/>
  <c r="F126" i="31" s="1"/>
  <c r="F127" i="31" s="1"/>
  <c r="F128" i="31" s="1"/>
  <c r="F129" i="31" s="1"/>
  <c r="F130" i="31" s="1"/>
  <c r="F131" i="31" s="1"/>
  <c r="F108" i="31"/>
  <c r="F109" i="31" s="1"/>
  <c r="F110" i="31" s="1"/>
  <c r="F111" i="31" s="1"/>
  <c r="F112" i="31" s="1"/>
  <c r="F113" i="31" s="1"/>
  <c r="F114" i="31" s="1"/>
  <c r="F115" i="31" s="1"/>
  <c r="F116" i="31" s="1"/>
  <c r="F99" i="31"/>
  <c r="F100" i="31" s="1"/>
  <c r="F101" i="31" s="1"/>
  <c r="F102" i="31" s="1"/>
  <c r="F103" i="31" s="1"/>
  <c r="F104" i="31" s="1"/>
  <c r="F105" i="31" s="1"/>
  <c r="F106" i="31" s="1"/>
  <c r="F107" i="31" s="1"/>
  <c r="F90" i="31"/>
  <c r="F91" i="31" s="1"/>
  <c r="F92" i="31" s="1"/>
  <c r="F93" i="31" s="1"/>
  <c r="F94" i="31" s="1"/>
  <c r="F95" i="31" s="1"/>
  <c r="F96" i="31" s="1"/>
  <c r="F97" i="31" s="1"/>
  <c r="F98" i="31" s="1"/>
  <c r="C247" i="31"/>
  <c r="W31" i="31"/>
  <c r="B247" i="31" s="1"/>
  <c r="C238" i="31"/>
  <c r="W30" i="31"/>
  <c r="B238" i="31" s="1"/>
  <c r="C229" i="31"/>
  <c r="W29" i="31"/>
  <c r="B229" i="31" s="1"/>
  <c r="C213" i="31"/>
  <c r="W28" i="31"/>
  <c r="B213" i="31" s="1"/>
  <c r="F74" i="31"/>
  <c r="F75" i="31" s="1"/>
  <c r="F76" i="31" s="1"/>
  <c r="F77" i="31" s="1"/>
  <c r="F78" i="31" s="1"/>
  <c r="F79" i="31" s="1"/>
  <c r="F80" i="31" s="1"/>
  <c r="F81" i="31" s="1"/>
  <c r="F82" i="31" s="1"/>
  <c r="C204" i="31"/>
  <c r="W27" i="31"/>
  <c r="B204" i="31" s="1"/>
  <c r="C195" i="31"/>
  <c r="W26" i="31"/>
  <c r="B195" i="31" s="1"/>
  <c r="C179" i="31"/>
  <c r="W25" i="31"/>
  <c r="B179" i="31" s="1"/>
  <c r="C170" i="31"/>
  <c r="W24" i="31"/>
  <c r="B170" i="31" s="1"/>
  <c r="C161" i="31"/>
  <c r="W23" i="31"/>
  <c r="B161" i="31" s="1"/>
  <c r="C144" i="31"/>
  <c r="W22" i="31"/>
  <c r="B144" i="31" s="1"/>
  <c r="C134" i="31"/>
  <c r="W21" i="31"/>
  <c r="B134" i="31" s="1"/>
  <c r="C124" i="31"/>
  <c r="W20" i="31"/>
  <c r="B124" i="31" s="1"/>
  <c r="C108" i="31"/>
  <c r="W19" i="31"/>
  <c r="B108" i="31" s="1"/>
  <c r="F65" i="31"/>
  <c r="F66" i="31" s="1"/>
  <c r="F67" i="31" s="1"/>
  <c r="F68" i="31" s="1"/>
  <c r="F69" i="31" s="1"/>
  <c r="F70" i="31" s="1"/>
  <c r="F71" i="31" s="1"/>
  <c r="F72" i="31" s="1"/>
  <c r="F73" i="31" s="1"/>
  <c r="C99" i="31"/>
  <c r="W18" i="31"/>
  <c r="B99" i="31" s="1"/>
  <c r="C90" i="31"/>
  <c r="W17" i="31"/>
  <c r="B90" i="31" s="1"/>
  <c r="C74" i="31"/>
  <c r="W16" i="31"/>
  <c r="B74" i="31" s="1"/>
  <c r="C65" i="31"/>
  <c r="W15" i="31"/>
  <c r="B65" i="31" s="1"/>
  <c r="C56" i="31"/>
  <c r="W14" i="31"/>
  <c r="C281" i="31"/>
  <c r="W13" i="31"/>
  <c r="B281" i="31" s="1"/>
  <c r="C274" i="31"/>
  <c r="W12" i="31"/>
  <c r="B274" i="31" s="1"/>
  <c r="C267" i="31"/>
  <c r="W11" i="31"/>
  <c r="B267" i="31" s="1"/>
  <c r="C311" i="31"/>
  <c r="B311" i="31"/>
  <c r="F56" i="31"/>
  <c r="F57" i="31" s="1"/>
  <c r="F58" i="31" s="1"/>
  <c r="F59" i="31" s="1"/>
  <c r="F60" i="31" s="1"/>
  <c r="F61" i="31" s="1"/>
  <c r="F62" i="31" s="1"/>
  <c r="F63" i="31" s="1"/>
  <c r="F64" i="31" s="1"/>
  <c r="B56" i="31"/>
  <c r="C305" i="31"/>
  <c r="B305" i="31"/>
  <c r="C299" i="31"/>
  <c r="B299" i="31"/>
  <c r="I4" i="31"/>
  <c r="I3" i="31"/>
  <c r="N191" i="30"/>
  <c r="M191" i="30"/>
  <c r="L191" i="30"/>
  <c r="K191" i="30"/>
  <c r="I191" i="30"/>
  <c r="N159" i="30"/>
  <c r="M159" i="30"/>
  <c r="L159" i="30"/>
  <c r="K159" i="30"/>
  <c r="N121" i="30"/>
  <c r="N87" i="30"/>
  <c r="N43" i="30"/>
  <c r="N9" i="30"/>
  <c r="K9" i="30"/>
  <c r="K43" i="30" s="1"/>
  <c r="K87" i="30" s="1"/>
  <c r="K121" i="30" s="1"/>
  <c r="F206" i="30"/>
  <c r="F207" i="30" s="1"/>
  <c r="F208" i="30" s="1"/>
  <c r="F209" i="30" s="1"/>
  <c r="F210" i="30" s="1"/>
  <c r="F211" i="30" s="1"/>
  <c r="F212" i="30" s="1"/>
  <c r="L199" i="30"/>
  <c r="L206" i="30" s="1"/>
  <c r="K199" i="30"/>
  <c r="K206" i="30" s="1"/>
  <c r="W206" i="30"/>
  <c r="F199" i="30"/>
  <c r="F200" i="30" s="1"/>
  <c r="F201" i="30" s="1"/>
  <c r="F202" i="30" s="1"/>
  <c r="F203" i="30" s="1"/>
  <c r="F204" i="30" s="1"/>
  <c r="F205" i="30" s="1"/>
  <c r="F192" i="30"/>
  <c r="F193" i="30" s="1"/>
  <c r="F194" i="30" s="1"/>
  <c r="F195" i="30" s="1"/>
  <c r="F196" i="30" s="1"/>
  <c r="F197" i="30" s="1"/>
  <c r="F198" i="30" s="1"/>
  <c r="F175" i="30"/>
  <c r="F176" i="30" s="1"/>
  <c r="F177" i="30" s="1"/>
  <c r="F178" i="30" s="1"/>
  <c r="F179" i="30" s="1"/>
  <c r="F180" i="30" s="1"/>
  <c r="K174" i="30"/>
  <c r="H167" i="30"/>
  <c r="F168" i="30"/>
  <c r="F169" i="30" s="1"/>
  <c r="F170" i="30" s="1"/>
  <c r="F171" i="30" s="1"/>
  <c r="F172" i="30" s="1"/>
  <c r="F173" i="30" s="1"/>
  <c r="F161" i="30"/>
  <c r="F162" i="30" s="1"/>
  <c r="F163" i="30" s="1"/>
  <c r="F164" i="30" s="1"/>
  <c r="F165" i="30" s="1"/>
  <c r="F166" i="30" s="1"/>
  <c r="F140" i="30"/>
  <c r="F141" i="30" s="1"/>
  <c r="F142" i="30" s="1"/>
  <c r="F143" i="30" s="1"/>
  <c r="F144" i="30" s="1"/>
  <c r="F145" i="30" s="1"/>
  <c r="F146" i="30" s="1"/>
  <c r="F147" i="30" s="1"/>
  <c r="F148" i="30" s="1"/>
  <c r="F131" i="30"/>
  <c r="F132" i="30" s="1"/>
  <c r="F133" i="30" s="1"/>
  <c r="F134" i="30" s="1"/>
  <c r="F135" i="30" s="1"/>
  <c r="F136" i="30" s="1"/>
  <c r="F137" i="30" s="1"/>
  <c r="F138" i="30" s="1"/>
  <c r="F139" i="30" s="1"/>
  <c r="F122" i="30"/>
  <c r="F123" i="30" s="1"/>
  <c r="F124" i="30" s="1"/>
  <c r="F125" i="30" s="1"/>
  <c r="F126" i="30" s="1"/>
  <c r="F127" i="30" s="1"/>
  <c r="F128" i="30" s="1"/>
  <c r="F129" i="30" s="1"/>
  <c r="F130" i="30" s="1"/>
  <c r="F106" i="30"/>
  <c r="F107" i="30" s="1"/>
  <c r="F108" i="30" s="1"/>
  <c r="F109" i="30" s="1"/>
  <c r="F110" i="30" s="1"/>
  <c r="F111" i="30" s="1"/>
  <c r="F112" i="30" s="1"/>
  <c r="F113" i="30" s="1"/>
  <c r="F114" i="30" s="1"/>
  <c r="F97" i="30"/>
  <c r="F98" i="30" s="1"/>
  <c r="F99" i="30" s="1"/>
  <c r="F100" i="30" s="1"/>
  <c r="F101" i="30" s="1"/>
  <c r="F102" i="30" s="1"/>
  <c r="F103" i="30" s="1"/>
  <c r="F104" i="30" s="1"/>
  <c r="F105" i="30" s="1"/>
  <c r="F88" i="30"/>
  <c r="F89" i="30" s="1"/>
  <c r="F90" i="30" s="1"/>
  <c r="F91" i="30" s="1"/>
  <c r="F92" i="30" s="1"/>
  <c r="F93" i="30" s="1"/>
  <c r="F94" i="30" s="1"/>
  <c r="F95" i="30" s="1"/>
  <c r="F96" i="30" s="1"/>
  <c r="F62" i="30"/>
  <c r="F63" i="30" s="1"/>
  <c r="F64" i="30" s="1"/>
  <c r="F65" i="30" s="1"/>
  <c r="F66" i="30" s="1"/>
  <c r="F67" i="30" s="1"/>
  <c r="F68" i="30" s="1"/>
  <c r="F69" i="30" s="1"/>
  <c r="F70" i="30" s="1"/>
  <c r="F71" i="30" s="1"/>
  <c r="F53" i="30"/>
  <c r="F54" i="30" s="1"/>
  <c r="F55" i="30" s="1"/>
  <c r="F56" i="30" s="1"/>
  <c r="F57" i="30" s="1"/>
  <c r="F58" i="30" s="1"/>
  <c r="F59" i="30" s="1"/>
  <c r="F60" i="30" s="1"/>
  <c r="F61" i="30" s="1"/>
  <c r="F44" i="30"/>
  <c r="F45" i="30" s="1"/>
  <c r="F46" i="30" s="1"/>
  <c r="F47" i="30" s="1"/>
  <c r="F48" i="30" s="1"/>
  <c r="F49" i="30" s="1"/>
  <c r="F50" i="30" s="1"/>
  <c r="F51" i="30" s="1"/>
  <c r="F52" i="30" s="1"/>
  <c r="F28" i="30"/>
  <c r="F29" i="30" s="1"/>
  <c r="F30" i="30" s="1"/>
  <c r="F31" i="30" s="1"/>
  <c r="F32" i="30" s="1"/>
  <c r="F33" i="30" s="1"/>
  <c r="F34" i="30" s="1"/>
  <c r="F35" i="30" s="1"/>
  <c r="F36" i="30" s="1"/>
  <c r="C140" i="30"/>
  <c r="X26" i="30"/>
  <c r="B140" i="30" s="1"/>
  <c r="C131" i="30"/>
  <c r="X25" i="30"/>
  <c r="B131" i="30" s="1"/>
  <c r="C122" i="30"/>
  <c r="X24" i="30"/>
  <c r="B122" i="30" s="1"/>
  <c r="C106" i="30"/>
  <c r="B106" i="30"/>
  <c r="C97" i="30"/>
  <c r="X22" i="30"/>
  <c r="B97" i="30" s="1"/>
  <c r="C88" i="30"/>
  <c r="X21" i="30"/>
  <c r="B88" i="30" s="1"/>
  <c r="C62" i="30"/>
  <c r="B62" i="30"/>
  <c r="F19" i="30"/>
  <c r="F20" i="30" s="1"/>
  <c r="F21" i="30" s="1"/>
  <c r="F22" i="30" s="1"/>
  <c r="F23" i="30" s="1"/>
  <c r="F24" i="30" s="1"/>
  <c r="F25" i="30" s="1"/>
  <c r="F26" i="30" s="1"/>
  <c r="F27" i="30" s="1"/>
  <c r="C53" i="30"/>
  <c r="X18" i="30"/>
  <c r="B53" i="30" s="1"/>
  <c r="C44" i="30"/>
  <c r="X17" i="30"/>
  <c r="B44" i="30" s="1"/>
  <c r="C28" i="30"/>
  <c r="X16" i="30"/>
  <c r="B28" i="30" s="1"/>
  <c r="C19" i="30"/>
  <c r="X15" i="30"/>
  <c r="B19" i="30" s="1"/>
  <c r="X14" i="30"/>
  <c r="C174" i="30"/>
  <c r="X13" i="30"/>
  <c r="B174" i="30" s="1"/>
  <c r="C167" i="30"/>
  <c r="X12" i="30"/>
  <c r="B167" i="30" s="1"/>
  <c r="C160" i="30"/>
  <c r="X11" i="30"/>
  <c r="B160" i="30" s="1"/>
  <c r="C206" i="30"/>
  <c r="B206" i="30"/>
  <c r="F10" i="30"/>
  <c r="F11" i="30" s="1"/>
  <c r="F12" i="30" s="1"/>
  <c r="F13" i="30" s="1"/>
  <c r="F14" i="30" s="1"/>
  <c r="F15" i="30" s="1"/>
  <c r="F16" i="30" s="1"/>
  <c r="F17" i="30" s="1"/>
  <c r="F18" i="30" s="1"/>
  <c r="C10" i="30"/>
  <c r="B10" i="30"/>
  <c r="C199" i="30"/>
  <c r="B199" i="30"/>
  <c r="C192" i="30"/>
  <c r="B192" i="30"/>
  <c r="F41" i="33" l="1"/>
  <c r="F42" i="33" s="1"/>
  <c r="F43" i="33" s="1"/>
  <c r="F44" i="33" s="1"/>
  <c r="F45" i="33" s="1"/>
  <c r="F46" i="33" s="1"/>
  <c r="F40" i="33"/>
  <c r="F29" i="33"/>
  <c r="F30" i="33" s="1"/>
  <c r="F31" i="33" s="1"/>
  <c r="F32" i="33" s="1"/>
  <c r="F28" i="33"/>
  <c r="F18" i="33"/>
  <c r="F19" i="33" s="1"/>
  <c r="F20" i="33" s="1"/>
  <c r="F21" i="33" s="1"/>
  <c r="F17" i="33"/>
  <c r="Y277" i="32"/>
  <c r="AB277" i="32" s="1"/>
  <c r="X206" i="30"/>
  <c r="L9" i="30"/>
  <c r="L43" i="30" s="1"/>
  <c r="L87" i="30" s="1"/>
  <c r="L121" i="30" s="1"/>
  <c r="S10" i="32"/>
  <c r="F194" i="32"/>
  <c r="F197" i="32" s="1"/>
  <c r="F196" i="32"/>
  <c r="F201" i="32" s="1"/>
  <c r="S160" i="32"/>
  <c r="H30" i="32"/>
  <c r="H44" i="32" s="1"/>
  <c r="H34" i="32"/>
  <c r="H48" i="32" s="1"/>
  <c r="H27" i="32"/>
  <c r="H41" i="32" s="1"/>
  <c r="H29" i="32"/>
  <c r="H43" i="32" s="1"/>
  <c r="H33" i="32"/>
  <c r="H47" i="32" s="1"/>
  <c r="H35" i="32"/>
  <c r="H49" i="32" s="1"/>
  <c r="H74" i="32"/>
  <c r="H89" i="32" s="1"/>
  <c r="H79" i="32"/>
  <c r="H94" i="32" s="1"/>
  <c r="F51" i="32"/>
  <c r="F46" i="32"/>
  <c r="F47" i="32" s="1"/>
  <c r="F48" i="32" s="1"/>
  <c r="F49" i="32" s="1"/>
  <c r="F50" i="32" s="1"/>
  <c r="H134" i="32"/>
  <c r="H148" i="32" s="1"/>
  <c r="D134" i="32"/>
  <c r="D148" i="32" s="1"/>
  <c r="D169" i="32" s="1"/>
  <c r="F103" i="32"/>
  <c r="F97" i="32"/>
  <c r="F98" i="32" s="1"/>
  <c r="F99" i="32" s="1"/>
  <c r="F100" i="32" s="1"/>
  <c r="F101" i="32" s="1"/>
  <c r="F133" i="32"/>
  <c r="F131" i="32"/>
  <c r="F226" i="32"/>
  <c r="F219" i="32"/>
  <c r="F220" i="32" s="1"/>
  <c r="F221" i="32" s="1"/>
  <c r="F222" i="32" s="1"/>
  <c r="F223" i="32" s="1"/>
  <c r="F224" i="32" s="1"/>
  <c r="F225" i="32" s="1"/>
  <c r="F18" i="32"/>
  <c r="F19" i="32" s="1"/>
  <c r="F20" i="32" s="1"/>
  <c r="F21" i="32" s="1"/>
  <c r="F22" i="32" s="1"/>
  <c r="F23" i="32"/>
  <c r="H86" i="32"/>
  <c r="H101" i="32" s="1"/>
  <c r="H80" i="32"/>
  <c r="H95" i="32" s="1"/>
  <c r="F182" i="32"/>
  <c r="F180" i="32"/>
  <c r="H75" i="32"/>
  <c r="H90" i="32" s="1"/>
  <c r="H84" i="32"/>
  <c r="H99" i="32" s="1"/>
  <c r="F117" i="32"/>
  <c r="F119" i="32"/>
  <c r="H78" i="32"/>
  <c r="H93" i="32" s="1"/>
  <c r="F37" i="32"/>
  <c r="F32" i="32"/>
  <c r="F33" i="32" s="1"/>
  <c r="F34" i="32" s="1"/>
  <c r="F35" i="32" s="1"/>
  <c r="F36" i="32" s="1"/>
  <c r="F88" i="32"/>
  <c r="F82" i="32"/>
  <c r="F83" i="32" s="1"/>
  <c r="F84" i="32" s="1"/>
  <c r="F85" i="32" s="1"/>
  <c r="F86" i="32" s="1"/>
  <c r="F22" i="33"/>
  <c r="F23" i="33"/>
  <c r="H76" i="32"/>
  <c r="H91" i="32" s="1"/>
  <c r="F73" i="32"/>
  <c r="F67" i="32"/>
  <c r="F68" i="32" s="1"/>
  <c r="F69" i="32" s="1"/>
  <c r="F70" i="32" s="1"/>
  <c r="F71" i="32" s="1"/>
  <c r="H28" i="32"/>
  <c r="H42" i="32" s="1"/>
  <c r="H36" i="32"/>
  <c r="L188" i="32"/>
  <c r="F252" i="32"/>
  <c r="F239" i="32"/>
  <c r="F232" i="32"/>
  <c r="F233" i="32" s="1"/>
  <c r="F234" i="32" s="1"/>
  <c r="F235" i="32" s="1"/>
  <c r="F236" i="32" s="1"/>
  <c r="F237" i="32" s="1"/>
  <c r="F238" i="32" s="1"/>
  <c r="D41" i="32"/>
  <c r="D49" i="32"/>
  <c r="H83" i="32"/>
  <c r="H98" i="32" s="1"/>
  <c r="L139" i="32"/>
  <c r="I125" i="32"/>
  <c r="L125" i="32" s="1"/>
  <c r="F145" i="32"/>
  <c r="F147" i="32"/>
  <c r="H25" i="32"/>
  <c r="H31" i="32"/>
  <c r="H45" i="32" s="1"/>
  <c r="I24" i="32"/>
  <c r="L24" i="32" s="1"/>
  <c r="D46" i="32"/>
  <c r="F34" i="34"/>
  <c r="F35" i="34"/>
  <c r="H32" i="32"/>
  <c r="H46" i="32" s="1"/>
  <c r="F166" i="32"/>
  <c r="F168" i="32"/>
  <c r="F33" i="33"/>
  <c r="F34" i="33" s="1"/>
  <c r="F35" i="33"/>
  <c r="F23" i="34"/>
  <c r="F24" i="34"/>
  <c r="F45" i="34"/>
  <c r="H24" i="32"/>
  <c r="H38" i="32" s="1"/>
  <c r="F152" i="31"/>
  <c r="F153" i="31" s="1"/>
  <c r="F151" i="31"/>
  <c r="F143" i="31"/>
  <c r="F142" i="31"/>
  <c r="F133" i="31"/>
  <c r="F132" i="31"/>
  <c r="C13" i="29"/>
  <c r="B13" i="29"/>
  <c r="F47" i="33" l="1"/>
  <c r="Y206" i="30"/>
  <c r="Z206" i="30" s="1"/>
  <c r="AA206" i="30"/>
  <c r="Z277" i="32"/>
  <c r="AA277" i="32" s="1"/>
  <c r="Y290" i="32"/>
  <c r="F195" i="32"/>
  <c r="F198" i="32" s="1"/>
  <c r="F199" i="32"/>
  <c r="H82" i="32"/>
  <c r="H97" i="32" s="1"/>
  <c r="F181" i="32"/>
  <c r="F184" i="32" s="1"/>
  <c r="F183" i="32"/>
  <c r="F187" i="32"/>
  <c r="F185" i="32"/>
  <c r="H130" i="32"/>
  <c r="H144" i="32" s="1"/>
  <c r="D130" i="32"/>
  <c r="D144" i="32" s="1"/>
  <c r="D165" i="32" s="1"/>
  <c r="H85" i="32"/>
  <c r="H100" i="32" s="1"/>
  <c r="F122" i="32"/>
  <c r="F124" i="32"/>
  <c r="H132" i="32"/>
  <c r="H146" i="32" s="1"/>
  <c r="D132" i="32"/>
  <c r="D146" i="32" s="1"/>
  <c r="D167" i="32" s="1"/>
  <c r="H77" i="32"/>
  <c r="H92" i="32" s="1"/>
  <c r="F118" i="32"/>
  <c r="F121" i="32" s="1"/>
  <c r="F120" i="32"/>
  <c r="H183" i="32"/>
  <c r="H197" i="32" s="1"/>
  <c r="D183" i="32"/>
  <c r="D197" i="32" s="1"/>
  <c r="D222" i="32" s="1"/>
  <c r="F152" i="32"/>
  <c r="F150" i="32"/>
  <c r="H131" i="32"/>
  <c r="H145" i="32" s="1"/>
  <c r="D131" i="32"/>
  <c r="D145" i="32" s="1"/>
  <c r="D166" i="32" s="1"/>
  <c r="F173" i="32"/>
  <c r="F171" i="32"/>
  <c r="F148" i="32"/>
  <c r="F151" i="32" s="1"/>
  <c r="F146" i="32"/>
  <c r="F149" i="32" s="1"/>
  <c r="H127" i="32"/>
  <c r="H141" i="32" s="1"/>
  <c r="D127" i="32"/>
  <c r="D141" i="32" s="1"/>
  <c r="D162" i="32" s="1"/>
  <c r="H126" i="32"/>
  <c r="H140" i="32" s="1"/>
  <c r="D126" i="32"/>
  <c r="D140" i="32" s="1"/>
  <c r="D161" i="32" s="1"/>
  <c r="D129" i="32"/>
  <c r="D143" i="32" s="1"/>
  <c r="D164" i="32" s="1"/>
  <c r="H129" i="32"/>
  <c r="H143" i="32" s="1"/>
  <c r="F134" i="32"/>
  <c r="F132" i="32"/>
  <c r="F135" i="32" s="1"/>
  <c r="D125" i="32"/>
  <c r="D139" i="32" s="1"/>
  <c r="D160" i="32" s="1"/>
  <c r="H125" i="32"/>
  <c r="H139" i="32" s="1"/>
  <c r="F167" i="32"/>
  <c r="F170" i="32" s="1"/>
  <c r="F169" i="32"/>
  <c r="D135" i="32"/>
  <c r="D149" i="32" s="1"/>
  <c r="D170" i="32" s="1"/>
  <c r="H135" i="32"/>
  <c r="H149" i="32" s="1"/>
  <c r="D137" i="32"/>
  <c r="D151" i="32" s="1"/>
  <c r="D172" i="32" s="1"/>
  <c r="H137" i="32"/>
  <c r="H151" i="32" s="1"/>
  <c r="F138" i="32"/>
  <c r="F136" i="32"/>
  <c r="G9" i="29"/>
  <c r="G10" i="29" s="1"/>
  <c r="G11" i="29" s="1"/>
  <c r="G12" i="29" s="1"/>
  <c r="E10" i="29"/>
  <c r="F12" i="29"/>
  <c r="V9" i="29" s="1"/>
  <c r="E9" i="29"/>
  <c r="E13" i="29" s="1"/>
  <c r="C9" i="29"/>
  <c r="Z290" i="32" l="1"/>
  <c r="AA290" i="32" s="1"/>
  <c r="AB290" i="32"/>
  <c r="D128" i="32"/>
  <c r="D142" i="32" s="1"/>
  <c r="D163" i="32" s="1"/>
  <c r="H128" i="32"/>
  <c r="H142" i="32" s="1"/>
  <c r="D136" i="32"/>
  <c r="D150" i="32" s="1"/>
  <c r="D171" i="32" s="1"/>
  <c r="H136" i="32"/>
  <c r="H150" i="32" s="1"/>
  <c r="D200" i="32"/>
  <c r="D238" i="32" s="1"/>
  <c r="D251" i="32" s="1"/>
  <c r="D274" i="32" s="1"/>
  <c r="H176" i="32"/>
  <c r="H190" i="32" s="1"/>
  <c r="D176" i="32"/>
  <c r="D190" i="32" s="1"/>
  <c r="D215" i="32" s="1"/>
  <c r="D235" i="32"/>
  <c r="D248" i="32" s="1"/>
  <c r="D271" i="32" s="1"/>
  <c r="H181" i="32"/>
  <c r="H195" i="32" s="1"/>
  <c r="D181" i="32"/>
  <c r="D195" i="32" s="1"/>
  <c r="D220" i="32" s="1"/>
  <c r="D133" i="32"/>
  <c r="D147" i="32" s="1"/>
  <c r="D168" i="32" s="1"/>
  <c r="H133" i="32"/>
  <c r="H147" i="32" s="1"/>
  <c r="H184" i="32"/>
  <c r="H198" i="32" s="1"/>
  <c r="D184" i="32"/>
  <c r="D198" i="32" s="1"/>
  <c r="D223" i="32" s="1"/>
  <c r="D178" i="32"/>
  <c r="D192" i="32" s="1"/>
  <c r="D217" i="32" s="1"/>
  <c r="H178" i="32"/>
  <c r="H192" i="32" s="1"/>
  <c r="D174" i="32"/>
  <c r="D188" i="32" s="1"/>
  <c r="D214" i="32" s="1"/>
  <c r="H174" i="32"/>
  <c r="H188" i="32" s="1"/>
  <c r="H179" i="32"/>
  <c r="H193" i="32" s="1"/>
  <c r="D179" i="32"/>
  <c r="D193" i="32" s="1"/>
  <c r="D218" i="32" s="1"/>
  <c r="H180" i="32"/>
  <c r="H194" i="32" s="1"/>
  <c r="D180" i="32"/>
  <c r="D194" i="32" s="1"/>
  <c r="D219" i="32" s="1"/>
  <c r="D175" i="32"/>
  <c r="D189" i="32" s="1"/>
  <c r="H175" i="32"/>
  <c r="H189" i="32" s="1"/>
  <c r="Q9" i="29"/>
  <c r="B9" i="29" s="1"/>
  <c r="D230" i="32" l="1"/>
  <c r="D243" i="32" s="1"/>
  <c r="D233" i="32"/>
  <c r="D246" i="32" s="1"/>
  <c r="D269" i="32" s="1"/>
  <c r="D287" i="32"/>
  <c r="D300" i="32" s="1"/>
  <c r="P300" i="32"/>
  <c r="D177" i="32"/>
  <c r="D191" i="32" s="1"/>
  <c r="D216" i="32" s="1"/>
  <c r="H177" i="32"/>
  <c r="H191" i="32" s="1"/>
  <c r="D227" i="32"/>
  <c r="D240" i="32" s="1"/>
  <c r="D264" i="32" s="1"/>
  <c r="D236" i="32"/>
  <c r="D249" i="32" s="1"/>
  <c r="D272" i="32" s="1"/>
  <c r="D228" i="32"/>
  <c r="D241" i="32" s="1"/>
  <c r="D265" i="32" s="1"/>
  <c r="D232" i="32"/>
  <c r="D245" i="32" s="1"/>
  <c r="D268" i="32" s="1"/>
  <c r="D231" i="32"/>
  <c r="D244" i="32" s="1"/>
  <c r="D267" i="32" s="1"/>
  <c r="D182" i="32"/>
  <c r="D196" i="32" s="1"/>
  <c r="D221" i="32" s="1"/>
  <c r="H182" i="32"/>
  <c r="H196" i="32" s="1"/>
  <c r="P297" i="32"/>
  <c r="D284" i="32"/>
  <c r="D297" i="32" s="1"/>
  <c r="H185" i="32"/>
  <c r="H199" i="32" s="1"/>
  <c r="D185" i="32"/>
  <c r="D199" i="32" s="1"/>
  <c r="D64" i="28"/>
  <c r="D65" i="28" s="1"/>
  <c r="E65" i="28"/>
  <c r="F65" i="28"/>
  <c r="E64" i="28"/>
  <c r="C64" i="28"/>
  <c r="F63" i="28"/>
  <c r="T42" i="28"/>
  <c r="C65" i="28" s="1"/>
  <c r="T41" i="28"/>
  <c r="T40" i="28"/>
  <c r="C63" i="28" s="1"/>
  <c r="B65" i="28"/>
  <c r="B64" i="28"/>
  <c r="B63" i="28"/>
  <c r="F64" i="28" l="1"/>
  <c r="D229" i="32"/>
  <c r="D242" i="32" s="1"/>
  <c r="D266" i="32" s="1"/>
  <c r="D234" i="32"/>
  <c r="D247" i="32" s="1"/>
  <c r="D270" i="32" s="1"/>
  <c r="D282" i="32"/>
  <c r="D295" i="32" s="1"/>
  <c r="Q282" i="32"/>
  <c r="Q281" i="32"/>
  <c r="D281" i="32"/>
  <c r="D294" i="32" s="1"/>
  <c r="P298" i="32"/>
  <c r="D285" i="32"/>
  <c r="D298" i="32" s="1"/>
  <c r="Q280" i="32"/>
  <c r="D280" i="32"/>
  <c r="D293" i="32" s="1"/>
  <c r="D277" i="32"/>
  <c r="D290" i="32" s="1"/>
  <c r="D278" i="32"/>
  <c r="D291" i="32" s="1"/>
  <c r="P291" i="32"/>
  <c r="D67" i="21"/>
  <c r="D68" i="21" s="1"/>
  <c r="E68" i="21"/>
  <c r="F68" i="21"/>
  <c r="E67" i="21"/>
  <c r="F66" i="21"/>
  <c r="T45" i="21"/>
  <c r="C68" i="21" s="1"/>
  <c r="T44" i="21"/>
  <c r="C67" i="21" s="1"/>
  <c r="T43" i="21"/>
  <c r="C66" i="21" s="1"/>
  <c r="B68" i="21"/>
  <c r="B67" i="21"/>
  <c r="B66" i="21"/>
  <c r="Q295" i="32" l="1"/>
  <c r="P295" i="32" s="1"/>
  <c r="P282" i="32"/>
  <c r="Q294" i="32"/>
  <c r="P294" i="32" s="1"/>
  <c r="P281" i="32"/>
  <c r="Q293" i="32"/>
  <c r="P293" i="32" s="1"/>
  <c r="P280" i="32"/>
  <c r="P290" i="32"/>
  <c r="P277" i="32"/>
  <c r="D279" i="32"/>
  <c r="D292" i="32" s="1"/>
  <c r="D283" i="32"/>
  <c r="D296" i="32" s="1"/>
  <c r="Q283" i="32"/>
  <c r="D286" i="32"/>
  <c r="D299" i="32" s="1"/>
  <c r="F67" i="21"/>
  <c r="E68" i="27"/>
  <c r="F67" i="27"/>
  <c r="E67" i="27"/>
  <c r="F66" i="27"/>
  <c r="T45" i="27"/>
  <c r="C68" i="27" s="1"/>
  <c r="T44" i="27"/>
  <c r="C67" i="27" s="1"/>
  <c r="T43" i="27"/>
  <c r="C66" i="27" s="1"/>
  <c r="B68" i="27"/>
  <c r="B67" i="27"/>
  <c r="B66" i="27"/>
  <c r="P299" i="32" l="1"/>
  <c r="P286" i="32"/>
  <c r="Q296" i="32"/>
  <c r="P296" i="32" s="1"/>
  <c r="P283" i="32"/>
  <c r="P292" i="32"/>
  <c r="P279" i="32"/>
  <c r="G68" i="27"/>
  <c r="F68" i="27" s="1"/>
  <c r="T51" i="28" l="1"/>
  <c r="T50" i="28"/>
  <c r="T49" i="28"/>
  <c r="S51" i="28"/>
  <c r="S50" i="28"/>
  <c r="S49" i="28"/>
  <c r="F147" i="27" l="1"/>
  <c r="F148" i="27" s="1"/>
  <c r="F149" i="27" s="1"/>
  <c r="F144" i="27"/>
  <c r="F145" i="27" s="1"/>
  <c r="F146" i="27" s="1"/>
  <c r="F150" i="27"/>
  <c r="F152" i="27" s="1"/>
  <c r="F151" i="27" l="1"/>
  <c r="N147" i="27"/>
  <c r="S150" i="27"/>
  <c r="T150" i="27" s="1"/>
  <c r="I150" i="27"/>
  <c r="I147" i="27"/>
  <c r="S147" i="27" s="1"/>
  <c r="T147" i="27" s="1"/>
  <c r="I144" i="27"/>
  <c r="S144" i="27" s="1"/>
  <c r="T144" i="27" s="1"/>
  <c r="T98" i="27"/>
  <c r="C147" i="27" s="1"/>
  <c r="T99" i="27"/>
  <c r="C150" i="27" s="1"/>
  <c r="T97" i="27"/>
  <c r="C144" i="27" s="1"/>
  <c r="U144" i="27" l="1"/>
  <c r="V144" i="27" s="1"/>
  <c r="W144" i="27"/>
  <c r="U150" i="27"/>
  <c r="V150" i="27" s="1"/>
  <c r="W150" i="27"/>
  <c r="U147" i="27"/>
  <c r="V147" i="27" s="1"/>
  <c r="W147" i="27"/>
  <c r="N150" i="27"/>
  <c r="B110" i="27" l="1"/>
  <c r="D109" i="21" l="1"/>
  <c r="D110" i="21" s="1"/>
  <c r="E110" i="21"/>
  <c r="F110" i="21"/>
  <c r="E109" i="21"/>
  <c r="F108" i="21"/>
  <c r="E64" i="21"/>
  <c r="F65" i="21"/>
  <c r="D64" i="21"/>
  <c r="D65" i="21" s="1"/>
  <c r="F63" i="21"/>
  <c r="T81" i="21"/>
  <c r="C110" i="21" s="1"/>
  <c r="T80" i="21"/>
  <c r="C109" i="21" s="1"/>
  <c r="T79" i="21"/>
  <c r="C108" i="21" s="1"/>
  <c r="B110" i="21"/>
  <c r="B109" i="21"/>
  <c r="B108" i="21"/>
  <c r="T42" i="21"/>
  <c r="C65" i="21" s="1"/>
  <c r="T41" i="21"/>
  <c r="C64" i="21" s="1"/>
  <c r="T40" i="21"/>
  <c r="C63" i="21" s="1"/>
  <c r="B65" i="21"/>
  <c r="B64" i="21"/>
  <c r="B63" i="21"/>
  <c r="D64" i="27"/>
  <c r="D65" i="27" s="1"/>
  <c r="D109" i="27"/>
  <c r="D110" i="27" s="1"/>
  <c r="E110" i="27"/>
  <c r="F109" i="27"/>
  <c r="E109" i="27"/>
  <c r="F108" i="27"/>
  <c r="T81" i="27"/>
  <c r="C110" i="27" s="1"/>
  <c r="T80" i="27"/>
  <c r="C109" i="27" s="1"/>
  <c r="T79" i="27"/>
  <c r="C108" i="27" s="1"/>
  <c r="B109" i="27"/>
  <c r="B108" i="27"/>
  <c r="E65" i="27"/>
  <c r="F64" i="27"/>
  <c r="E64" i="27"/>
  <c r="F63" i="27"/>
  <c r="T42" i="27"/>
  <c r="C65" i="27" s="1"/>
  <c r="T41" i="27"/>
  <c r="C64" i="27" s="1"/>
  <c r="T40" i="27"/>
  <c r="C63" i="27" s="1"/>
  <c r="B65" i="27"/>
  <c r="B64" i="27"/>
  <c r="B63" i="27"/>
  <c r="F109" i="21" l="1"/>
  <c r="G110" i="27"/>
  <c r="F110" i="27" s="1"/>
  <c r="G65" i="27"/>
  <c r="F65" i="27" s="1"/>
  <c r="F64" i="21"/>
  <c r="E65" i="21"/>
  <c r="G198" i="28" l="1"/>
  <c r="F198" i="28" s="1"/>
  <c r="F196" i="28"/>
  <c r="G195" i="28"/>
  <c r="F195" i="28" s="1"/>
  <c r="F193" i="28"/>
  <c r="G192" i="28"/>
  <c r="F192" i="28" s="1"/>
  <c r="F190" i="28"/>
  <c r="G189" i="28"/>
  <c r="F189" i="28" s="1"/>
  <c r="F187" i="28"/>
  <c r="G186" i="28"/>
  <c r="F186" i="28" s="1"/>
  <c r="F184" i="28"/>
  <c r="D197" i="28"/>
  <c r="D198" i="28" s="1"/>
  <c r="D194" i="28"/>
  <c r="D195" i="28" s="1"/>
  <c r="D191" i="28"/>
  <c r="D192" i="28" s="1"/>
  <c r="D188" i="28"/>
  <c r="D189" i="28" s="1"/>
  <c r="D185" i="28"/>
  <c r="D186" i="28" s="1"/>
  <c r="D182" i="28"/>
  <c r="D183" i="28" s="1"/>
  <c r="E198" i="28"/>
  <c r="E197" i="28"/>
  <c r="E195" i="28"/>
  <c r="E194" i="28"/>
  <c r="E192" i="28"/>
  <c r="E191" i="28"/>
  <c r="E189" i="28"/>
  <c r="E188" i="28"/>
  <c r="E186" i="28"/>
  <c r="E185" i="28"/>
  <c r="E183" i="28"/>
  <c r="G183" i="28"/>
  <c r="F183" i="28" s="1"/>
  <c r="E182" i="28"/>
  <c r="F181" i="28"/>
  <c r="B197" i="28"/>
  <c r="C197" i="28"/>
  <c r="B198" i="28"/>
  <c r="C198" i="28"/>
  <c r="B194" i="28"/>
  <c r="C194" i="28"/>
  <c r="B195" i="28"/>
  <c r="C195" i="28"/>
  <c r="B191" i="28"/>
  <c r="C191" i="28"/>
  <c r="B192" i="28"/>
  <c r="C192" i="28"/>
  <c r="B188" i="28"/>
  <c r="C188" i="28"/>
  <c r="B189" i="28"/>
  <c r="C189" i="28"/>
  <c r="S101" i="28"/>
  <c r="B185" i="28" s="1"/>
  <c r="T101" i="28"/>
  <c r="C185" i="28" s="1"/>
  <c r="S102" i="28"/>
  <c r="B186" i="28" s="1"/>
  <c r="T102" i="28"/>
  <c r="C186" i="28" s="1"/>
  <c r="B182" i="28"/>
  <c r="C182" i="28"/>
  <c r="B183" i="28"/>
  <c r="C183" i="28"/>
  <c r="C196" i="28"/>
  <c r="C193" i="28"/>
  <c r="C190" i="28"/>
  <c r="C187" i="28"/>
  <c r="T100" i="28"/>
  <c r="C184" i="28" s="1"/>
  <c r="C181" i="28"/>
  <c r="B196" i="28"/>
  <c r="B193" i="28"/>
  <c r="B190" i="28"/>
  <c r="B187" i="28"/>
  <c r="S100" i="28"/>
  <c r="B184" i="28" s="1"/>
  <c r="B181" i="28"/>
  <c r="E169" i="28"/>
  <c r="E173" i="28" s="1"/>
  <c r="D167" i="28"/>
  <c r="D171" i="28" s="1"/>
  <c r="F166" i="28"/>
  <c r="D166" i="28"/>
  <c r="D170" i="28" s="1"/>
  <c r="F162" i="28"/>
  <c r="F165" i="28" s="1"/>
  <c r="S95" i="28"/>
  <c r="B166" i="28" s="1"/>
  <c r="T95" i="28"/>
  <c r="C166" i="28" s="1"/>
  <c r="S96" i="28"/>
  <c r="B170" i="28" s="1"/>
  <c r="T96" i="28"/>
  <c r="C170" i="28" s="1"/>
  <c r="T94" i="28"/>
  <c r="C162" i="28" s="1"/>
  <c r="S94" i="28"/>
  <c r="B162" i="28" s="1"/>
  <c r="S92" i="28"/>
  <c r="B144" i="28" s="1"/>
  <c r="T92" i="28"/>
  <c r="C144" i="28" s="1"/>
  <c r="S93" i="28"/>
  <c r="B149" i="28" s="1"/>
  <c r="T93" i="28"/>
  <c r="C149" i="28" s="1"/>
  <c r="T91" i="28"/>
  <c r="C139" i="28" s="1"/>
  <c r="S91" i="28"/>
  <c r="B139" i="28" s="1"/>
  <c r="E148" i="28"/>
  <c r="E153" i="28" s="1"/>
  <c r="D147" i="28"/>
  <c r="D152" i="28" s="1"/>
  <c r="D146" i="28"/>
  <c r="D151" i="28" s="1"/>
  <c r="D145" i="28"/>
  <c r="D150" i="28" s="1"/>
  <c r="F144" i="28"/>
  <c r="D144" i="28"/>
  <c r="D149" i="28" s="1"/>
  <c r="F139" i="28"/>
  <c r="F143" i="28" s="1"/>
  <c r="F197" i="28" l="1"/>
  <c r="F191" i="28"/>
  <c r="F194" i="28"/>
  <c r="F188" i="28"/>
  <c r="F185" i="28"/>
  <c r="F182" i="28"/>
  <c r="F163" i="28"/>
  <c r="F167" i="28"/>
  <c r="F169" i="28"/>
  <c r="G170" i="28"/>
  <c r="F170" i="28" s="1"/>
  <c r="F147" i="28"/>
  <c r="F146" i="28"/>
  <c r="F145" i="28"/>
  <c r="F148" i="28"/>
  <c r="F140" i="28"/>
  <c r="F142" i="28"/>
  <c r="F141" i="28"/>
  <c r="G149" i="28"/>
  <c r="F149" i="28" s="1"/>
  <c r="F173" i="28" l="1"/>
  <c r="F171" i="28"/>
  <c r="F153" i="28"/>
  <c r="F152" i="28"/>
  <c r="F151" i="28"/>
  <c r="F150" i="28"/>
  <c r="D15" i="28" l="1"/>
  <c r="D20" i="28" s="1"/>
  <c r="D16" i="28"/>
  <c r="D21" i="28" s="1"/>
  <c r="D17" i="28"/>
  <c r="D22" i="28" s="1"/>
  <c r="D14" i="28"/>
  <c r="D19" i="28" s="1"/>
  <c r="E18" i="28"/>
  <c r="E23" i="28" s="1"/>
  <c r="T90" i="28"/>
  <c r="T89" i="28"/>
  <c r="T88" i="28"/>
  <c r="T87" i="28"/>
  <c r="T86" i="28"/>
  <c r="T85" i="28"/>
  <c r="T84" i="28"/>
  <c r="T83" i="28"/>
  <c r="T82" i="28"/>
  <c r="T81" i="28"/>
  <c r="T80" i="28"/>
  <c r="T79" i="28"/>
  <c r="T78" i="28"/>
  <c r="T77" i="28"/>
  <c r="T76" i="28"/>
  <c r="T75" i="28"/>
  <c r="T74" i="28"/>
  <c r="T73" i="28"/>
  <c r="T72" i="28"/>
  <c r="T71" i="28"/>
  <c r="T70" i="28"/>
  <c r="T69" i="28"/>
  <c r="T68" i="28"/>
  <c r="T67" i="28"/>
  <c r="T66" i="28"/>
  <c r="T65" i="28"/>
  <c r="T64" i="28"/>
  <c r="T63" i="28"/>
  <c r="T62" i="28"/>
  <c r="T61" i="28"/>
  <c r="T60" i="28"/>
  <c r="T59" i="28"/>
  <c r="T58" i="28"/>
  <c r="T57" i="28"/>
  <c r="T56" i="28"/>
  <c r="T55" i="28"/>
  <c r="T54" i="28"/>
  <c r="T53" i="28"/>
  <c r="T52" i="28"/>
  <c r="T39" i="28"/>
  <c r="T38" i="28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24" i="28"/>
  <c r="T23" i="28"/>
  <c r="T22" i="28"/>
  <c r="T21" i="28"/>
  <c r="T20" i="28"/>
  <c r="T19" i="28"/>
  <c r="S90" i="28" l="1"/>
  <c r="B19" i="28" s="1"/>
  <c r="S89" i="28"/>
  <c r="B14" i="28" s="1"/>
  <c r="S88" i="28"/>
  <c r="B9" i="28" s="1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89" i="28"/>
  <c r="B88" i="28"/>
  <c r="B87" i="28"/>
  <c r="B86" i="28"/>
  <c r="B85" i="28"/>
  <c r="B84" i="28"/>
  <c r="S54" i="28"/>
  <c r="B83" i="28" s="1"/>
  <c r="S53" i="28"/>
  <c r="B82" i="28" s="1"/>
  <c r="S52" i="28"/>
  <c r="B81" i="28" s="1"/>
  <c r="B80" i="28"/>
  <c r="B78" i="28"/>
  <c r="S48" i="28"/>
  <c r="B77" i="28" s="1"/>
  <c r="S47" i="28"/>
  <c r="B76" i="28" s="1"/>
  <c r="S46" i="28"/>
  <c r="B75" i="28" s="1"/>
  <c r="S45" i="28"/>
  <c r="B74" i="28" s="1"/>
  <c r="S44" i="28"/>
  <c r="B73" i="28" s="1"/>
  <c r="S43" i="28"/>
  <c r="B72" i="28" s="1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S21" i="28"/>
  <c r="B44" i="28" s="1"/>
  <c r="S20" i="28"/>
  <c r="B43" i="28" s="1"/>
  <c r="S19" i="28"/>
  <c r="B42" i="28" s="1"/>
  <c r="S18" i="28"/>
  <c r="B41" i="28" s="1"/>
  <c r="S17" i="28"/>
  <c r="B40" i="28" s="1"/>
  <c r="S16" i="28"/>
  <c r="B39" i="28" s="1"/>
  <c r="S15" i="28"/>
  <c r="B38" i="28" s="1"/>
  <c r="S14" i="28"/>
  <c r="B37" i="28" s="1"/>
  <c r="S13" i="28"/>
  <c r="B36" i="28" s="1"/>
  <c r="S12" i="28"/>
  <c r="B35" i="28" s="1"/>
  <c r="S11" i="28"/>
  <c r="B34" i="28" s="1"/>
  <c r="S10" i="28"/>
  <c r="B33" i="28" s="1"/>
  <c r="E124" i="28"/>
  <c r="C124" i="28"/>
  <c r="F123" i="28"/>
  <c r="E123" i="28"/>
  <c r="C123" i="28"/>
  <c r="F122" i="28"/>
  <c r="D123" i="28"/>
  <c r="D124" i="28" s="1"/>
  <c r="E121" i="28"/>
  <c r="F121" i="28"/>
  <c r="E120" i="28"/>
  <c r="F119" i="28"/>
  <c r="D120" i="28"/>
  <c r="D121" i="28" s="1"/>
  <c r="C119" i="28"/>
  <c r="E118" i="28"/>
  <c r="C118" i="28"/>
  <c r="F118" i="28"/>
  <c r="E117" i="28"/>
  <c r="D117" i="28"/>
  <c r="D118" i="28" s="1"/>
  <c r="F116" i="28"/>
  <c r="E115" i="28"/>
  <c r="F115" i="28"/>
  <c r="E114" i="28"/>
  <c r="D114" i="28"/>
  <c r="D115" i="28" s="1"/>
  <c r="F113" i="28"/>
  <c r="C113" i="28"/>
  <c r="E104" i="28"/>
  <c r="F104" i="28"/>
  <c r="E103" i="28"/>
  <c r="C103" i="28"/>
  <c r="F102" i="28"/>
  <c r="D103" i="28"/>
  <c r="D104" i="28" s="1"/>
  <c r="E101" i="28"/>
  <c r="F101" i="28"/>
  <c r="E100" i="28"/>
  <c r="D100" i="28"/>
  <c r="D101" i="28" s="1"/>
  <c r="C100" i="28"/>
  <c r="F99" i="28"/>
  <c r="E98" i="28"/>
  <c r="G97" i="28"/>
  <c r="F97" i="28" s="1"/>
  <c r="E97" i="28"/>
  <c r="D97" i="28"/>
  <c r="D98" i="28" s="1"/>
  <c r="F96" i="28"/>
  <c r="E95" i="28"/>
  <c r="F95" i="28"/>
  <c r="E94" i="28"/>
  <c r="D94" i="28"/>
  <c r="D95" i="28" s="1"/>
  <c r="F93" i="28"/>
  <c r="C93" i="28"/>
  <c r="E92" i="28"/>
  <c r="F91" i="28"/>
  <c r="E91" i="28"/>
  <c r="D91" i="28"/>
  <c r="D92" i="28" s="1"/>
  <c r="C19" i="28"/>
  <c r="F90" i="28"/>
  <c r="E89" i="28"/>
  <c r="F89" i="28"/>
  <c r="E88" i="28"/>
  <c r="D88" i="28"/>
  <c r="D89" i="28" s="1"/>
  <c r="F87" i="28"/>
  <c r="E86" i="28"/>
  <c r="C122" i="28"/>
  <c r="F86" i="28"/>
  <c r="E85" i="28"/>
  <c r="D85" i="28"/>
  <c r="D86" i="28" s="1"/>
  <c r="C121" i="28"/>
  <c r="F84" i="28"/>
  <c r="C120" i="28"/>
  <c r="E83" i="28"/>
  <c r="F83" i="28"/>
  <c r="E82" i="28"/>
  <c r="D82" i="28"/>
  <c r="D83" i="28" s="1"/>
  <c r="C82" i="28"/>
  <c r="F81" i="28"/>
  <c r="C117" i="28"/>
  <c r="E80" i="28"/>
  <c r="C116" i="28"/>
  <c r="F79" i="28"/>
  <c r="E79" i="28"/>
  <c r="D79" i="28"/>
  <c r="D80" i="28" s="1"/>
  <c r="C79" i="28"/>
  <c r="B79" i="28"/>
  <c r="C115" i="28"/>
  <c r="F78" i="28"/>
  <c r="C114" i="28"/>
  <c r="E77" i="28"/>
  <c r="F77" i="28"/>
  <c r="E76" i="28"/>
  <c r="D76" i="28"/>
  <c r="D77" i="28" s="1"/>
  <c r="C76" i="28"/>
  <c r="C104" i="28"/>
  <c r="E74" i="28"/>
  <c r="C102" i="28"/>
  <c r="F74" i="28"/>
  <c r="E73" i="28"/>
  <c r="C73" i="28"/>
  <c r="C101" i="28"/>
  <c r="C99" i="28"/>
  <c r="C98" i="28"/>
  <c r="C97" i="28"/>
  <c r="C96" i="28"/>
  <c r="C95" i="28"/>
  <c r="C94" i="28"/>
  <c r="E62" i="28"/>
  <c r="C62" i="28"/>
  <c r="F62" i="28"/>
  <c r="E61" i="28"/>
  <c r="D61" i="28"/>
  <c r="D62" i="28" s="1"/>
  <c r="C92" i="28"/>
  <c r="F60" i="28"/>
  <c r="C60" i="28"/>
  <c r="C91" i="28"/>
  <c r="E59" i="28"/>
  <c r="C59" i="28"/>
  <c r="C90" i="28"/>
  <c r="B90" i="28"/>
  <c r="F58" i="28"/>
  <c r="E58" i="28"/>
  <c r="D58" i="28"/>
  <c r="D59" i="28" s="1"/>
  <c r="C89" i="28"/>
  <c r="F57" i="28"/>
  <c r="C88" i="28"/>
  <c r="E56" i="28"/>
  <c r="C56" i="28"/>
  <c r="C87" i="28"/>
  <c r="F56" i="28"/>
  <c r="E55" i="28"/>
  <c r="D55" i="28"/>
  <c r="D56" i="28" s="1"/>
  <c r="C86" i="28"/>
  <c r="F54" i="28"/>
  <c r="C85" i="28"/>
  <c r="E53" i="28"/>
  <c r="C84" i="28"/>
  <c r="F53" i="28"/>
  <c r="E52" i="28"/>
  <c r="D52" i="28"/>
  <c r="D53" i="28" s="1"/>
  <c r="C52" i="28"/>
  <c r="C83" i="28"/>
  <c r="F51" i="28"/>
  <c r="E50" i="28"/>
  <c r="C81" i="28"/>
  <c r="F49" i="28"/>
  <c r="E49" i="28"/>
  <c r="D49" i="28"/>
  <c r="D50" i="28" s="1"/>
  <c r="C80" i="28"/>
  <c r="F48" i="28"/>
  <c r="E47" i="28"/>
  <c r="C78" i="28"/>
  <c r="F47" i="28"/>
  <c r="E46" i="28"/>
  <c r="D46" i="28"/>
  <c r="D47" i="28" s="1"/>
  <c r="C77" i="28"/>
  <c r="F45" i="28"/>
  <c r="C45" i="28"/>
  <c r="E44" i="28"/>
  <c r="C75" i="28"/>
  <c r="F44" i="28"/>
  <c r="E43" i="28"/>
  <c r="D43" i="28"/>
  <c r="D44" i="28" s="1"/>
  <c r="C74" i="28"/>
  <c r="F42" i="28"/>
  <c r="C42" i="28"/>
  <c r="E41" i="28"/>
  <c r="C41" i="28"/>
  <c r="C72" i="28"/>
  <c r="F41" i="28"/>
  <c r="E40" i="28"/>
  <c r="D40" i="28"/>
  <c r="D41" i="28" s="1"/>
  <c r="F39" i="28"/>
  <c r="C39" i="28"/>
  <c r="C61" i="28"/>
  <c r="E38" i="28"/>
  <c r="C38" i="28"/>
  <c r="F38" i="28"/>
  <c r="E37" i="28"/>
  <c r="D37" i="28"/>
  <c r="D38" i="28" s="1"/>
  <c r="C37" i="28"/>
  <c r="F36" i="28"/>
  <c r="C58" i="28"/>
  <c r="E35" i="28"/>
  <c r="C35" i="28"/>
  <c r="C57" i="28"/>
  <c r="F34" i="28"/>
  <c r="E34" i="28"/>
  <c r="D34" i="28"/>
  <c r="D35" i="28" s="1"/>
  <c r="C34" i="28"/>
  <c r="F33" i="28"/>
  <c r="C55" i="28"/>
  <c r="C54" i="28"/>
  <c r="C53" i="28"/>
  <c r="C51" i="28"/>
  <c r="C50" i="28"/>
  <c r="C49" i="28"/>
  <c r="C48" i="28"/>
  <c r="C47" i="28"/>
  <c r="C46" i="28"/>
  <c r="C44" i="28"/>
  <c r="C43" i="28"/>
  <c r="C40" i="28"/>
  <c r="F14" i="28"/>
  <c r="C14" i="28"/>
  <c r="C36" i="28"/>
  <c r="C33" i="28"/>
  <c r="F9" i="28"/>
  <c r="F10" i="28" s="1"/>
  <c r="C9" i="28"/>
  <c r="D17" i="27"/>
  <c r="D22" i="27" s="1"/>
  <c r="D16" i="27"/>
  <c r="D21" i="27" s="1"/>
  <c r="D15" i="27"/>
  <c r="D20" i="27" s="1"/>
  <c r="D14" i="27"/>
  <c r="D19" i="27" s="1"/>
  <c r="E18" i="27"/>
  <c r="E23" i="27" s="1"/>
  <c r="F52" i="28" l="1"/>
  <c r="F124" i="28"/>
  <c r="F43" i="28"/>
  <c r="F120" i="28"/>
  <c r="F73" i="28"/>
  <c r="F94" i="28"/>
  <c r="F88" i="28"/>
  <c r="F82" i="28"/>
  <c r="F85" i="28"/>
  <c r="F61" i="28"/>
  <c r="G98" i="28"/>
  <c r="F98" i="28" s="1"/>
  <c r="F80" i="28"/>
  <c r="F46" i="28"/>
  <c r="F40" i="28"/>
  <c r="F59" i="28"/>
  <c r="G35" i="28"/>
  <c r="F35" i="28" s="1"/>
  <c r="F37" i="28"/>
  <c r="F92" i="28"/>
  <c r="F100" i="28"/>
  <c r="F11" i="28"/>
  <c r="F13" i="28"/>
  <c r="G19" i="28"/>
  <c r="F19" i="28" s="1"/>
  <c r="F22" i="28" s="1"/>
  <c r="F114" i="28"/>
  <c r="F18" i="28"/>
  <c r="F17" i="28"/>
  <c r="F16" i="28"/>
  <c r="F15" i="28"/>
  <c r="F12" i="28"/>
  <c r="F55" i="28"/>
  <c r="F76" i="28"/>
  <c r="F103" i="28"/>
  <c r="F117" i="28"/>
  <c r="F50" i="28"/>
  <c r="T96" i="27"/>
  <c r="C19" i="27" s="1"/>
  <c r="T95" i="27"/>
  <c r="C14" i="27" s="1"/>
  <c r="T94" i="27"/>
  <c r="C9" i="27" s="1"/>
  <c r="T93" i="27"/>
  <c r="T92" i="27"/>
  <c r="C129" i="27" s="1"/>
  <c r="T91" i="27"/>
  <c r="C128" i="27" s="1"/>
  <c r="T90" i="27"/>
  <c r="C127" i="27" s="1"/>
  <c r="T89" i="27"/>
  <c r="C126" i="27" s="1"/>
  <c r="T88" i="27"/>
  <c r="C125" i="27" s="1"/>
  <c r="T87" i="27"/>
  <c r="C124" i="27" s="1"/>
  <c r="T86" i="27"/>
  <c r="C123" i="27" s="1"/>
  <c r="T85" i="27"/>
  <c r="T84" i="27"/>
  <c r="C121" i="27" s="1"/>
  <c r="T83" i="27"/>
  <c r="C120" i="27" s="1"/>
  <c r="T82" i="27"/>
  <c r="T78" i="27"/>
  <c r="C107" i="27" s="1"/>
  <c r="T77" i="27"/>
  <c r="C106" i="27" s="1"/>
  <c r="T76" i="27"/>
  <c r="C105" i="27" s="1"/>
  <c r="T75" i="27"/>
  <c r="C104" i="27" s="1"/>
  <c r="T74" i="27"/>
  <c r="T73" i="27"/>
  <c r="C102" i="27" s="1"/>
  <c r="T72" i="27"/>
  <c r="C101" i="27" s="1"/>
  <c r="T71" i="27"/>
  <c r="C100" i="27" s="1"/>
  <c r="T70" i="27"/>
  <c r="C99" i="27" s="1"/>
  <c r="T69" i="27"/>
  <c r="C98" i="27" s="1"/>
  <c r="T68" i="27"/>
  <c r="C97" i="27" s="1"/>
  <c r="T67" i="27"/>
  <c r="C96" i="27" s="1"/>
  <c r="T66" i="27"/>
  <c r="T65" i="27"/>
  <c r="C94" i="27" s="1"/>
  <c r="T64" i="27"/>
  <c r="C93" i="27" s="1"/>
  <c r="T63" i="27"/>
  <c r="C92" i="27" s="1"/>
  <c r="T62" i="27"/>
  <c r="C91" i="27" s="1"/>
  <c r="T61" i="27"/>
  <c r="C90" i="27" s="1"/>
  <c r="T60" i="27"/>
  <c r="C89" i="27" s="1"/>
  <c r="T59" i="27"/>
  <c r="C88" i="27" s="1"/>
  <c r="T58" i="27"/>
  <c r="T57" i="27"/>
  <c r="C86" i="27" s="1"/>
  <c r="T56" i="27"/>
  <c r="C85" i="27" s="1"/>
  <c r="T55" i="27"/>
  <c r="T54" i="27"/>
  <c r="C83" i="27" s="1"/>
  <c r="T53" i="27"/>
  <c r="C82" i="27" s="1"/>
  <c r="T52" i="27"/>
  <c r="C81" i="27" s="1"/>
  <c r="C80" i="27"/>
  <c r="C78" i="27"/>
  <c r="C77" i="27"/>
  <c r="C75" i="27"/>
  <c r="T39" i="27"/>
  <c r="C62" i="27" s="1"/>
  <c r="T38" i="27"/>
  <c r="C61" i="27" s="1"/>
  <c r="T37" i="27"/>
  <c r="C60" i="27" s="1"/>
  <c r="T36" i="27"/>
  <c r="T35" i="27"/>
  <c r="C58" i="27" s="1"/>
  <c r="T34" i="27"/>
  <c r="C57" i="27" s="1"/>
  <c r="T33" i="27"/>
  <c r="T32" i="27"/>
  <c r="C55" i="27" s="1"/>
  <c r="T31" i="27"/>
  <c r="C54" i="27" s="1"/>
  <c r="T30" i="27"/>
  <c r="C53" i="27" s="1"/>
  <c r="T29" i="27"/>
  <c r="C52" i="27" s="1"/>
  <c r="T28" i="27"/>
  <c r="T27" i="27"/>
  <c r="C50" i="27" s="1"/>
  <c r="T26" i="27"/>
  <c r="C49" i="27" s="1"/>
  <c r="T25" i="27"/>
  <c r="C48" i="27" s="1"/>
  <c r="T24" i="27"/>
  <c r="C47" i="27" s="1"/>
  <c r="T23" i="27"/>
  <c r="C46" i="27" s="1"/>
  <c r="T22" i="27"/>
  <c r="C45" i="27" s="1"/>
  <c r="T21" i="27"/>
  <c r="C44" i="27" s="1"/>
  <c r="T20" i="27"/>
  <c r="T19" i="27"/>
  <c r="C42" i="27" s="1"/>
  <c r="T18" i="27"/>
  <c r="C41" i="27" s="1"/>
  <c r="T17" i="27"/>
  <c r="C40" i="27" s="1"/>
  <c r="T16" i="27"/>
  <c r="C39" i="27" s="1"/>
  <c r="C38" i="27"/>
  <c r="C37" i="27"/>
  <c r="C36" i="27"/>
  <c r="C34" i="27"/>
  <c r="C33" i="27"/>
  <c r="S96" i="27"/>
  <c r="B19" i="27" s="1"/>
  <c r="S95" i="27"/>
  <c r="B14" i="27" s="1"/>
  <c r="S94" i="27"/>
  <c r="B9" i="27" s="1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S57" i="27"/>
  <c r="B86" i="27" s="1"/>
  <c r="S56" i="27"/>
  <c r="B85" i="27" s="1"/>
  <c r="S55" i="27"/>
  <c r="B84" i="27" s="1"/>
  <c r="S54" i="27"/>
  <c r="B83" i="27" s="1"/>
  <c r="S53" i="27"/>
  <c r="B82" i="27" s="1"/>
  <c r="S52" i="27"/>
  <c r="B81" i="27" s="1"/>
  <c r="S51" i="27"/>
  <c r="B80" i="27" s="1"/>
  <c r="S50" i="27"/>
  <c r="B79" i="27" s="1"/>
  <c r="S49" i="27"/>
  <c r="B78" i="27" s="1"/>
  <c r="S48" i="27"/>
  <c r="B77" i="27" s="1"/>
  <c r="S47" i="27"/>
  <c r="B76" i="27" s="1"/>
  <c r="S46" i="27"/>
  <c r="B75" i="27" s="1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S21" i="27"/>
  <c r="B44" i="27" s="1"/>
  <c r="S20" i="27"/>
  <c r="B43" i="27" s="1"/>
  <c r="S19" i="27"/>
  <c r="B42" i="27" s="1"/>
  <c r="S18" i="27"/>
  <c r="B41" i="27" s="1"/>
  <c r="S17" i="27"/>
  <c r="B40" i="27" s="1"/>
  <c r="S16" i="27"/>
  <c r="B39" i="27" s="1"/>
  <c r="S15" i="27"/>
  <c r="B38" i="27" s="1"/>
  <c r="S14" i="27"/>
  <c r="B37" i="27" s="1"/>
  <c r="S13" i="27"/>
  <c r="B36" i="27" s="1"/>
  <c r="S12" i="27"/>
  <c r="B35" i="27" s="1"/>
  <c r="S11" i="27"/>
  <c r="B34" i="27" s="1"/>
  <c r="S10" i="27"/>
  <c r="B33" i="27" s="1"/>
  <c r="E130" i="27"/>
  <c r="C130" i="27"/>
  <c r="F129" i="27"/>
  <c r="E129" i="27"/>
  <c r="F128" i="27"/>
  <c r="D129" i="27"/>
  <c r="D130" i="27" s="1"/>
  <c r="E127" i="27"/>
  <c r="G127" i="27"/>
  <c r="F127" i="27" s="1"/>
  <c r="E126" i="27"/>
  <c r="F125" i="27"/>
  <c r="E124" i="27"/>
  <c r="G124" i="27"/>
  <c r="F124" i="27" s="1"/>
  <c r="E123" i="27"/>
  <c r="D123" i="27"/>
  <c r="D124" i="27" s="1"/>
  <c r="F122" i="27"/>
  <c r="E121" i="27"/>
  <c r="G121" i="27"/>
  <c r="F121" i="27" s="1"/>
  <c r="E120" i="27"/>
  <c r="D120" i="27"/>
  <c r="D121" i="27" s="1"/>
  <c r="F119" i="27"/>
  <c r="C119" i="27"/>
  <c r="E107" i="27"/>
  <c r="G107" i="27"/>
  <c r="F107" i="27" s="1"/>
  <c r="E106" i="27"/>
  <c r="F105" i="27"/>
  <c r="E104" i="27"/>
  <c r="F103" i="27"/>
  <c r="E103" i="27"/>
  <c r="D103" i="27"/>
  <c r="D104" i="27" s="1"/>
  <c r="C103" i="27"/>
  <c r="F102" i="27"/>
  <c r="E101" i="27"/>
  <c r="F100" i="27"/>
  <c r="E100" i="27"/>
  <c r="D100" i="27"/>
  <c r="D101" i="27" s="1"/>
  <c r="F99" i="27"/>
  <c r="E98" i="27"/>
  <c r="F97" i="27"/>
  <c r="E97" i="27"/>
  <c r="D97" i="27"/>
  <c r="D98" i="27" s="1"/>
  <c r="F96" i="27"/>
  <c r="E95" i="27"/>
  <c r="F94" i="27"/>
  <c r="E94" i="27"/>
  <c r="D94" i="27"/>
  <c r="D95" i="27" s="1"/>
  <c r="F93" i="27"/>
  <c r="E92" i="27"/>
  <c r="G92" i="27"/>
  <c r="F92" i="27" s="1"/>
  <c r="E91" i="27"/>
  <c r="D91" i="27"/>
  <c r="D92" i="27" s="1"/>
  <c r="F90" i="27"/>
  <c r="E89" i="27"/>
  <c r="G89" i="27"/>
  <c r="F89" i="27" s="1"/>
  <c r="E88" i="27"/>
  <c r="D88" i="27"/>
  <c r="D89" i="27" s="1"/>
  <c r="F87" i="27"/>
  <c r="E86" i="27"/>
  <c r="G86" i="27"/>
  <c r="F86" i="27" s="1"/>
  <c r="E85" i="27"/>
  <c r="D85" i="27"/>
  <c r="D86" i="27" s="1"/>
  <c r="F84" i="27"/>
  <c r="E83" i="27"/>
  <c r="C122" i="27"/>
  <c r="F82" i="27"/>
  <c r="E82" i="27"/>
  <c r="D82" i="27"/>
  <c r="D83" i="27" s="1"/>
  <c r="F81" i="27"/>
  <c r="E80" i="27"/>
  <c r="F79" i="27"/>
  <c r="E79" i="27"/>
  <c r="D79" i="27"/>
  <c r="D80" i="27" s="1"/>
  <c r="F78" i="27"/>
  <c r="E77" i="27"/>
  <c r="G77" i="27"/>
  <c r="F77" i="27" s="1"/>
  <c r="E76" i="27"/>
  <c r="D76" i="27"/>
  <c r="D77" i="27" s="1"/>
  <c r="F75" i="27"/>
  <c r="E62" i="27"/>
  <c r="F61" i="27"/>
  <c r="E61" i="27"/>
  <c r="D61" i="27"/>
  <c r="D62" i="27" s="1"/>
  <c r="C95" i="27"/>
  <c r="F60" i="27"/>
  <c r="E59" i="27"/>
  <c r="F58" i="27"/>
  <c r="E58" i="27"/>
  <c r="D58" i="27"/>
  <c r="D59" i="27" s="1"/>
  <c r="F57" i="27"/>
  <c r="E56" i="27"/>
  <c r="F55" i="27"/>
  <c r="E55" i="27"/>
  <c r="D55" i="27"/>
  <c r="D56" i="27" s="1"/>
  <c r="F54" i="27"/>
  <c r="E53" i="27"/>
  <c r="C87" i="27"/>
  <c r="G53" i="27"/>
  <c r="F53" i="27" s="1"/>
  <c r="E52" i="27"/>
  <c r="D52" i="27"/>
  <c r="D53" i="27" s="1"/>
  <c r="F51" i="27"/>
  <c r="C51" i="27"/>
  <c r="E50" i="27"/>
  <c r="C84" i="27"/>
  <c r="G50" i="27"/>
  <c r="F50" i="27" s="1"/>
  <c r="E49" i="27"/>
  <c r="D49" i="27"/>
  <c r="D50" i="27" s="1"/>
  <c r="F48" i="27"/>
  <c r="E47" i="27"/>
  <c r="G47" i="27"/>
  <c r="F47" i="27" s="1"/>
  <c r="E46" i="27"/>
  <c r="D46" i="27"/>
  <c r="D47" i="27" s="1"/>
  <c r="F45" i="27"/>
  <c r="C79" i="27"/>
  <c r="E44" i="27"/>
  <c r="G44" i="27"/>
  <c r="F44" i="27" s="1"/>
  <c r="E43" i="27"/>
  <c r="D43" i="27"/>
  <c r="D44" i="27" s="1"/>
  <c r="C43" i="27"/>
  <c r="F42" i="27"/>
  <c r="C76" i="27"/>
  <c r="E41" i="27"/>
  <c r="G41" i="27"/>
  <c r="F41" i="27" s="1"/>
  <c r="E40" i="27"/>
  <c r="D40" i="27"/>
  <c r="D41" i="27" s="1"/>
  <c r="F39" i="27"/>
  <c r="E38" i="27"/>
  <c r="G38" i="27"/>
  <c r="F38" i="27" s="1"/>
  <c r="E37" i="27"/>
  <c r="D37" i="27"/>
  <c r="D38" i="27" s="1"/>
  <c r="C59" i="27"/>
  <c r="F36" i="27"/>
  <c r="E35" i="27"/>
  <c r="F34" i="27"/>
  <c r="E34" i="27"/>
  <c r="D34" i="27"/>
  <c r="D35" i="27" s="1"/>
  <c r="C56" i="27"/>
  <c r="F33" i="27"/>
  <c r="F14" i="27"/>
  <c r="C35" i="27"/>
  <c r="F9" i="27"/>
  <c r="F12" i="27" s="1"/>
  <c r="S97" i="27" l="1"/>
  <c r="B144" i="27" s="1"/>
  <c r="S99" i="27"/>
  <c r="S98" i="27"/>
  <c r="D126" i="27"/>
  <c r="B147" i="27"/>
  <c r="G130" i="27"/>
  <c r="F130" i="27" s="1"/>
  <c r="G62" i="27"/>
  <c r="F62" i="27" s="1"/>
  <c r="F40" i="27"/>
  <c r="F52" i="27"/>
  <c r="G98" i="27"/>
  <c r="F98" i="27" s="1"/>
  <c r="G83" i="27"/>
  <c r="F83" i="27" s="1"/>
  <c r="G95" i="27"/>
  <c r="F95" i="27" s="1"/>
  <c r="F76" i="27"/>
  <c r="F85" i="27"/>
  <c r="G101" i="27"/>
  <c r="F101" i="27" s="1"/>
  <c r="G104" i="27"/>
  <c r="F104" i="27" s="1"/>
  <c r="F46" i="27"/>
  <c r="F49" i="27"/>
  <c r="G35" i="27"/>
  <c r="F35" i="27" s="1"/>
  <c r="F120" i="27"/>
  <c r="F126" i="27"/>
  <c r="F37" i="27"/>
  <c r="F43" i="27"/>
  <c r="G59" i="27"/>
  <c r="F59" i="27" s="1"/>
  <c r="F91" i="27"/>
  <c r="F20" i="28"/>
  <c r="F21" i="28"/>
  <c r="F23" i="28"/>
  <c r="F16" i="27"/>
  <c r="F15" i="27"/>
  <c r="F18" i="27"/>
  <c r="F17" i="27"/>
  <c r="F10" i="27"/>
  <c r="G56" i="27"/>
  <c r="F56" i="27" s="1"/>
  <c r="F88" i="27"/>
  <c r="F13" i="27"/>
  <c r="F11" i="27"/>
  <c r="G80" i="27"/>
  <c r="F80" i="27" s="1"/>
  <c r="G19" i="27"/>
  <c r="F19" i="27" s="1"/>
  <c r="F106" i="27"/>
  <c r="F123" i="27"/>
  <c r="F130" i="21"/>
  <c r="F128" i="21"/>
  <c r="F127" i="21"/>
  <c r="F125" i="21"/>
  <c r="E130" i="21"/>
  <c r="E129" i="21"/>
  <c r="D129" i="21"/>
  <c r="D130" i="21" s="1"/>
  <c r="D126" i="21"/>
  <c r="D127" i="21" s="1"/>
  <c r="D106" i="21"/>
  <c r="D107" i="21" s="1"/>
  <c r="D123" i="21"/>
  <c r="D124" i="21" s="1"/>
  <c r="E127" i="21"/>
  <c r="E126" i="21"/>
  <c r="E124" i="21"/>
  <c r="E121" i="21"/>
  <c r="D120" i="21"/>
  <c r="D121" i="21" s="1"/>
  <c r="F124" i="21"/>
  <c r="E123" i="21"/>
  <c r="F122" i="21"/>
  <c r="F121" i="21"/>
  <c r="E120" i="21"/>
  <c r="F119" i="21"/>
  <c r="E107" i="21"/>
  <c r="F107" i="21"/>
  <c r="E106" i="21"/>
  <c r="F105" i="21"/>
  <c r="E104" i="21"/>
  <c r="F104" i="21"/>
  <c r="E103" i="21"/>
  <c r="D103" i="21"/>
  <c r="D104" i="21" s="1"/>
  <c r="F102" i="21"/>
  <c r="E101" i="21"/>
  <c r="F100" i="21"/>
  <c r="E100" i="21"/>
  <c r="D100" i="21"/>
  <c r="D101" i="21" s="1"/>
  <c r="F99" i="21"/>
  <c r="E98" i="21"/>
  <c r="F97" i="21"/>
  <c r="E97" i="21"/>
  <c r="D97" i="21"/>
  <c r="D98" i="21" s="1"/>
  <c r="F96" i="21"/>
  <c r="E95" i="21"/>
  <c r="G94" i="21"/>
  <c r="G95" i="21" s="1"/>
  <c r="F95" i="21" s="1"/>
  <c r="E94" i="21"/>
  <c r="D94" i="21"/>
  <c r="D95" i="21" s="1"/>
  <c r="F93" i="21"/>
  <c r="E92" i="21"/>
  <c r="F92" i="21"/>
  <c r="E91" i="21"/>
  <c r="D91" i="21"/>
  <c r="D92" i="21" s="1"/>
  <c r="F90" i="21"/>
  <c r="E89" i="21"/>
  <c r="F89" i="21"/>
  <c r="E88" i="21"/>
  <c r="D88" i="21"/>
  <c r="D89" i="21" s="1"/>
  <c r="F87" i="21"/>
  <c r="E86" i="21"/>
  <c r="F86" i="21"/>
  <c r="E85" i="21"/>
  <c r="D85" i="21"/>
  <c r="D86" i="21" s="1"/>
  <c r="F84" i="21"/>
  <c r="E83" i="21"/>
  <c r="F83" i="21"/>
  <c r="E82" i="21"/>
  <c r="D82" i="21"/>
  <c r="D83" i="21" s="1"/>
  <c r="F81" i="21"/>
  <c r="E80" i="21"/>
  <c r="F80" i="21"/>
  <c r="E79" i="21"/>
  <c r="D79" i="21"/>
  <c r="D80" i="21" s="1"/>
  <c r="F78" i="21"/>
  <c r="E77" i="21"/>
  <c r="F77" i="21"/>
  <c r="E76" i="21"/>
  <c r="D76" i="21"/>
  <c r="D77" i="21" s="1"/>
  <c r="F75" i="21"/>
  <c r="D127" i="27" l="1"/>
  <c r="B150" i="27"/>
  <c r="F98" i="21"/>
  <c r="F76" i="21"/>
  <c r="F85" i="21"/>
  <c r="F103" i="21"/>
  <c r="F101" i="21"/>
  <c r="F79" i="21"/>
  <c r="F91" i="21"/>
  <c r="F20" i="27"/>
  <c r="F23" i="27"/>
  <c r="F22" i="27"/>
  <c r="F21" i="27"/>
  <c r="F126" i="21"/>
  <c r="F123" i="21"/>
  <c r="F129" i="21"/>
  <c r="F120" i="21"/>
  <c r="F106" i="21"/>
  <c r="F88" i="21"/>
  <c r="F94" i="21"/>
  <c r="F82" i="21"/>
  <c r="F62" i="21" l="1"/>
  <c r="F60" i="21"/>
  <c r="F59" i="21"/>
  <c r="F57" i="21"/>
  <c r="F56" i="21"/>
  <c r="F54" i="21"/>
  <c r="F53" i="21"/>
  <c r="F51" i="21"/>
  <c r="F50" i="21"/>
  <c r="F48" i="21"/>
  <c r="F47" i="21"/>
  <c r="F45" i="21"/>
  <c r="F44" i="21"/>
  <c r="F42" i="21"/>
  <c r="F41" i="21"/>
  <c r="F39" i="21"/>
  <c r="F38" i="21"/>
  <c r="F36" i="21"/>
  <c r="F33" i="21"/>
  <c r="G35" i="21"/>
  <c r="F35" i="21" s="1"/>
  <c r="E62" i="21"/>
  <c r="E61" i="21"/>
  <c r="D61" i="21"/>
  <c r="D62" i="21" s="1"/>
  <c r="E59" i="21"/>
  <c r="E58" i="21"/>
  <c r="D58" i="21"/>
  <c r="D59" i="21" s="1"/>
  <c r="E56" i="21"/>
  <c r="E55" i="21"/>
  <c r="D55" i="21"/>
  <c r="D56" i="21" s="1"/>
  <c r="E53" i="21"/>
  <c r="E52" i="21"/>
  <c r="D52" i="21"/>
  <c r="D53" i="21" s="1"/>
  <c r="E50" i="21"/>
  <c r="E49" i="21"/>
  <c r="D49" i="21"/>
  <c r="D50" i="21" s="1"/>
  <c r="E47" i="21"/>
  <c r="E46" i="21"/>
  <c r="D46" i="21"/>
  <c r="D47" i="21" s="1"/>
  <c r="E44" i="21"/>
  <c r="E43" i="21"/>
  <c r="D43" i="21"/>
  <c r="D44" i="21" s="1"/>
  <c r="E41" i="21"/>
  <c r="E40" i="21"/>
  <c r="D40" i="21"/>
  <c r="D41" i="21" s="1"/>
  <c r="E38" i="21"/>
  <c r="E37" i="21"/>
  <c r="D37" i="21"/>
  <c r="D38" i="21" s="1"/>
  <c r="E35" i="21"/>
  <c r="E34" i="21"/>
  <c r="D34" i="21"/>
  <c r="D35" i="21" s="1"/>
  <c r="F58" i="21" l="1"/>
  <c r="F34" i="21"/>
  <c r="F49" i="21"/>
  <c r="F52" i="21"/>
  <c r="F61" i="21"/>
  <c r="F55" i="21"/>
  <c r="F46" i="21"/>
  <c r="F43" i="21"/>
  <c r="F40" i="21"/>
  <c r="F37" i="21"/>
  <c r="G19" i="21" l="1"/>
  <c r="F19" i="21" s="1"/>
  <c r="F23" i="21" s="1"/>
  <c r="F14" i="21"/>
  <c r="F18" i="21" s="1"/>
  <c r="F9" i="21"/>
  <c r="F13" i="21" s="1"/>
  <c r="S95" i="21"/>
  <c r="B14" i="21" s="1"/>
  <c r="T95" i="21"/>
  <c r="C14" i="21" s="1"/>
  <c r="S96" i="21"/>
  <c r="B19" i="21" s="1"/>
  <c r="T96" i="21"/>
  <c r="C19" i="21" s="1"/>
  <c r="B129" i="21"/>
  <c r="T92" i="21"/>
  <c r="C129" i="21" s="1"/>
  <c r="B130" i="21"/>
  <c r="T93" i="21"/>
  <c r="C130" i="21" s="1"/>
  <c r="B126" i="21"/>
  <c r="T89" i="21"/>
  <c r="C126" i="21" s="1"/>
  <c r="B127" i="21"/>
  <c r="T90" i="21"/>
  <c r="C127" i="21" s="1"/>
  <c r="B123" i="21"/>
  <c r="T86" i="21"/>
  <c r="C123" i="21" s="1"/>
  <c r="B124" i="21"/>
  <c r="T87" i="21"/>
  <c r="C124" i="21" s="1"/>
  <c r="B120" i="21"/>
  <c r="T83" i="21"/>
  <c r="C120" i="21" s="1"/>
  <c r="B121" i="21"/>
  <c r="T84" i="21"/>
  <c r="C121" i="21" s="1"/>
  <c r="B106" i="21"/>
  <c r="T77" i="21"/>
  <c r="C106" i="21" s="1"/>
  <c r="B107" i="21"/>
  <c r="T78" i="21"/>
  <c r="C107" i="21" s="1"/>
  <c r="B103" i="21"/>
  <c r="T74" i="21"/>
  <c r="C103" i="21" s="1"/>
  <c r="B104" i="21"/>
  <c r="T75" i="21"/>
  <c r="C104" i="21" s="1"/>
  <c r="B100" i="21"/>
  <c r="T71" i="21"/>
  <c r="C100" i="21" s="1"/>
  <c r="B101" i="21"/>
  <c r="T72" i="21"/>
  <c r="C101" i="21" s="1"/>
  <c r="B97" i="21"/>
  <c r="T68" i="21"/>
  <c r="C97" i="21" s="1"/>
  <c r="B98" i="21"/>
  <c r="T69" i="21"/>
  <c r="C98" i="21" s="1"/>
  <c r="B94" i="21"/>
  <c r="T65" i="21"/>
  <c r="C94" i="21" s="1"/>
  <c r="B95" i="21"/>
  <c r="T66" i="21"/>
  <c r="C95" i="21" s="1"/>
  <c r="B91" i="21"/>
  <c r="T62" i="21"/>
  <c r="C91" i="21" s="1"/>
  <c r="B92" i="21"/>
  <c r="T63" i="21"/>
  <c r="C92" i="21" s="1"/>
  <c r="B88" i="21"/>
  <c r="T59" i="21"/>
  <c r="C88" i="21" s="1"/>
  <c r="B89" i="21"/>
  <c r="T60" i="21"/>
  <c r="C89" i="21" s="1"/>
  <c r="S56" i="21"/>
  <c r="B85" i="21" s="1"/>
  <c r="T56" i="21"/>
  <c r="C85" i="21" s="1"/>
  <c r="S57" i="21"/>
  <c r="B86" i="21" s="1"/>
  <c r="T57" i="21"/>
  <c r="C86" i="21" s="1"/>
  <c r="S53" i="21"/>
  <c r="B82" i="21" s="1"/>
  <c r="T53" i="21"/>
  <c r="C82" i="21" s="1"/>
  <c r="S54" i="21"/>
  <c r="B83" i="21" s="1"/>
  <c r="T54" i="21"/>
  <c r="C83" i="21" s="1"/>
  <c r="S50" i="21"/>
  <c r="B79" i="21" s="1"/>
  <c r="C79" i="21"/>
  <c r="S51" i="21"/>
  <c r="B80" i="21" s="1"/>
  <c r="C80" i="21"/>
  <c r="S47" i="21"/>
  <c r="B76" i="21" s="1"/>
  <c r="C76" i="21"/>
  <c r="S48" i="21"/>
  <c r="B77" i="21" s="1"/>
  <c r="C77" i="21"/>
  <c r="B61" i="21"/>
  <c r="T38" i="21"/>
  <c r="C61" i="21" s="1"/>
  <c r="B62" i="21"/>
  <c r="T39" i="21"/>
  <c r="C62" i="21" s="1"/>
  <c r="B58" i="21"/>
  <c r="T35" i="21"/>
  <c r="C58" i="21" s="1"/>
  <c r="B59" i="21"/>
  <c r="T36" i="21"/>
  <c r="C59" i="21" s="1"/>
  <c r="B55" i="21"/>
  <c r="T32" i="21"/>
  <c r="C55" i="21" s="1"/>
  <c r="B56" i="21"/>
  <c r="T33" i="21"/>
  <c r="C56" i="21" s="1"/>
  <c r="B52" i="21"/>
  <c r="T29" i="21"/>
  <c r="C52" i="21" s="1"/>
  <c r="B53" i="21"/>
  <c r="T30" i="21"/>
  <c r="C53" i="21" s="1"/>
  <c r="B49" i="21"/>
  <c r="T26" i="21"/>
  <c r="C49" i="21" s="1"/>
  <c r="B50" i="21"/>
  <c r="T27" i="21"/>
  <c r="C50" i="21" s="1"/>
  <c r="B46" i="21"/>
  <c r="T23" i="21"/>
  <c r="C46" i="21" s="1"/>
  <c r="B47" i="21"/>
  <c r="T24" i="21"/>
  <c r="C47" i="21" s="1"/>
  <c r="T22" i="21"/>
  <c r="C45" i="21" s="1"/>
  <c r="T94" i="21"/>
  <c r="C9" i="21" s="1"/>
  <c r="T91" i="21"/>
  <c r="C128" i="21" s="1"/>
  <c r="T88" i="21"/>
  <c r="C125" i="21" s="1"/>
  <c r="T85" i="21"/>
  <c r="C122" i="21" s="1"/>
  <c r="T82" i="21"/>
  <c r="C119" i="21" s="1"/>
  <c r="T76" i="21"/>
  <c r="C105" i="21" s="1"/>
  <c r="T73" i="21"/>
  <c r="C102" i="21" s="1"/>
  <c r="T70" i="21"/>
  <c r="C99" i="21" s="1"/>
  <c r="T67" i="21"/>
  <c r="C96" i="21" s="1"/>
  <c r="T64" i="21"/>
  <c r="C93" i="21" s="1"/>
  <c r="T61" i="21"/>
  <c r="C90" i="21" s="1"/>
  <c r="T58" i="21"/>
  <c r="C87" i="21" s="1"/>
  <c r="T55" i="21"/>
  <c r="C84" i="21" s="1"/>
  <c r="T52" i="21"/>
  <c r="C81" i="21" s="1"/>
  <c r="C78" i="21"/>
  <c r="C75" i="21"/>
  <c r="T37" i="21"/>
  <c r="C60" i="21" s="1"/>
  <c r="T34" i="21"/>
  <c r="C57" i="21" s="1"/>
  <c r="T31" i="21"/>
  <c r="C54" i="21" s="1"/>
  <c r="T28" i="21"/>
  <c r="C51" i="21" s="1"/>
  <c r="T25" i="21"/>
  <c r="C48" i="21" s="1"/>
  <c r="T21" i="21"/>
  <c r="C44" i="21" s="1"/>
  <c r="S94" i="21"/>
  <c r="B9" i="21" s="1"/>
  <c r="B128" i="21"/>
  <c r="B125" i="21"/>
  <c r="B122" i="21"/>
  <c r="B119" i="21"/>
  <c r="B105" i="21"/>
  <c r="B102" i="21"/>
  <c r="B99" i="21"/>
  <c r="B96" i="21"/>
  <c r="B93" i="21"/>
  <c r="B90" i="21"/>
  <c r="B87" i="21"/>
  <c r="S55" i="21"/>
  <c r="B84" i="21" s="1"/>
  <c r="S52" i="21"/>
  <c r="B81" i="21" s="1"/>
  <c r="S49" i="21"/>
  <c r="B78" i="21" s="1"/>
  <c r="S46" i="21"/>
  <c r="B75" i="21" s="1"/>
  <c r="B60" i="21"/>
  <c r="B57" i="21"/>
  <c r="B54" i="21"/>
  <c r="B51" i="21"/>
  <c r="B48" i="21"/>
  <c r="B45" i="21"/>
  <c r="S20" i="21"/>
  <c r="B43" i="21" s="1"/>
  <c r="T20" i="21"/>
  <c r="C43" i="21" s="1"/>
  <c r="S21" i="21"/>
  <c r="B44" i="21" s="1"/>
  <c r="T19" i="21"/>
  <c r="C42" i="21" s="1"/>
  <c r="T16" i="21"/>
  <c r="C39" i="21" s="1"/>
  <c r="S19" i="21"/>
  <c r="B42" i="21" s="1"/>
  <c r="S17" i="21"/>
  <c r="B40" i="21" s="1"/>
  <c r="T17" i="21"/>
  <c r="C40" i="21" s="1"/>
  <c r="S18" i="21"/>
  <c r="B41" i="21" s="1"/>
  <c r="T18" i="21"/>
  <c r="C41" i="21" s="1"/>
  <c r="C36" i="21"/>
  <c r="S16" i="21"/>
  <c r="B39" i="21" s="1"/>
  <c r="S14" i="21"/>
  <c r="B37" i="21" s="1"/>
  <c r="C37" i="21"/>
  <c r="S15" i="21"/>
  <c r="B38" i="21" s="1"/>
  <c r="C38" i="21"/>
  <c r="C33" i="21"/>
  <c r="S13" i="21"/>
  <c r="B36" i="21" s="1"/>
  <c r="C34" i="21"/>
  <c r="C35" i="21"/>
  <c r="S11" i="21"/>
  <c r="B34" i="21" s="1"/>
  <c r="S12" i="21"/>
  <c r="B35" i="21" s="1"/>
  <c r="S10" i="21"/>
  <c r="B33" i="21" s="1"/>
  <c r="F21" i="21" l="1"/>
  <c r="F20" i="21"/>
  <c r="F22" i="21"/>
  <c r="F15" i="21"/>
  <c r="F16" i="21"/>
  <c r="F17" i="21"/>
  <c r="F12" i="21"/>
  <c r="F10" i="21"/>
  <c r="F11" i="21"/>
  <c r="J11" i="25" l="1"/>
  <c r="C12" i="25" l="1"/>
  <c r="B12" i="25"/>
  <c r="D23" i="12" l="1"/>
  <c r="D22" i="12"/>
  <c r="M9" i="30" s="1"/>
  <c r="M43" i="30" s="1"/>
  <c r="M87" i="30" s="1"/>
  <c r="M121" i="30" s="1"/>
  <c r="D21" i="12"/>
  <c r="D19" i="12"/>
  <c r="E16" i="12"/>
  <c r="E15" i="12"/>
  <c r="E14" i="12"/>
  <c r="D13" i="12"/>
  <c r="E12" i="12"/>
  <c r="J8" i="27" l="1"/>
  <c r="I8" i="27"/>
  <c r="J8" i="21"/>
  <c r="I8" i="21"/>
  <c r="I74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  <author>Rocco De Miglio</author>
  </authors>
  <commentList>
    <comment ref="AB6" authorId="0" shapeId="0" xr:uid="{20D409AD-F1E2-4F56-BC97-516B335443A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" authorId="1" shapeId="0" xr:uid="{2D70CCF2-96D4-4554-9BA4-506B5850483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6" authorId="0" shapeId="0" xr:uid="{2F46E87A-8886-49D8-BA07-19ABBE684084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H6" authorId="2" shapeId="0" xr:uid="{22AC25B6-2717-432C-A24F-B64C6D991B6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L6" authorId="0" shapeId="0" xr:uid="{AF7773EC-4A20-47BA-932D-8B80F099D6B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M6" authorId="0" shapeId="0" xr:uid="{3D07C775-6F3D-4368-9580-3E22DC06F30D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N6" authorId="0" shapeId="0" xr:uid="{771B4DF5-1E29-4813-8039-7A5D8956B0B5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O6" authorId="0" shapeId="0" xr:uid="{72FB6514-6FCC-495E-9980-C8238C9C3438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C7" authorId="0" shapeId="0" xr:uid="{55A88ABA-C1A3-40AB-94F5-0E464D04ACD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7" authorId="0" shapeId="0" xr:uid="{456F1828-96AA-4DEA-8EE4-0B925FA54895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H13" authorId="3" shapeId="0" xr:uid="{A22B5CB4-E9C0-4275-9200-6B762F59A11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Trans</t>
        </r>
      </text>
    </comment>
    <comment ref="H22" authorId="3" shapeId="0" xr:uid="{30468500-93C1-4DB0-AFE9-88AC2873F5E1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Trans</t>
        </r>
      </text>
    </comment>
    <comment ref="C41" authorId="0" shapeId="0" xr:uid="{7A4ADB20-46A0-48F3-BD30-581F16C6565D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H47" authorId="3" shapeId="0" xr:uid="{CC7763BA-AB61-4345-BCE8-3239C7DDA76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Trans</t>
        </r>
      </text>
    </comment>
    <comment ref="H48" authorId="3" shapeId="0" xr:uid="{DC546182-F3C8-405C-8936-B1A17B15B15F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Trans</t>
        </r>
      </text>
    </comment>
    <comment ref="H57" authorId="3" shapeId="0" xr:uid="{AA083286-53AF-43AA-9011-EAB4C70D24D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Trans</t>
        </r>
      </text>
    </comment>
    <comment ref="C85" authorId="0" shapeId="0" xr:uid="{81632F29-50DA-475B-9384-B8525A411043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9" authorId="0" shapeId="0" xr:uid="{DD6778C3-445B-497C-84EC-FEBD090143A8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H125" authorId="3" shapeId="0" xr:uid="{6838B4EF-83B0-49FA-9D7A-3923A2155858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Trans</t>
        </r>
      </text>
    </comment>
    <comment ref="H134" authorId="3" shapeId="0" xr:uid="{99813670-AAAC-4952-A30B-D349850A850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Trans</t>
        </r>
      </text>
    </comment>
    <comment ref="C157" authorId="0" shapeId="0" xr:uid="{D73F579B-36B9-46CA-A579-1BB9F71CB0A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89" authorId="0" shapeId="0" xr:uid="{303C8100-9895-4265-9919-AF3454DE7DFE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  <author>Maurizio Gargiulo</author>
    <author>Amit Kanudia</author>
    <author>Gary Goldstein</author>
  </authors>
  <commentList>
    <comment ref="N7" authorId="0" shapeId="0" xr:uid="{F189FC97-1ED0-4FF8-A7AC-5AE1BB0AB20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get negative values (FOR reporting purposes ONLY)</t>
        </r>
      </text>
    </comment>
    <comment ref="U7" authorId="1" shapeId="0" xr:uid="{82D04EBD-1A11-48D1-8BED-B30E9DE8B18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7" authorId="2" shapeId="0" xr:uid="{180C935A-9888-442D-98F3-D2B7264EC50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7" authorId="1" shapeId="0" xr:uid="{BCE77F23-63EC-4E1C-AA78-FE6AD8CF5B2C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7" authorId="3" shapeId="0" xr:uid="{5155ACF2-FC84-4E4A-8960-4C9B9BF27F0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7" authorId="1" shapeId="0" xr:uid="{B7F0E75C-377D-4AF3-9A3C-543BFFFC0DA7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E7" authorId="1" shapeId="0" xr:uid="{E60B0CFB-4751-462E-9300-4AB1B9567781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7" authorId="1" shapeId="0" xr:uid="{9DB7A40C-8F98-445D-8739-630083842B8F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7" authorId="1" shapeId="0" xr:uid="{741F056F-059A-423B-9832-301D7902375F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8" authorId="1" shapeId="0" xr:uid="{569D7AFE-5C01-4BEE-B74F-A96D80C56C2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1346D116-A63D-42CC-A892-FAB278F85C69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6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6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6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5" authorId="0" shapeId="0" xr:uid="{00000000-0006-0000-06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5" authorId="1" shapeId="0" xr:uid="{00000000-0006-0000-06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5" authorId="2" shapeId="0" xr:uid="{00000000-0006-0000-06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2" shapeId="0" xr:uid="{00000000-0006-0000-06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5" authorId="2" shapeId="0" xr:uid="{00000000-0006-0000-06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AA6" authorId="0" shapeId="0" xr:uid="{F2550E84-ACD2-43CC-BD95-9C632711AB0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6" authorId="1" shapeId="0" xr:uid="{8137E2CC-3352-4B45-8285-3326C9AFB0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6" authorId="0" shapeId="0" xr:uid="{FF06FD05-F857-40EC-AA07-03B8C698E57A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F6" authorId="2" shapeId="0" xr:uid="{3804586D-2D3E-430B-859D-F27479EB4E8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J6" authorId="0" shapeId="0" xr:uid="{586612DA-7DF8-4467-8DC3-7A85EF636B45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K6" authorId="0" shapeId="0" xr:uid="{87A1FB5F-A11F-46D7-A4B2-C119C17D3DEF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6" authorId="0" shapeId="0" xr:uid="{D4C7A298-DE76-4BFC-8659-E7EFEF0F42A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M6" authorId="0" shapeId="0" xr:uid="{EC32E2C2-B87D-4D20-900C-45A47D325358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7" authorId="0" shapeId="0" xr:uid="{2D0E2231-572A-4F1C-9126-58D055FE364D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8" authorId="0" shapeId="0" xr:uid="{DCBD29B6-09DF-43C5-854B-0EB81453187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3" authorId="0" shapeId="0" xr:uid="{831E2473-E72C-4587-9183-0D3860AFECF9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7" authorId="0" shapeId="0" xr:uid="{B897CB7F-8DD6-4BD4-9F38-5C3A43E05C1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1" authorId="0" shapeId="0" xr:uid="{853FF103-C8CA-466E-A66C-AE6F1FF82BDE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8" authorId="0" shapeId="0" xr:uid="{CCD8EF44-BB87-4ECA-968F-BCFCEE0FA52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2" authorId="0" shapeId="0" xr:uid="{162588DE-1946-4F46-B2D3-D31E333D4DA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26" authorId="0" shapeId="0" xr:uid="{89AE3743-F6BF-487B-AE8F-81BCF3F324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64" authorId="0" shapeId="0" xr:uid="{FEA7BAAA-E69F-45F5-93DD-0A7587FCF25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96" authorId="0" shapeId="0" xr:uid="{7B7DBF78-DF05-4680-B83F-A505E8EA39A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M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N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O6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V6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Z6" authorId="0" shapeId="0" xr:uid="{00000000-0006-0000-02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BA6" authorId="0" shapeId="0" xr:uid="{00000000-0006-0000-02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B6" authorId="0" shapeId="0" xr:uid="{00000000-0006-0000-02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C6" authorId="0" shapeId="0" xr:uid="{00000000-0006-0000-02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W8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8" authorId="1" shapeId="0" xr:uid="{00000000-0006-0000-0200-00000C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8" authorId="0" shapeId="0" xr:uid="{00000000-0006-0000-0200-00000D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9" authorId="0" shapeId="0" xr:uid="{00000000-0006-0000-0200-00000E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36" authorId="0" shapeId="0" xr:uid="{00000000-0006-0000-02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9" authorId="0" shapeId="0" xr:uid="{00000000-0006-0000-02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G286" authorId="0" shapeId="0" xr:uid="{00000000-0006-0000-02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X286" authorId="0" shapeId="0" xr:uid="{00000000-0006-0000-02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I354" authorId="0" shapeId="0" xr:uid="{00000000-0006-0000-02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BB354" authorId="0" shapeId="0" xr:uid="{00000000-0006-0000-02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6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M6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N6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O6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V6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Z6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BA6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B6" authorId="0" shapeId="0" xr:uid="{00000000-0006-0000-03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C6" authorId="0" shapeId="0" xr:uid="{00000000-0006-0000-03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7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W8" authorId="0" shapeId="0" xr:uid="{00000000-0006-0000-0300-00000B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8" authorId="1" shapeId="0" xr:uid="{00000000-0006-0000-0300-00000C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8" authorId="0" shapeId="0" xr:uid="{00000000-0006-0000-0300-00000D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9" authorId="0" shapeId="0" xr:uid="{00000000-0006-0000-0300-00000E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G289" authorId="0" shapeId="0" xr:uid="{00000000-0006-0000-03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X289" authorId="0" shapeId="0" xr:uid="{00000000-0006-0000-03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I357" authorId="0" shapeId="0" xr:uid="{00000000-0006-0000-03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BB357" authorId="0" shapeId="0" xr:uid="{00000000-0006-0000-03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AC6" authorId="0" shapeId="0" xr:uid="{4ECCE43A-12B4-4C57-87F4-8657C1ECB65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1" shapeId="0" xr:uid="{159428A2-B542-45CE-8A2D-8410A34C02D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0" shapeId="0" xr:uid="{811C04FE-67AA-49A5-BE3F-D77800B23A7C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I6" authorId="2" shapeId="0" xr:uid="{38A9A98A-0464-450E-B02C-5A337D862E8D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M6" authorId="0" shapeId="0" xr:uid="{2DD2F675-2DAA-4AEB-B6FB-8B847C63069D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N6" authorId="0" shapeId="0" xr:uid="{EE9D7C07-C34B-4B8C-9BC7-4AB864247DFB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O6" authorId="0" shapeId="0" xr:uid="{145A03FD-A05D-4F21-A255-E515B0027117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P6" authorId="0" shapeId="0" xr:uid="{A02F248A-A9D7-4662-9F11-A0A3F50C02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C7" authorId="0" shapeId="0" xr:uid="{EB5CD399-9935-4A1C-96BE-865A7C24F1BB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7" authorId="0" shapeId="0" xr:uid="{C24EE30D-E6B4-4EBE-9631-25BD28DC7A1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6" authorId="0" shapeId="0" xr:uid="{8C066DAE-12E3-4F3E-B58E-54E778267192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08" authorId="0" shapeId="0" xr:uid="{8C679EC2-A5B4-429E-B0E3-784C591ED9EE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7" authorId="0" shapeId="0" xr:uid="{A3B11534-92DF-42DB-B756-23DB060E53FB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1" authorId="0" shapeId="0" xr:uid="{DFA4048E-78DA-404B-8BA5-CBCCB8AF17B1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61" authorId="0" shapeId="0" xr:uid="{5B0AD2EC-A160-4A44-81C9-91FCBCB0F5D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AA9" authorId="0" shapeId="0" xr:uid="{CB1136AD-ABA8-4B66-986F-698155844F7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9" authorId="1" shapeId="0" xr:uid="{0531CD14-EC5C-41A1-9CF7-5DEEA7D3E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9" authorId="0" shapeId="0" xr:uid="{B0E5B415-4823-4DC6-BDCB-68DE9A8A37E4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9" authorId="2" shapeId="0" xr:uid="{10977D77-E7B3-4192-89B2-71CE21EA52A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I9" authorId="0" shapeId="0" xr:uid="{25623430-9899-4A02-AF65-BEC4CB6D1A18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J9" authorId="0" shapeId="0" xr:uid="{527E5018-EB42-4A73-91DA-CB37AAAC93F4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K9" authorId="0" shapeId="0" xr:uid="{D6D6A225-199F-4E0C-A68F-3E89C3ECB95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L9" authorId="0" shapeId="0" xr:uid="{4F1B01B4-E4E0-401B-BB8D-C95F882E544A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C10" authorId="0" shapeId="0" xr:uid="{BF846BE8-E1EA-457F-A301-AA192436F8C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10" authorId="0" shapeId="0" xr:uid="{74576ACA-B45E-4325-A9AC-3642B078394D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AB6" authorId="0" shapeId="0" xr:uid="{FA71CA21-EC61-4557-A064-160D88ED9A9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" authorId="1" shapeId="0" xr:uid="{63112327-D6D0-4B73-BFB2-37678323D4D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6" authorId="0" shapeId="0" xr:uid="{285A31AB-7726-4C61-9C1F-6006607FF70A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H6" authorId="2" shapeId="0" xr:uid="{8FF1475C-EE05-4E93-9676-4ACDE8E6A53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L6" authorId="0" shapeId="0" xr:uid="{1221BBF4-2154-4399-815E-9C4AFC86A2C5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M6" authorId="0" shapeId="0" xr:uid="{960BB7AB-168E-4887-8202-28B918F803FB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N6" authorId="0" shapeId="0" xr:uid="{CBCBB06B-BA8A-43F5-B5E0-221C18ADB075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O6" authorId="0" shapeId="0" xr:uid="{B2D708FD-4C0C-456F-AD07-F78D4EF14C4F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7" authorId="0" shapeId="0" xr:uid="{DB23B6F8-E2E0-4029-BD13-7525F835BB9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1" authorId="0" shapeId="0" xr:uid="{4B056555-4266-4B65-BE21-80C22FEC68A2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6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M6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N6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O6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V6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Z6" authorId="0" shapeId="0" xr:uid="{00000000-0006-0000-04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BA6" authorId="0" shapeId="0" xr:uid="{00000000-0006-0000-04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B6" authorId="0" shapeId="0" xr:uid="{00000000-0006-0000-04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C6" authorId="0" shapeId="0" xr:uid="{00000000-0006-0000-04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7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W8" authorId="0" shapeId="0" xr:uid="{00000000-0006-0000-0400-00000B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8" authorId="1" shapeId="0" xr:uid="{00000000-0006-0000-0400-00000C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8" authorId="0" shapeId="0" xr:uid="{00000000-0006-0000-0400-00000D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9" authorId="0" shapeId="0" xr:uid="{00000000-0006-0000-0400-00000E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G289" authorId="0" shapeId="0" xr:uid="{00000000-0006-0000-04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X289" authorId="0" shapeId="0" xr:uid="{00000000-0006-0000-04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I357" authorId="0" shapeId="0" xr:uid="{00000000-0006-0000-04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BB357" authorId="0" shapeId="0" xr:uid="{00000000-0006-0000-04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R9" authorId="0" shapeId="0" xr:uid="{E3D95060-F1CA-4C53-B131-38BA763F4A79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9" authorId="1" shapeId="0" xr:uid="{37AC22BC-EE05-4CFE-AB87-8BAB0E1B4049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9" authorId="1" shapeId="0" xr:uid="{AA25442E-938C-4167-9839-2FCEC2175AB6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9" authorId="1" shapeId="0" xr:uid="{B6CEA8A5-6BD2-473E-8FD9-E9BB302573B3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9" authorId="1" shapeId="0" xr:uid="{C1205485-44A3-42E8-90DD-B9D732F9B952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<sst xmlns="http://schemas.openxmlformats.org/spreadsheetml/2006/main" count="4711" uniqueCount="1080">
  <si>
    <t>~FI_T</t>
  </si>
  <si>
    <t>TechName</t>
  </si>
  <si>
    <t>TechDesc</t>
  </si>
  <si>
    <t>Comm-IN</t>
  </si>
  <si>
    <t>Comm-OUT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</si>
  <si>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</si>
  <si>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</si>
  <si>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</si>
  <si>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</si>
  <si>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</si>
  <si>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</si>
  <si>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</si>
  <si>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</si>
  <si>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</si>
  <si>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</si>
  <si>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</si>
  <si>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</si>
  <si>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</si>
  <si>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</si>
  <si>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</si>
  <si>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</si>
  <si>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</si>
  <si>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</si>
  <si>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</si>
  <si>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</si>
  <si>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</si>
  <si>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</si>
  <si>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</si>
  <si>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</si>
  <si>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</si>
  <si>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</si>
  <si>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</si>
  <si>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</si>
  <si>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</si>
  <si>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</si>
  <si>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Starting Year</t>
  </si>
  <si>
    <t>INVCOST</t>
  </si>
  <si>
    <t>Investment Cost</t>
  </si>
  <si>
    <t>Fixed O&amp;M Cost</t>
  </si>
  <si>
    <t>Variable O&amp;M Cost</t>
  </si>
  <si>
    <t>Years</t>
  </si>
  <si>
    <t>ACT_BND</t>
  </si>
  <si>
    <t>DAYNITE</t>
  </si>
  <si>
    <t>FX</t>
  </si>
  <si>
    <t>NO</t>
  </si>
  <si>
    <t>COST</t>
  </si>
  <si>
    <t>NCAP_AFA</t>
  </si>
  <si>
    <t>NCAP_CHPR</t>
  </si>
  <si>
    <t>NCAP_TLIFE</t>
  </si>
  <si>
    <t>LIFE</t>
  </si>
  <si>
    <t>PRC_CAPACT</t>
  </si>
  <si>
    <t>PRC_RESID</t>
  </si>
  <si>
    <t>VDA_FLOP</t>
  </si>
  <si>
    <t>Emissions</t>
  </si>
  <si>
    <t>Region</t>
  </si>
  <si>
    <t>*Commodity Set Membership</t>
  </si>
  <si>
    <t>Region Name</t>
  </si>
  <si>
    <t>Sense of the Balance EQN.</t>
  </si>
  <si>
    <t>Timeslice Level</t>
  </si>
  <si>
    <t>NRG</t>
  </si>
  <si>
    <t>ENV</t>
  </si>
  <si>
    <t>TOTCO2</t>
  </si>
  <si>
    <t>CO2</t>
  </si>
  <si>
    <t>Coking coal</t>
  </si>
  <si>
    <t>TOTCH4</t>
  </si>
  <si>
    <t>CH4</t>
  </si>
  <si>
    <t>COABIC</t>
  </si>
  <si>
    <t>TOTN2O</t>
  </si>
  <si>
    <t>N2O</t>
  </si>
  <si>
    <t>COACOC</t>
  </si>
  <si>
    <t>Coke oven coke</t>
  </si>
  <si>
    <t>COACTA</t>
  </si>
  <si>
    <t>Coal tar</t>
  </si>
  <si>
    <t>COABKB</t>
  </si>
  <si>
    <t>BKB (brown coal briquettes)</t>
  </si>
  <si>
    <t>INDCO2</t>
  </si>
  <si>
    <t>CO2 (IND)</t>
  </si>
  <si>
    <t>OILCRD</t>
  </si>
  <si>
    <t>Crude Oil</t>
  </si>
  <si>
    <t>INDCH4</t>
  </si>
  <si>
    <t>CH4 (IND)</t>
  </si>
  <si>
    <t>OILNGL</t>
  </si>
  <si>
    <t>Natural gas liquids</t>
  </si>
  <si>
    <t>INDN2O</t>
  </si>
  <si>
    <t>N2O (IND)</t>
  </si>
  <si>
    <t>OILFDS</t>
  </si>
  <si>
    <t>Feedstocks</t>
  </si>
  <si>
    <t>OILRFG</t>
  </si>
  <si>
    <t>Refinery gas</t>
  </si>
  <si>
    <t>OILDSL</t>
  </si>
  <si>
    <t>Diesel</t>
  </si>
  <si>
    <t>OILGSL</t>
  </si>
  <si>
    <t>Gasoline</t>
  </si>
  <si>
    <t>OILGSA</t>
  </si>
  <si>
    <t>Aviation Gasoline</t>
  </si>
  <si>
    <t>OILLPG</t>
  </si>
  <si>
    <t>Liquified petroleum gas</t>
  </si>
  <si>
    <t>OILKER</t>
  </si>
  <si>
    <t>Kerosene</t>
  </si>
  <si>
    <t>OILNAP</t>
  </si>
  <si>
    <t>Naphtha</t>
  </si>
  <si>
    <t>OILPCK</t>
  </si>
  <si>
    <t>Petroleum Coke</t>
  </si>
  <si>
    <t>OILBIT</t>
  </si>
  <si>
    <t>Bitumen</t>
  </si>
  <si>
    <t>OILLUB</t>
  </si>
  <si>
    <t>Lubricants</t>
  </si>
  <si>
    <t>OILOTH</t>
  </si>
  <si>
    <t>Other petroleum products</t>
  </si>
  <si>
    <t>GASNAT</t>
  </si>
  <si>
    <t>Natural Gas</t>
  </si>
  <si>
    <t>GASBFG</t>
  </si>
  <si>
    <t>Blast Furnace Gas</t>
  </si>
  <si>
    <t>BIOLOG</t>
  </si>
  <si>
    <t>Wood</t>
  </si>
  <si>
    <t>BIOWMU</t>
  </si>
  <si>
    <t>Municipal waste</t>
  </si>
  <si>
    <t>BIOWID</t>
  </si>
  <si>
    <t>Industrial Waste</t>
  </si>
  <si>
    <t>BIOWAN</t>
  </si>
  <si>
    <t>Animal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</si>
  <si>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</si>
  <si>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</si>
  <si>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</si>
  <si>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</si>
  <si>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</si>
  <si>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</si>
  <si>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</si>
  <si>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</si>
  <si>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</si>
  <si>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</si>
  <si>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</si>
  <si>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</si>
  <si>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</si>
  <si>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</si>
  <si>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</si>
  <si>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</si>
  <si>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</si>
  <si>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</si>
  <si>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NUCLFL</t>
  </si>
  <si>
    <t>Nuclear Fuel</t>
  </si>
  <si>
    <t>INDCOABIC</t>
  </si>
  <si>
    <t>Other bituminous coal (IND)</t>
  </si>
  <si>
    <t>Lignite/Brown Coal  (IND)</t>
  </si>
  <si>
    <t>INDCOACOC</t>
  </si>
  <si>
    <t>Coke oven coke (IND)</t>
  </si>
  <si>
    <t>INDCOACTA</t>
  </si>
  <si>
    <t>Coal tar (IND)</t>
  </si>
  <si>
    <t>INDCOABKB</t>
  </si>
  <si>
    <t>BKB (brown coal briquettes) (IND)</t>
  </si>
  <si>
    <t>INDOILDSL</t>
  </si>
  <si>
    <t>Diesel (IND)</t>
  </si>
  <si>
    <t>INDOILGSL</t>
  </si>
  <si>
    <t>Gasoline (IND)</t>
  </si>
  <si>
    <t>INDOILLPG</t>
  </si>
  <si>
    <t>Liquified petroleum gas (IND)</t>
  </si>
  <si>
    <t>INDOILKER</t>
  </si>
  <si>
    <t>Kerosene (IND)</t>
  </si>
  <si>
    <t>INDOILNAP</t>
  </si>
  <si>
    <t>Naphtha (IND)</t>
  </si>
  <si>
    <t>INDOILPCK</t>
  </si>
  <si>
    <t>Petroleum Coke (IND)</t>
  </si>
  <si>
    <t>INDOILOTH</t>
  </si>
  <si>
    <t>Other petroleum products (IND)</t>
  </si>
  <si>
    <t>INDGASNAT</t>
  </si>
  <si>
    <t>Natural Gas (IND)</t>
  </si>
  <si>
    <t>INDGASBFG</t>
  </si>
  <si>
    <t>Blast Furnace Gas (IND)</t>
  </si>
  <si>
    <t>INDBIOLOG</t>
  </si>
  <si>
    <t>Wood (IND)</t>
  </si>
  <si>
    <t>INDBIOWMU</t>
  </si>
  <si>
    <t>Municipal waste (IND)</t>
  </si>
  <si>
    <t>INDBIOWID</t>
  </si>
  <si>
    <t>Industrial Waste (IND)</t>
  </si>
  <si>
    <t>INDBIOETH</t>
  </si>
  <si>
    <t>Pure Bioethanol (IND)</t>
  </si>
  <si>
    <t>INDBIODSL</t>
  </si>
  <si>
    <t>Biodiesel (IND)</t>
  </si>
  <si>
    <t>Bioethanol (IND)</t>
  </si>
  <si>
    <t>INDBIOBGS</t>
  </si>
  <si>
    <t>Biogas (IND)</t>
  </si>
  <si>
    <t>INDBIOPLT</t>
  </si>
  <si>
    <t>Pellet (IND)</t>
  </si>
  <si>
    <t>INDBIOCHR</t>
  </si>
  <si>
    <t>Charcoal (IND)</t>
  </si>
  <si>
    <t>INDRESHYD</t>
  </si>
  <si>
    <t>Hydro Energy (IND)</t>
  </si>
  <si>
    <t>INDRESSOL</t>
  </si>
  <si>
    <t>Solar Energy (IND)</t>
  </si>
  <si>
    <t>INDRESWIN</t>
  </si>
  <si>
    <t>Wind Energy (IND)</t>
  </si>
  <si>
    <t>INDRESGEO</t>
  </si>
  <si>
    <t>Geothermal Energy (IND)</t>
  </si>
  <si>
    <t>ELCHIG</t>
  </si>
  <si>
    <t>High Voltage electricity after losses</t>
  </si>
  <si>
    <t>ELCHIGG</t>
  </si>
  <si>
    <t>High Voltage electricity before Losses</t>
  </si>
  <si>
    <t>SUPELC</t>
  </si>
  <si>
    <t>Electricity (SUP)</t>
  </si>
  <si>
    <t>INDELC</t>
  </si>
  <si>
    <t>Electricity (IND)</t>
  </si>
  <si>
    <t>ELCMLO</t>
  </si>
  <si>
    <t>Medium-Low Voltage electricity</t>
  </si>
  <si>
    <t>Default Units</t>
  </si>
  <si>
    <t>BASE_YEAR</t>
  </si>
  <si>
    <t>Energy</t>
  </si>
  <si>
    <t>PJ</t>
  </si>
  <si>
    <t>END_YEAR</t>
  </si>
  <si>
    <t>Capacity</t>
  </si>
  <si>
    <t>Currency Unit</t>
  </si>
  <si>
    <t>Gg</t>
  </si>
  <si>
    <t>Units by Attribute and Sector</t>
  </si>
  <si>
    <t>Attribute</t>
  </si>
  <si>
    <t>Meaning</t>
  </si>
  <si>
    <t>Sector</t>
  </si>
  <si>
    <t>Units</t>
  </si>
  <si>
    <t>Equivalent</t>
  </si>
  <si>
    <t>Transport</t>
  </si>
  <si>
    <t>Technical Lifetime</t>
  </si>
  <si>
    <t>All</t>
  </si>
  <si>
    <t>COMEMI</t>
  </si>
  <si>
    <t>Emission Coefficient</t>
  </si>
  <si>
    <t>kg/GJ</t>
  </si>
  <si>
    <t>Annual Bound</t>
  </si>
  <si>
    <t>GW</t>
  </si>
  <si>
    <t>* Definition of the Processes used in this worksheet</t>
  </si>
  <si>
    <t>Processes</t>
  </si>
  <si>
    <t>*TechDesc</t>
  </si>
  <si>
    <t>*Process Set Membership</t>
  </si>
  <si>
    <t>TimeSlice level of Process Activity</t>
  </si>
  <si>
    <t>Primary Commodity Group</t>
  </si>
  <si>
    <t>*Units</t>
  </si>
  <si>
    <t>N</t>
  </si>
  <si>
    <t>YEAR</t>
  </si>
  <si>
    <t>* Technology Name</t>
  </si>
  <si>
    <t>DEM</t>
  </si>
  <si>
    <t>Capacity to Activity</t>
  </si>
  <si>
    <t>GJ/kW</t>
  </si>
  <si>
    <t>Existing Capacity</t>
  </si>
  <si>
    <t>000s Units</t>
  </si>
  <si>
    <t>Energy/Unit - delivered/year</t>
  </si>
  <si>
    <t>Generic processes</t>
  </si>
  <si>
    <t>PJa</t>
  </si>
  <si>
    <t>Materials</t>
  </si>
  <si>
    <t>kt</t>
  </si>
  <si>
    <t>volume</t>
  </si>
  <si>
    <t>cm</t>
  </si>
  <si>
    <t>Extraction cost/Import Cost/Export cost</t>
  </si>
  <si>
    <t>Mining</t>
  </si>
  <si>
    <t>Material cost etc.</t>
  </si>
  <si>
    <t>Input</t>
  </si>
  <si>
    <t>Unit Consumption</t>
  </si>
  <si>
    <t>For PRCs with Material as Output</t>
  </si>
  <si>
    <t>Cost for Material</t>
  </si>
  <si>
    <t>Capacity for Materials</t>
  </si>
  <si>
    <t>kta</t>
  </si>
  <si>
    <t>INDFBT</t>
  </si>
  <si>
    <t>Food and Tabacco</t>
  </si>
  <si>
    <t>INDOTH</t>
  </si>
  <si>
    <t>INDCEM</t>
  </si>
  <si>
    <t>Cement</t>
  </si>
  <si>
    <t>INDONM</t>
  </si>
  <si>
    <t>Other Non-Metallic</t>
  </si>
  <si>
    <t>INDNED</t>
  </si>
  <si>
    <t>Non-Energy Demand</t>
  </si>
  <si>
    <t>INDOILHFO</t>
  </si>
  <si>
    <t>INDFBTHPR</t>
  </si>
  <si>
    <t>INDOTHHPR</t>
  </si>
  <si>
    <t>INDFBTMCD</t>
  </si>
  <si>
    <t>INDOTHMCD</t>
  </si>
  <si>
    <t>INDFBTOEN</t>
  </si>
  <si>
    <t>INDOTHOEN</t>
  </si>
  <si>
    <t>PRE</t>
  </si>
  <si>
    <t>Output</t>
  </si>
  <si>
    <t>ST</t>
  </si>
  <si>
    <t>IM</t>
  </si>
  <si>
    <t>AD</t>
  </si>
  <si>
    <t>DMD</t>
  </si>
  <si>
    <t>Input per unit output</t>
  </si>
  <si>
    <t>Non Energy Use Standard</t>
  </si>
  <si>
    <t>*Technology Name</t>
  </si>
  <si>
    <t>*</t>
  </si>
  <si>
    <t>* Definition of the Commodities used in this workbook</t>
  </si>
  <si>
    <t>Other Industry</t>
  </si>
  <si>
    <t>Mt</t>
  </si>
  <si>
    <t>INDFBTSTM</t>
  </si>
  <si>
    <t>INDOTHSTM</t>
  </si>
  <si>
    <t>INDONMSTM</t>
  </si>
  <si>
    <t>INDONMHPR</t>
  </si>
  <si>
    <t>INDONMMCD</t>
  </si>
  <si>
    <t>INDONMOEN</t>
  </si>
  <si>
    <t>INDCEMPRC</t>
  </si>
  <si>
    <t>Industry: Non-Energy Uses Processes</t>
  </si>
  <si>
    <t>Pja</t>
  </si>
  <si>
    <t>New Technologies for Other Industry</t>
  </si>
  <si>
    <t xml:space="preserve"> </t>
  </si>
  <si>
    <t>Cap2Act</t>
  </si>
  <si>
    <t>AFA</t>
  </si>
  <si>
    <t>New Technologies for FBT Industry</t>
  </si>
  <si>
    <t>New Technologies for Other Non Metallic Minerals</t>
  </si>
  <si>
    <t>Cement production</t>
  </si>
  <si>
    <t>Mt/year</t>
  </si>
  <si>
    <t>CHP</t>
  </si>
  <si>
    <t>Efficiency</t>
  </si>
  <si>
    <t>Availability Factor</t>
  </si>
  <si>
    <t>Technical Lifetime of Process</t>
  </si>
  <si>
    <t>[ 0 -1 ]</t>
  </si>
  <si>
    <t>PEAK</t>
  </si>
  <si>
    <t>~FI_Comm</t>
  </si>
  <si>
    <t>\I: Commodity Set Membership</t>
  </si>
  <si>
    <t>Balance Equ Type Override</t>
  </si>
  <si>
    <t>Timeslice Tracking Level</t>
  </si>
  <si>
    <t>* Definition of the Processes and commodities used in this worksheet</t>
  </si>
  <si>
    <t>kt-a</t>
  </si>
  <si>
    <t>\I: Units</t>
  </si>
  <si>
    <t>Comm-IN-A</t>
  </si>
  <si>
    <t>INDSCO2N</t>
  </si>
  <si>
    <t>INDSSCO2N</t>
  </si>
  <si>
    <t>Dum commodity produced from IND for CO2 Storage</t>
  </si>
  <si>
    <t>Dum commodity produced from IND for CO2 Capture</t>
  </si>
  <si>
    <t>PJ/kton</t>
  </si>
  <si>
    <t>[0-1]</t>
  </si>
  <si>
    <t>SHARE-I~FX</t>
  </si>
  <si>
    <t>ENVI</t>
  </si>
  <si>
    <t>Industry: Iron and Steel Processes</t>
  </si>
  <si>
    <t>INDISTCHPE_00</t>
  </si>
  <si>
    <t>INDIST</t>
  </si>
  <si>
    <t>English</t>
  </si>
  <si>
    <t>Source</t>
  </si>
  <si>
    <t>Capacity to Activity Factor</t>
  </si>
  <si>
    <t>On-site CHP Iron&amp;Steel NEW Standard</t>
  </si>
  <si>
    <t>On-site CHP Iron&amp;Steel NEW Improved</t>
  </si>
  <si>
    <t>On-site CHP Iron&amp;Steel NEW Advanced</t>
  </si>
  <si>
    <t>Boilers Iron&amp;Steel NEW Standard</t>
  </si>
  <si>
    <t>Boilers Iron&amp;Steel NEW Improved</t>
  </si>
  <si>
    <t>Boilers Iron&amp;Steel NEW Advanced</t>
  </si>
  <si>
    <t>Crude Steel Production Standard</t>
  </si>
  <si>
    <t>Crude Steel Production Improved</t>
  </si>
  <si>
    <t>Finishing Steel Production Standard</t>
  </si>
  <si>
    <t>Finishing Steel Production Improved</t>
  </si>
  <si>
    <t>Finishing Steel Production Advanced</t>
  </si>
  <si>
    <t>Industry: Iron and Steel Boilers</t>
  </si>
  <si>
    <t>FLO_SHAR~UP</t>
  </si>
  <si>
    <t>[0 -1]</t>
  </si>
  <si>
    <t>Industry: Iron and Steel On-site CHP</t>
  </si>
  <si>
    <t>VDA_CEH</t>
  </si>
  <si>
    <t>Industry: Non-Ferrous Metals Processes</t>
  </si>
  <si>
    <t>INDNFM</t>
  </si>
  <si>
    <t>On-site CHP Non Ferrous Metals NEW Standard</t>
  </si>
  <si>
    <t>On-site CHP Non Ferrous Metals NEW Improved</t>
  </si>
  <si>
    <t>On-site CHP Non Ferrous Metals NEW Advanced</t>
  </si>
  <si>
    <t>Boilers Non Ferrous Metals NEW Standard</t>
  </si>
  <si>
    <t>Boilers Non Ferrous Metals NEW Improved</t>
  </si>
  <si>
    <t>Boilers Non Ferrous Metals NEW Advanced</t>
  </si>
  <si>
    <t>Primary Copper Production Standard</t>
  </si>
  <si>
    <t>Primary Copper Production Improved</t>
  </si>
  <si>
    <t>Primary Copper Production Advanced</t>
  </si>
  <si>
    <t>Secondary Copper Production Standard</t>
  </si>
  <si>
    <t>Secondary Copper Production Improved</t>
  </si>
  <si>
    <t>Secondary Copper Production Advanced</t>
  </si>
  <si>
    <t>Finishing Copper Production Standard</t>
  </si>
  <si>
    <t>Finishing Copper Production Improved</t>
  </si>
  <si>
    <t>Finishing Copper Production Advanced</t>
  </si>
  <si>
    <t>Lead Production Standard</t>
  </si>
  <si>
    <t>Lead Production Improved</t>
  </si>
  <si>
    <t>Lead Production Advanced</t>
  </si>
  <si>
    <t>Zinc Production Standard</t>
  </si>
  <si>
    <t>Zinc Production Improved</t>
  </si>
  <si>
    <t>Zinc Production Advanced</t>
  </si>
  <si>
    <t>Other Non-Ferrous Production Standard</t>
  </si>
  <si>
    <t>Other Non-Ferrous Production Improved</t>
  </si>
  <si>
    <t>Other Non-Ferrous Production Advanced</t>
  </si>
  <si>
    <t>Industry: Non Ferrous Metals Boilers</t>
  </si>
  <si>
    <t>Industry: Non Ferrous Metals Boilers On-site CHP</t>
  </si>
  <si>
    <t>Industry: PCH Processes</t>
  </si>
  <si>
    <t>INDPCH</t>
  </si>
  <si>
    <t>Relaxation for Low Shares</t>
  </si>
  <si>
    <t>FLO_SHAR~LO~2050</t>
  </si>
  <si>
    <t>On-site CHP PCH NEW Standard</t>
  </si>
  <si>
    <t>On-site CHP PCH NEW Improved</t>
  </si>
  <si>
    <t>On-site CHP PCH NEW Advanced</t>
  </si>
  <si>
    <t>Boilers PCH NEW Standard</t>
  </si>
  <si>
    <t>Boilers PCH NEW Improved</t>
  </si>
  <si>
    <t>Boilers PCH NEW Advanced</t>
  </si>
  <si>
    <t>Fertlizers Standard</t>
  </si>
  <si>
    <t>Fertlizers Improved</t>
  </si>
  <si>
    <t>Fertlizers Advanced</t>
  </si>
  <si>
    <t>Petrochemicals Standard</t>
  </si>
  <si>
    <t>Petrochemicals Improved</t>
  </si>
  <si>
    <t>Petrochemicals Advanced</t>
  </si>
  <si>
    <t>Other Agriculture Chemicalsn Standard</t>
  </si>
  <si>
    <t>Other Agriculture Chemicalsn Improved</t>
  </si>
  <si>
    <t>Other Agriculture Chemicalsn Advanced</t>
  </si>
  <si>
    <t>Other Chemicals Standard</t>
  </si>
  <si>
    <t>Other Chemicals Improved</t>
  </si>
  <si>
    <t>Other Chemicals Advanced</t>
  </si>
  <si>
    <t>Industry: PCH Boilers</t>
  </si>
  <si>
    <t>FLO_SHAR~LO</t>
  </si>
  <si>
    <t>Industry: PCH On-site CHP</t>
  </si>
  <si>
    <t>Industry: MIQ Processes</t>
  </si>
  <si>
    <t>INDMIQ</t>
  </si>
  <si>
    <t>Industry: CON Processes</t>
  </si>
  <si>
    <t>INDCON</t>
  </si>
  <si>
    <t>Construction Standard</t>
  </si>
  <si>
    <t>Construction Improved</t>
  </si>
  <si>
    <t>Construction Advanced</t>
  </si>
  <si>
    <t>INDNFMHTH</t>
  </si>
  <si>
    <t>MATCRE</t>
  </si>
  <si>
    <t>MATCSR</t>
  </si>
  <si>
    <t>MATSCP</t>
  </si>
  <si>
    <t>MATPCP</t>
  </si>
  <si>
    <t>MATLRE</t>
  </si>
  <si>
    <t>MATZRE</t>
  </si>
  <si>
    <t>MATONF</t>
  </si>
  <si>
    <t>INDCOP</t>
  </si>
  <si>
    <t>INDLED</t>
  </si>
  <si>
    <t>INDZNC</t>
  </si>
  <si>
    <t>INDONF</t>
  </si>
  <si>
    <t>INDISTHTH</t>
  </si>
  <si>
    <t>PJ/GW</t>
  </si>
  <si>
    <t>INDFER</t>
  </si>
  <si>
    <t>INDACH</t>
  </si>
  <si>
    <t>INDOCH</t>
  </si>
  <si>
    <t>INDPCHHTH</t>
  </si>
  <si>
    <t>CCS for Steel-Cement-Petrolchemical industry</t>
  </si>
  <si>
    <t>New Technologies for CCS in IST-CEM-PCH industry (See corresponding scenario file)</t>
  </si>
  <si>
    <t>INDCOASUB</t>
  </si>
  <si>
    <t>COASUB</t>
  </si>
  <si>
    <t>COABCO</t>
  </si>
  <si>
    <t>MATCNK</t>
  </si>
  <si>
    <t>INDCOABCO</t>
  </si>
  <si>
    <t>MATORE</t>
  </si>
  <si>
    <t>MATRIR</t>
  </si>
  <si>
    <t>MATPIR</t>
  </si>
  <si>
    <t>MATCST</t>
  </si>
  <si>
    <t>INDFST</t>
  </si>
  <si>
    <t>CCS_Dummy_IND</t>
  </si>
  <si>
    <t>Dummy Technology_IND</t>
  </si>
  <si>
    <t>M$</t>
  </si>
  <si>
    <t>$/GJ</t>
  </si>
  <si>
    <t>$/GJ/a</t>
  </si>
  <si>
    <t>M$/GW/Year</t>
  </si>
  <si>
    <t>M$/PJ</t>
  </si>
  <si>
    <t>M$/GW</t>
  </si>
  <si>
    <t>$/kW</t>
  </si>
  <si>
    <t>$/KW/Year</t>
  </si>
  <si>
    <t>M$/PJ/a</t>
  </si>
  <si>
    <t>USD/GW</t>
  </si>
  <si>
    <t>USD/kj/year</t>
  </si>
  <si>
    <t>M$/Mt/a</t>
  </si>
  <si>
    <t>USD/kW</t>
  </si>
  <si>
    <t>MUSD/kt per year</t>
  </si>
  <si>
    <t>Sub-bituminous</t>
  </si>
  <si>
    <t>COACCL</t>
  </si>
  <si>
    <t>Other bituminous coal</t>
  </si>
  <si>
    <t xml:space="preserve">Lignite/Brown Coal </t>
  </si>
  <si>
    <t>OILHFO1</t>
  </si>
  <si>
    <t>Low Sulphur Fuel Oil</t>
  </si>
  <si>
    <t>OILHFO2</t>
  </si>
  <si>
    <t>High Sulphur Fuel Oil</t>
  </si>
  <si>
    <t>OILOIS</t>
  </si>
  <si>
    <t>Oil Shale</t>
  </si>
  <si>
    <t>OILSHO</t>
  </si>
  <si>
    <t>Shale Oil</t>
  </si>
  <si>
    <t>BIOLOGA</t>
  </si>
  <si>
    <t>Agricultural residues</t>
  </si>
  <si>
    <t>BIOLOGF</t>
  </si>
  <si>
    <t>Forrest residues</t>
  </si>
  <si>
    <t>BIOWCO</t>
  </si>
  <si>
    <t>Waste cooking oils</t>
  </si>
  <si>
    <t>BIOBST</t>
  </si>
  <si>
    <t>Starch Crops</t>
  </si>
  <si>
    <t>BIOBGC</t>
  </si>
  <si>
    <t>Grass Crops (millet and Jerusalem artichoke)</t>
  </si>
  <si>
    <t>BIOBOS</t>
  </si>
  <si>
    <t>Oilseed Crops</t>
  </si>
  <si>
    <t>Pure Bioethanol</t>
  </si>
  <si>
    <t>BIORME</t>
  </si>
  <si>
    <t>RME</t>
  </si>
  <si>
    <t>BIOHVO</t>
  </si>
  <si>
    <t>HVO</t>
  </si>
  <si>
    <t>BIODME</t>
  </si>
  <si>
    <t>DME</t>
  </si>
  <si>
    <t>BIORPS</t>
  </si>
  <si>
    <t>Rape seed oil</t>
  </si>
  <si>
    <t>RSVCOASUB</t>
  </si>
  <si>
    <t>Sub-bituminous (RSV)</t>
  </si>
  <si>
    <t>RSVCOABIC</t>
  </si>
  <si>
    <t>Other bituminous coal (RSV)</t>
  </si>
  <si>
    <t>RSVCOABCO</t>
  </si>
  <si>
    <t>Lignite/Brown Coal (RSV)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</si>
  <si>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</si>
  <si>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</si>
  <si>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</si>
  <si>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</si>
  <si>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</si>
  <si>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</si>
  <si>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PIDGASNAT</t>
  </si>
  <si>
    <t>N. Gas Distribution (PID)</t>
  </si>
  <si>
    <t>RSVGASNAT</t>
  </si>
  <si>
    <t>N. Gas (RSV)</t>
  </si>
  <si>
    <t>STGCOABCO</t>
  </si>
  <si>
    <t>Lignite/Brown Coal (STG)</t>
  </si>
  <si>
    <t>STGOILCRD</t>
  </si>
  <si>
    <t>Crude Oil (STG)</t>
  </si>
  <si>
    <t>STGGASNAT</t>
  </si>
  <si>
    <t>N. Gas (STG)</t>
  </si>
  <si>
    <t>SUPCOASUB</t>
  </si>
  <si>
    <t>Sub-bituminous (SUP)</t>
  </si>
  <si>
    <t>SUPCOACCL</t>
  </si>
  <si>
    <t>Coking coal (SUP)</t>
  </si>
  <si>
    <t>SUPCOABIC</t>
  </si>
  <si>
    <t>Other bituminous coal (SUP)</t>
  </si>
  <si>
    <t>SUPCOABCO</t>
  </si>
  <si>
    <t>Lignite/Brown Coal  (SUP)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</si>
  <si>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</si>
  <si>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</si>
  <si>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</si>
  <si>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</si>
  <si>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</si>
  <si>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</si>
  <si>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</si>
  <si>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</si>
  <si>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</si>
  <si>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</si>
  <si>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</si>
  <si>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</si>
  <si>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</si>
  <si>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</si>
  <si>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</si>
  <si>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</si>
  <si>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</si>
  <si>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</si>
  <si>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</si>
  <si>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</si>
  <si>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SUPOILHFO1</t>
  </si>
  <si>
    <t>Low Sulphur Fuel Oil (SUP)</t>
  </si>
  <si>
    <t>SUPOILHFO2</t>
  </si>
  <si>
    <t>High Sulphur Fuel Oil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</si>
  <si>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</si>
  <si>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</si>
  <si>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</si>
  <si>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</si>
  <si>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</si>
  <si>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</si>
  <si>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</si>
  <si>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</si>
  <si>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</si>
  <si>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</si>
  <si>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</si>
  <si>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</si>
  <si>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</si>
  <si>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</si>
  <si>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</si>
  <si>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</si>
  <si>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</si>
  <si>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</si>
  <si>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SUPBIOLOGA</t>
  </si>
  <si>
    <t>Agricultural residues (SUP)</t>
  </si>
  <si>
    <t>SUPBIOLOGF</t>
  </si>
  <si>
    <t>Forrest residues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</si>
  <si>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</si>
  <si>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</si>
  <si>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</si>
  <si>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</si>
  <si>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</si>
  <si>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</si>
  <si>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</si>
  <si>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</si>
  <si>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</si>
  <si>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</si>
  <si>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</si>
  <si>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</si>
  <si>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</si>
  <si>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</si>
  <si>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</si>
  <si>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</si>
  <si>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</si>
  <si>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</si>
  <si>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</si>
  <si>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</si>
  <si>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</si>
  <si>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</si>
  <si>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</si>
  <si>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</si>
  <si>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</si>
  <si>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</si>
  <si>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</si>
  <si>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</si>
  <si>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</si>
  <si>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</si>
  <si>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</si>
  <si>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</si>
  <si>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</si>
  <si>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</si>
  <si>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</si>
  <si>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Sub-bituminous (IND)</t>
  </si>
  <si>
    <t>INDCOACCL</t>
  </si>
  <si>
    <t>Coking coal (IND)</t>
  </si>
  <si>
    <t>INDOILRFG</t>
  </si>
  <si>
    <t>Refinery gas (IND)</t>
  </si>
  <si>
    <t>INDOILHFO1</t>
  </si>
  <si>
    <t>Low Sulphur Fuel Oil (IND)</t>
  </si>
  <si>
    <t>INDOILHFO2</t>
  </si>
  <si>
    <t>High Sulphur Fuel Oil (IND)</t>
  </si>
  <si>
    <t>INDBIOLOGA</t>
  </si>
  <si>
    <t>Agricultural residues (IND)</t>
  </si>
  <si>
    <t>INDBIOLOGF</t>
  </si>
  <si>
    <t>Forrest residues (IND)</t>
  </si>
  <si>
    <t>INDBIOWAN</t>
  </si>
  <si>
    <t>Animal waste (IND)</t>
  </si>
  <si>
    <t>INDBIOWCO</t>
  </si>
  <si>
    <t>Waste cooking oils (IND)</t>
  </si>
  <si>
    <t>RSDCOASUB</t>
  </si>
  <si>
    <t>Sub-bituminous (RSD)</t>
  </si>
  <si>
    <t>RSDCOACCL</t>
  </si>
  <si>
    <t>Coking coal (RSD)</t>
  </si>
  <si>
    <t>RSDCOABIC</t>
  </si>
  <si>
    <t>Other bituminous coal (RSD)</t>
  </si>
  <si>
    <t>RSDCOABCO</t>
  </si>
  <si>
    <t>Lignite/Brown Coal  (RSD)</t>
  </si>
  <si>
    <t>RSDCOACOC</t>
  </si>
  <si>
    <t>Coke oven coke (RSD)</t>
  </si>
  <si>
    <t>RSDCOACTA</t>
  </si>
  <si>
    <t>Coal tar (RSD)</t>
  </si>
  <si>
    <t>RSDCOABKB</t>
  </si>
  <si>
    <t>BKB (brown coal briquettes) (RSD)</t>
  </si>
  <si>
    <t>RSDOILRFG</t>
  </si>
  <si>
    <t>Refinery gas (RSD)</t>
  </si>
  <si>
    <t>RSDOILDSL</t>
  </si>
  <si>
    <t>Diesel (RSD)</t>
  </si>
  <si>
    <t>RSDOILGSL</t>
  </si>
  <si>
    <t>Gasoline (RSD)</t>
  </si>
  <si>
    <t>RSDOILLPG</t>
  </si>
  <si>
    <t>Liquified petroleum gas (RSD)</t>
  </si>
  <si>
    <t>RSDOILHFO1</t>
  </si>
  <si>
    <t>Low Sulphur Fuel Oil (RSD)</t>
  </si>
  <si>
    <t>RSDOILHFO2</t>
  </si>
  <si>
    <t>High Sulphur Fuel Oil (RSD)</t>
  </si>
  <si>
    <t>RSDOILKER</t>
  </si>
  <si>
    <t>Kerosene (RSD)</t>
  </si>
  <si>
    <t>RSDOILOTH</t>
  </si>
  <si>
    <t>Other petroleum products (RSD)</t>
  </si>
  <si>
    <t>RSDGASNAT</t>
  </si>
  <si>
    <t>Natural Gas (RSD)</t>
  </si>
  <si>
    <t>RSDBIOLOG</t>
  </si>
  <si>
    <t>Wood (RSD)</t>
  </si>
  <si>
    <t>RSDBIOLOGA</t>
  </si>
  <si>
    <t>Agricultural residues (RSD)</t>
  </si>
  <si>
    <t>RSDBIOLOGF</t>
  </si>
  <si>
    <t>Forrest residues (RSD)</t>
  </si>
  <si>
    <t>RSDBIOWMU</t>
  </si>
  <si>
    <t>Municipal waste (RSD)</t>
  </si>
  <si>
    <t>RSDBIOWAN</t>
  </si>
  <si>
    <t>Animal waste (RSD)</t>
  </si>
  <si>
    <t>RSDBIOWCO</t>
  </si>
  <si>
    <t>Waste cooking oils (RSD)</t>
  </si>
  <si>
    <t>RSDBIOETH</t>
  </si>
  <si>
    <t>Pure Bioethanol (RSD)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</si>
  <si>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</si>
  <si>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</si>
  <si>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</si>
  <si>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</si>
  <si>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</si>
  <si>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</si>
  <si>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</si>
  <si>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</si>
  <si>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</si>
  <si>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RSDRESHYD</t>
  </si>
  <si>
    <t>Hydro Energy (RSD)</t>
  </si>
  <si>
    <t>RSDRESSOL</t>
  </si>
  <si>
    <t>Solar Energy (RSD)</t>
  </si>
  <si>
    <t>RSDRESWIN</t>
  </si>
  <si>
    <t>Wind Energy (RSD)</t>
  </si>
  <si>
    <t>RSDRESGEO</t>
  </si>
  <si>
    <t>Geothermal Energy (RSD)</t>
  </si>
  <si>
    <t>COMCOASUB</t>
  </si>
  <si>
    <t>Sub-bituminous (COM)</t>
  </si>
  <si>
    <t>COMCOACCL</t>
  </si>
  <si>
    <t>Coking coal (COM)</t>
  </si>
  <si>
    <t>COMCOABIC</t>
  </si>
  <si>
    <t>Other bituminous coal (COM)</t>
  </si>
  <si>
    <t>COMCOABCO</t>
  </si>
  <si>
    <t>Lignite/Brown Coal  (COM)</t>
  </si>
  <si>
    <t>COMCOACOC</t>
  </si>
  <si>
    <t>Coke oven coke (COM)</t>
  </si>
  <si>
    <t>COMCOACTA</t>
  </si>
  <si>
    <t>Coal tar (COM)</t>
  </si>
  <si>
    <t>COMCOABKB</t>
  </si>
  <si>
    <t>BKB (brown coal briquettes) (COM)</t>
  </si>
  <si>
    <t>COMOILRFG</t>
  </si>
  <si>
    <t>Refinery gas (COM)</t>
  </si>
  <si>
    <t>COMOILDSL</t>
  </si>
  <si>
    <t>Diesel (COM)</t>
  </si>
  <si>
    <t>COMOILGSL</t>
  </si>
  <si>
    <t>Gasoline (COM)</t>
  </si>
  <si>
    <t>COMOILLPG</t>
  </si>
  <si>
    <t>Liquified petroleum gas (COM)</t>
  </si>
  <si>
    <t>COMOILHFO1</t>
  </si>
  <si>
    <t>Low Sulphur Fuel Oil (COM)</t>
  </si>
  <si>
    <t>COMOILHFO2</t>
  </si>
  <si>
    <t>High Sulphur Fuel Oil (COM)</t>
  </si>
  <si>
    <t>COMOILKER</t>
  </si>
  <si>
    <t>Kerosene (COM)</t>
  </si>
  <si>
    <t>COMOILOTH</t>
  </si>
  <si>
    <t>Other petroleum products (COM)</t>
  </si>
  <si>
    <t>COMGASNAT</t>
  </si>
  <si>
    <t>Natural Gas (COM)</t>
  </si>
  <si>
    <t>COMBIOLOG</t>
  </si>
  <si>
    <t>Wood (COM)</t>
  </si>
  <si>
    <t>COMBIOLOGA</t>
  </si>
  <si>
    <t>Agricultural residues (COM)</t>
  </si>
  <si>
    <t>COMBIOLOGF</t>
  </si>
  <si>
    <t>Forrest residues (COM)</t>
  </si>
  <si>
    <t>COMBIOWMU</t>
  </si>
  <si>
    <t>Municipal waste (COM)</t>
  </si>
  <si>
    <t>COMBIOWAN</t>
  </si>
  <si>
    <t>Animal waste (COM)</t>
  </si>
  <si>
    <t>COMBIOWCO</t>
  </si>
  <si>
    <t>Waste cooking oils (COM)</t>
  </si>
  <si>
    <t>COMBIOETH</t>
  </si>
  <si>
    <t>Pure Bioethanol (COM)</t>
  </si>
  <si>
    <t>COMBIODSL</t>
  </si>
  <si>
    <t>Biodiesel (COM)</t>
  </si>
  <si>
    <t>Bioethanol (COM)</t>
  </si>
  <si>
    <t>COMBIOBGS</t>
  </si>
  <si>
    <t>Biogas (COM)</t>
  </si>
  <si>
    <t>COMBIOPLT</t>
  </si>
  <si>
    <t>Pellet (COM)</t>
  </si>
  <si>
    <t>COMBIOCHR</t>
  </si>
  <si>
    <t>Charcoal (COM)</t>
  </si>
  <si>
    <t>COMRESHYD</t>
  </si>
  <si>
    <t>Hydro Energy (COM)</t>
  </si>
  <si>
    <t>COMRESSOL</t>
  </si>
  <si>
    <t>Solar Energy (COM)</t>
  </si>
  <si>
    <t>COMRESWIN</t>
  </si>
  <si>
    <t>Wind Energy (COM)</t>
  </si>
  <si>
    <t>COMRESGEO</t>
  </si>
  <si>
    <t>Geothermal Energy (COM)</t>
  </si>
  <si>
    <t>AGRCOASUB</t>
  </si>
  <si>
    <t>Sub-bituminous (AGR)</t>
  </si>
  <si>
    <t>AGRCOACCL</t>
  </si>
  <si>
    <t>Coking coal (AGR)</t>
  </si>
  <si>
    <t>AGRCOABIC</t>
  </si>
  <si>
    <t>Other bituminous coal (AGR)</t>
  </si>
  <si>
    <t>AGRCOABCO</t>
  </si>
  <si>
    <t>Lignite/Brown Coal  (AGR)</t>
  </si>
  <si>
    <t>AGRCOACOC</t>
  </si>
  <si>
    <t>Coke oven coke (AGR)</t>
  </si>
  <si>
    <t>AGRCOACTA</t>
  </si>
  <si>
    <t>Coal tar (AGR)</t>
  </si>
  <si>
    <t>AGRCOABKB</t>
  </si>
  <si>
    <t>BKB (brown coal briquettes) (AGR)</t>
  </si>
  <si>
    <t>AGROILRFG</t>
  </si>
  <si>
    <t>Refinery gas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</si>
  <si>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</si>
  <si>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</si>
  <si>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</si>
  <si>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</si>
  <si>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</si>
  <si>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</si>
  <si>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AGROILHFO1</t>
  </si>
  <si>
    <t>Low Sulphur Fuel Oil (AGR)</t>
  </si>
  <si>
    <t>AGROILHFO2</t>
  </si>
  <si>
    <t>High Sulphur Fuel Oil (AGR)</t>
  </si>
  <si>
    <t>AGROILKER</t>
  </si>
  <si>
    <t>Kerosene (AGR)</t>
  </si>
  <si>
    <t>AGROILOTH</t>
  </si>
  <si>
    <t>Other petroleum products (AGR)</t>
  </si>
  <si>
    <t>AGRGASNAT</t>
  </si>
  <si>
    <t>Natural Gas (AGR)</t>
  </si>
  <si>
    <t>AGRBIOLOG</t>
  </si>
  <si>
    <t>Wood (AGR)</t>
  </si>
  <si>
    <t>AGRBIOLOGA</t>
  </si>
  <si>
    <t>Agricultural residues (AGR)</t>
  </si>
  <si>
    <t>AGRBIOLOGF</t>
  </si>
  <si>
    <t>Forrest residues (AGR)</t>
  </si>
  <si>
    <t>AGRBIOWMU</t>
  </si>
  <si>
    <t>Municipal waste (AGR)</t>
  </si>
  <si>
    <t>AGRBIOWAN</t>
  </si>
  <si>
    <t>Animal waste (AGR)</t>
  </si>
  <si>
    <t>AGRBIOWCO</t>
  </si>
  <si>
    <t>Waste cooking oils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</si>
  <si>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</si>
  <si>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</si>
  <si>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</si>
  <si>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</si>
  <si>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</si>
  <si>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</si>
  <si>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</si>
  <si>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</si>
  <si>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</si>
  <si>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</si>
  <si>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</si>
  <si>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AGRRESHYD</t>
  </si>
  <si>
    <t>Hydro Energy (AGR)</t>
  </si>
  <si>
    <t>AGRRESSOL</t>
  </si>
  <si>
    <t>Solar Energy (AGR)</t>
  </si>
  <si>
    <t>AGRRESWIN</t>
  </si>
  <si>
    <t>Wind Energy (AGR)</t>
  </si>
  <si>
    <t>AGRRESGEO</t>
  </si>
  <si>
    <t>Geothermal Energy (AGR)</t>
  </si>
  <si>
    <t>TRAOILDSL</t>
  </si>
  <si>
    <t>Diesel (TRA)</t>
  </si>
  <si>
    <t>TRAOILGSL</t>
  </si>
  <si>
    <t>Gasoline (TRA)</t>
  </si>
  <si>
    <t>TRAOILGSA</t>
  </si>
  <si>
    <t>Aviation Gasoline (TRA)</t>
  </si>
  <si>
    <t>TRAOILLPG</t>
  </si>
  <si>
    <t>Liquified petroleum gas (TRA)</t>
  </si>
  <si>
    <t>TRAOILHFO1</t>
  </si>
  <si>
    <t>Low Sulphur Fuel Oil (TRA)</t>
  </si>
  <si>
    <t>TRAOILHFO2</t>
  </si>
  <si>
    <t>High Sulphur Fuel Oil (TRA)</t>
  </si>
  <si>
    <t>TRAOILKER</t>
  </si>
  <si>
    <t>Kerosene (TRA)</t>
  </si>
  <si>
    <t>TRAOILNAP</t>
  </si>
  <si>
    <t>Naphtha (TRA)</t>
  </si>
  <si>
    <t>TRAOILOTH</t>
  </si>
  <si>
    <t>Other petroleum products (TRA)</t>
  </si>
  <si>
    <t>TRAGASNAT</t>
  </si>
  <si>
    <t>Natural Gas (TRA)</t>
  </si>
  <si>
    <t>TRABIOETH</t>
  </si>
  <si>
    <t>Pure Bioethanol (TRA)</t>
  </si>
  <si>
    <t>TRABIODSL</t>
  </si>
  <si>
    <t>Biodiesel (TRA)</t>
  </si>
  <si>
    <t>Bioethanol (TRA)</t>
  </si>
  <si>
    <t>TRABIOBGS</t>
  </si>
  <si>
    <t>Biogas (TRA)</t>
  </si>
  <si>
    <t>ELECOASUB</t>
  </si>
  <si>
    <t>Sub-bituminous (ELE)</t>
  </si>
  <si>
    <t>ELECOACCL</t>
  </si>
  <si>
    <t>Coking coal (ELE)</t>
  </si>
  <si>
    <t>ELECOABIC</t>
  </si>
  <si>
    <t>Other bituminous coal (ELE)</t>
  </si>
  <si>
    <t>ELECOABCO</t>
  </si>
  <si>
    <t>Lignite/Brown Coal  (ELE)</t>
  </si>
  <si>
    <t>ELECOACOC</t>
  </si>
  <si>
    <t>Coke oven coke (ELE)</t>
  </si>
  <si>
    <t>ELECOACTA</t>
  </si>
  <si>
    <t>Coal tar (ELE)</t>
  </si>
  <si>
    <t>ELECOABKB</t>
  </si>
  <si>
    <t>BKB (brown coal briquettes) (ELE)</t>
  </si>
  <si>
    <t>ELEOILRFG</t>
  </si>
  <si>
    <t>Refinery gas (ELE)</t>
  </si>
  <si>
    <t>ELEOILDSL</t>
  </si>
  <si>
    <t>Diesel (ELE)</t>
  </si>
  <si>
    <t>ELEOILGSL</t>
  </si>
  <si>
    <t>Gasoline (ELE)</t>
  </si>
  <si>
    <t>ELEOILLPG</t>
  </si>
  <si>
    <t>Liquified petroleum gas (ELE)</t>
  </si>
  <si>
    <t>ELEOILHFO1</t>
  </si>
  <si>
    <t>Low Sulphur Fuel Oil (ELE)</t>
  </si>
  <si>
    <t>ELEOILHFO2</t>
  </si>
  <si>
    <t>High Sulphur Fuel Oil (ELE)</t>
  </si>
  <si>
    <t>ELEOILKER</t>
  </si>
  <si>
    <t>Kerosene (ELE)</t>
  </si>
  <si>
    <t>ELEOILNAP</t>
  </si>
  <si>
    <t>Naphtha (ELE)</t>
  </si>
  <si>
    <t>ELEOILPCK</t>
  </si>
  <si>
    <t>Petroleum Coke (ELE)</t>
  </si>
  <si>
    <t>ELEOILOTH</t>
  </si>
  <si>
    <t>Other petroleum products (ELE)</t>
  </si>
  <si>
    <t>ELEOILSHO</t>
  </si>
  <si>
    <t>Shale Oil (ELE)</t>
  </si>
  <si>
    <t>ELEGASNAT</t>
  </si>
  <si>
    <t>Natural Gas (ELE)</t>
  </si>
  <si>
    <t>ELEGASBFG</t>
  </si>
  <si>
    <t>Blast Furnace Gas (ELE)</t>
  </si>
  <si>
    <t>ELEBIOLOG</t>
  </si>
  <si>
    <t>Wood (ELE)</t>
  </si>
  <si>
    <t>ELEBIOLOGA</t>
  </si>
  <si>
    <t>Agricultural residues (ELE)</t>
  </si>
  <si>
    <t>ELEBIOLOGF</t>
  </si>
  <si>
    <t>Forrest residues (ELE)</t>
  </si>
  <si>
    <t>ELEBIOWMU</t>
  </si>
  <si>
    <t>Municipal waste (ELE)</t>
  </si>
  <si>
    <t>ELEBIOWID</t>
  </si>
  <si>
    <t>Industrial Waste (ELE)</t>
  </si>
  <si>
    <t>ELEBIOWAN</t>
  </si>
  <si>
    <t>Animal waste (ELE)</t>
  </si>
  <si>
    <t>ELEBIOWCO</t>
  </si>
  <si>
    <t>Waste cooking oils (ELE)</t>
  </si>
  <si>
    <t>ELEBIOETH</t>
  </si>
  <si>
    <t>Pure Bioethanol (ELE)</t>
  </si>
  <si>
    <t>ELEBIODSL</t>
  </si>
  <si>
    <t>Biodiesel (ELE)</t>
  </si>
  <si>
    <t>Bioethanol (ELE)</t>
  </si>
  <si>
    <t>ELEBIOBGS</t>
  </si>
  <si>
    <t>Biogas (ELE)</t>
  </si>
  <si>
    <t>ELEBIOPLT</t>
  </si>
  <si>
    <t>Pellet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</si>
  <si>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</si>
  <si>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</si>
  <si>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</si>
  <si>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</si>
  <si>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</si>
  <si>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</si>
  <si>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</si>
  <si>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</si>
  <si>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</si>
  <si>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</si>
  <si>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HETCOASUB</t>
  </si>
  <si>
    <t>Sub-bituminous (HET)</t>
  </si>
  <si>
    <t>HETCOACCL</t>
  </si>
  <si>
    <t>Coking coal (HET)</t>
  </si>
  <si>
    <t>HETCOABIC</t>
  </si>
  <si>
    <t>Other bituminous coal (HET)</t>
  </si>
  <si>
    <t>HETCOABCO</t>
  </si>
  <si>
    <t>Lignite/Brown Coal  (HET)</t>
  </si>
  <si>
    <t>HETCOACOC</t>
  </si>
  <si>
    <t>Coke oven coke (HET)</t>
  </si>
  <si>
    <t>HETCOACTA</t>
  </si>
  <si>
    <t>Coal tar (HET)</t>
  </si>
  <si>
    <t>HETCOABKB</t>
  </si>
  <si>
    <t>BKB (brown coal briquettes) (HET)</t>
  </si>
  <si>
    <t>HETOILRFG</t>
  </si>
  <si>
    <t>Refinery gas (HET)</t>
  </si>
  <si>
    <t>HETOILDSL</t>
  </si>
  <si>
    <t>Diesel (HET)</t>
  </si>
  <si>
    <t>HETOILGSL</t>
  </si>
  <si>
    <t>Gasoline (HET)</t>
  </si>
  <si>
    <t>HETOILLPG</t>
  </si>
  <si>
    <t>Liquified petroleum gas (HET)</t>
  </si>
  <si>
    <t>HETOILHFO1</t>
  </si>
  <si>
    <t>Low Sulphur Fuel Oil (HET)</t>
  </si>
  <si>
    <t>HETOILHFO2</t>
  </si>
  <si>
    <t>High Sulphur Fuel Oil (HET)</t>
  </si>
  <si>
    <t>HETOILKER</t>
  </si>
  <si>
    <t>Kerosene (HET)</t>
  </si>
  <si>
    <t>HETOILNAP</t>
  </si>
  <si>
    <t>Naphtha (HET)</t>
  </si>
  <si>
    <t>HETOILPCK</t>
  </si>
  <si>
    <t>Petroleum Coke (HET)</t>
  </si>
  <si>
    <t>HETOILOTH</t>
  </si>
  <si>
    <t>Other petroleum products (HET)</t>
  </si>
  <si>
    <t>HETOILSHO</t>
  </si>
  <si>
    <t>Shale Oil (HET)</t>
  </si>
  <si>
    <t>HETGASNAT</t>
  </si>
  <si>
    <t>Natural Gas (HET)</t>
  </si>
  <si>
    <t>HETGASBFG</t>
  </si>
  <si>
    <t>Blast Furnace Gas (HET)</t>
  </si>
  <si>
    <t>HETBIOLOG</t>
  </si>
  <si>
    <t>Wood (HET)</t>
  </si>
  <si>
    <t>HETBIOLOGA</t>
  </si>
  <si>
    <t>Agricultural residues (HET)</t>
  </si>
  <si>
    <t>HETBIOLOGF</t>
  </si>
  <si>
    <t>Forrest residues (HET)</t>
  </si>
  <si>
    <t>HETBIOWMU</t>
  </si>
  <si>
    <t>Municipal waste (HET)</t>
  </si>
  <si>
    <t>HETBIOWID</t>
  </si>
  <si>
    <t>Industrial Waste (HET)</t>
  </si>
  <si>
    <t>HETBIOWAN</t>
  </si>
  <si>
    <t>Animal waste (HET)</t>
  </si>
  <si>
    <t>HETBIOWCO</t>
  </si>
  <si>
    <t>Waste cooking oils (HET)</t>
  </si>
  <si>
    <t>HETBIOETH</t>
  </si>
  <si>
    <t>Pure Bioethanol (HET)</t>
  </si>
  <si>
    <t>HETBIODSL</t>
  </si>
  <si>
    <t>Biodiesel (HET)</t>
  </si>
  <si>
    <t>Bioethanol (HET)</t>
  </si>
  <si>
    <t>HETBIOBGS</t>
  </si>
  <si>
    <t>Biogas (HET)</t>
  </si>
  <si>
    <t>HETBIOPLT</t>
  </si>
  <si>
    <t>Pellet (HET)</t>
  </si>
  <si>
    <t>HETELC</t>
  </si>
  <si>
    <t>Electricity (HET)</t>
  </si>
  <si>
    <t>HETBIOCHR</t>
  </si>
  <si>
    <t>Charcoal (HET)</t>
  </si>
  <si>
    <t>HETRESHYD</t>
  </si>
  <si>
    <t>Hydro Energy (HET)</t>
  </si>
  <si>
    <t>HETRESSOL</t>
  </si>
  <si>
    <t>Solar Energy (HET)</t>
  </si>
  <si>
    <t>HETRESGEO</t>
  </si>
  <si>
    <t>Geothermal Energy (HET)</t>
  </si>
  <si>
    <t>ELCMED</t>
  </si>
  <si>
    <t>Medium Voltage electricity</t>
  </si>
  <si>
    <t>ELCLOW</t>
  </si>
  <si>
    <t>Low Voltage electricity</t>
  </si>
  <si>
    <t>RSDELC</t>
  </si>
  <si>
    <t>Electricity (RSD)</t>
  </si>
  <si>
    <t>COMELC</t>
  </si>
  <si>
    <t>Electricity (COM)</t>
  </si>
  <si>
    <t>AGRELC</t>
  </si>
  <si>
    <t>Electricity (AGR)</t>
  </si>
  <si>
    <t>TRAELC</t>
  </si>
  <si>
    <t>Electricity (TRA)</t>
  </si>
  <si>
    <t>RSDLTH</t>
  </si>
  <si>
    <t xml:space="preserve">Heat </t>
  </si>
  <si>
    <t>HETHTH</t>
  </si>
  <si>
    <t>SUPLTH</t>
  </si>
  <si>
    <t>Supply Heat (SUP)</t>
  </si>
  <si>
    <t>Mta</t>
  </si>
  <si>
    <t>PJ/Mt</t>
  </si>
  <si>
    <t>BF</t>
  </si>
  <si>
    <t>BOF</t>
  </si>
  <si>
    <t>Iron&amp;Steel Sintering - Pelletisation Standard</t>
  </si>
  <si>
    <t>Iron&amp;Steel Sintering - Pelletisation Improved</t>
  </si>
  <si>
    <t>Iron&amp;Steel Sintering - Pelletisation Advanced</t>
  </si>
  <si>
    <t>MATPIR2</t>
  </si>
  <si>
    <t>MATFSC</t>
  </si>
  <si>
    <t>IND DB</t>
  </si>
  <si>
    <t>MATBAU</t>
  </si>
  <si>
    <t>MATCAL</t>
  </si>
  <si>
    <t>MATSCR</t>
  </si>
  <si>
    <t>INDALU</t>
  </si>
  <si>
    <t>INDNFMHRAE_IM</t>
  </si>
  <si>
    <t>INDNFMHAAE_IM</t>
  </si>
  <si>
    <t>INDNFMRCAE_IM</t>
  </si>
  <si>
    <t>INDDEMNFMFALE_IM</t>
  </si>
  <si>
    <t>Hall Heroult Regular Aluminium - Improved</t>
  </si>
  <si>
    <t>Hall Heroult.Point Feeders (Advanced) Aluminium - Improved</t>
  </si>
  <si>
    <t>Recycled Production Aluminium -  Improved</t>
  </si>
  <si>
    <t>Finishing Aluminium - Improved</t>
  </si>
  <si>
    <t>INDNMMHTH</t>
  </si>
  <si>
    <t>INDFBTHTH</t>
  </si>
  <si>
    <t>INDOTHHTH</t>
  </si>
  <si>
    <t>OILWHTSP</t>
  </si>
  <si>
    <t>OILWAX</t>
  </si>
  <si>
    <t>GASNAT_LP</t>
  </si>
  <si>
    <t>FLO_SHAR~LO~2018</t>
  </si>
  <si>
    <t>OILHFO</t>
  </si>
  <si>
    <t>Heavy Fuel Oil</t>
  </si>
  <si>
    <t>Construction Advanced (electric)</t>
  </si>
  <si>
    <t>Mining and Quarrying Standard</t>
  </si>
  <si>
    <t>Minor efficiency improvement</t>
  </si>
  <si>
    <t>Efficiency like:</t>
  </si>
  <si>
    <t>Steam</t>
  </si>
  <si>
    <t>Process steam</t>
  </si>
  <si>
    <t>Machine drive</t>
  </si>
  <si>
    <t>Electrification</t>
  </si>
  <si>
    <t>Eff improvement</t>
  </si>
  <si>
    <t>Pig Iron Production Standard (and ferrochrome smelting)</t>
  </si>
  <si>
    <t>Pig Iron Production Improved (and ferrochrome smelting)</t>
  </si>
  <si>
    <t>DRI Production Advanced (and ferrochrome smelting)</t>
  </si>
  <si>
    <t>+gas</t>
  </si>
  <si>
    <t>EAF</t>
  </si>
  <si>
    <t>Iron for DRI + EAF for DRI</t>
  </si>
  <si>
    <t>Crude Steel Production_EAF</t>
  </si>
  <si>
    <t>BOF + efficiency</t>
  </si>
  <si>
    <t>BY data</t>
  </si>
  <si>
    <t>Proces heat Electrification</t>
  </si>
  <si>
    <t>INDMIQHTH</t>
  </si>
  <si>
    <t>INDCONHTH</t>
  </si>
  <si>
    <t>Advanced and gasification</t>
  </si>
  <si>
    <t>INDDEMNFMFALE_AD</t>
  </si>
  <si>
    <t>Finishing Aluminium - Advanced</t>
  </si>
  <si>
    <t>Advanced (gasification + electrification)</t>
  </si>
  <si>
    <t>Gasification</t>
  </si>
  <si>
    <t>Elictrifaction</t>
  </si>
  <si>
    <t>gasification (partial)</t>
  </si>
  <si>
    <t>electrification</t>
  </si>
  <si>
    <t>MATCEM</t>
  </si>
  <si>
    <t>NCAP_CHPR~LO</t>
  </si>
  <si>
    <t>FLO_SHAR~UP~2050</t>
  </si>
  <si>
    <t>Industrial thermal processing</t>
  </si>
  <si>
    <t>Industrial machinery</t>
  </si>
  <si>
    <t>ENV_ACT~CCSCO2</t>
  </si>
  <si>
    <t>CCSCO2</t>
  </si>
  <si>
    <t>CO2 captured via CCS techs</t>
  </si>
  <si>
    <t>INDONMHPRH2G_AD</t>
  </si>
  <si>
    <t>Process Heat Other Non Metallic Minerals H2_N_AD</t>
  </si>
  <si>
    <t>INDH2G</t>
  </si>
  <si>
    <t>INDOTHHPRH2G_AD</t>
  </si>
  <si>
    <t>Process Heat INDOTH H2_N_AD</t>
  </si>
  <si>
    <t>INDDEMNFMFALEH2_AD</t>
  </si>
  <si>
    <t>Finishing Aluminium (H2)- Advanced</t>
  </si>
  <si>
    <t>PJ/kt</t>
  </si>
  <si>
    <t>M$/kt/a</t>
  </si>
  <si>
    <t>M$/kt</t>
  </si>
  <si>
    <t>DRI Production Advanced (and ferrochrome smelting) - H2</t>
  </si>
  <si>
    <t>Mining and Quarrying Improved</t>
  </si>
  <si>
    <t>Mining and Quarrying Advanced</t>
  </si>
  <si>
    <t>Non Energy Use Advanced-H2</t>
  </si>
  <si>
    <t>SYNH2GC</t>
  </si>
  <si>
    <t>Hydrogen Central Production (Gas)</t>
  </si>
  <si>
    <t>SYNH2LQ</t>
  </si>
  <si>
    <t>INDH2L</t>
  </si>
  <si>
    <t>INDCEMHPRH2G_N_AD</t>
  </si>
  <si>
    <t>Process Heat Cement H2_N_AD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</si>
</sst>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0.000"/>
    <numFmt numFmtId="165" formatCode="0.0000"/>
    <numFmt numFmtId="166" formatCode="\Te\x\t"/>
    <numFmt numFmtId="167" formatCode="0.00000"/>
    <numFmt numFmtId="168" formatCode="0.0"/>
    <numFmt numFmtId="169" formatCode="#,##0.0"/>
    <numFmt numFmtId="170" formatCode="_ * #,##0.00_ ;_ * \-#,##0.00_ ;_ * &quot;-&quot;??_ ;_ @_ "/>
    <numFmt numFmtId="171" formatCode="_-[$€]* #,##0.00_-;\-[$€]* #,##0.00_-;_-[$€]* &quot;-&quot;??_-;_-@_-"/>
    <numFmt numFmtId="172" formatCode="_-[$€-2]* #,##0.00_-;\-[$€-2]* #,##0.00_-;_-[$€-2]* &quot;-&quot;??_-"/>
    <numFmt numFmtId="173" formatCode="_ * #,##0_ ;_ * \-#,##0_ ;_ * &quot;-&quot;_ ;_ @_ "/>
    <numFmt numFmtId="174" formatCode="_ &quot;kr&quot;\ * #,##0_ ;_ &quot;kr&quot;\ * \-#,##0_ ;_ &quot;kr&quot;\ * &quot;-&quot;_ ;_ @_ "/>
    <numFmt numFmtId="175" formatCode="_ &quot;kr&quot;\ * #,##0.00_ ;_ &quot;kr&quot;\ * \-#,##0.00_ ;_ &quot;kr&quot;\ * &quot;-&quot;??_ ;_ @_ 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  <charset val="161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Arial"/>
      <family val="2"/>
    </font>
    <font>
      <sz val="11"/>
      <color theme="1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etica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b/>
      <sz val="12"/>
      <name val="Arial"/>
      <family val="2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9" tint="0.59996337778862885"/>
        <bgColor theme="9" tint="0.5999633777886288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513">
    <xf numFmtId="0" fontId="0" fillId="0" borderId="0"/>
    <xf numFmtId="0" fontId="10" fillId="4" borderId="0" applyNumberFormat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7" borderId="0" applyNumberFormat="0" applyBorder="0" applyAlignment="0" applyProtection="0"/>
    <xf numFmtId="0" fontId="32" fillId="28" borderId="18" applyNumberFormat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2" fillId="28" borderId="19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0" fontId="23" fillId="29" borderId="20" applyNumberFormat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9" fillId="15" borderId="19" applyNumberFormat="0" applyAlignment="0" applyProtection="0"/>
    <xf numFmtId="0" fontId="34" fillId="0" borderId="21" applyNumberFormat="0" applyFill="0" applyAlignment="0" applyProtection="0"/>
    <xf numFmtId="0" fontId="24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12" fillId="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29" fillId="15" borderId="19" applyNumberFormat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18" fillId="0" borderId="0"/>
    <xf numFmtId="165" fontId="2" fillId="35" borderId="0">
      <alignment horizontal="center" vertical="center"/>
    </xf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19" fillId="31" borderId="26" applyNumberFormat="0" applyFont="0" applyAlignment="0" applyProtection="0"/>
    <xf numFmtId="0" fontId="6" fillId="31" borderId="26" applyNumberFormat="0" applyFont="0" applyAlignment="0" applyProtection="0"/>
    <xf numFmtId="0" fontId="2" fillId="31" borderId="26" applyNumberFormat="0" applyFont="0" applyAlignment="0" applyProtection="0"/>
    <xf numFmtId="0" fontId="6" fillId="31" borderId="26" applyNumberFormat="0" applyFont="0" applyAlignment="0" applyProtection="0"/>
    <xf numFmtId="0" fontId="6" fillId="31" borderId="26" applyNumberFormat="0" applyFont="0" applyAlignment="0" applyProtection="0"/>
    <xf numFmtId="0" fontId="6" fillId="31" borderId="26" applyNumberFormat="0" applyFont="0" applyAlignment="0" applyProtection="0"/>
    <xf numFmtId="0" fontId="6" fillId="31" borderId="26" applyNumberFormat="0" applyFont="0" applyAlignment="0" applyProtection="0"/>
    <xf numFmtId="0" fontId="6" fillId="31" borderId="26" applyNumberFormat="0" applyFon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0" fontId="32" fillId="28" borderId="1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0" fontId="36" fillId="0" borderId="0" applyFont="0" applyFill="0" applyBorder="0" applyAlignment="0" applyProtection="0"/>
    <xf numFmtId="17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2" fillId="0" borderId="1" applyNumberFormat="0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2" fillId="0" borderId="1" applyNumberFormat="0" applyFill="0" applyProtection="0">
      <alignment horizontal="right"/>
    </xf>
    <xf numFmtId="49" fontId="6" fillId="0" borderId="1" applyFill="0" applyProtection="0">
      <alignment horizontal="right"/>
    </xf>
    <xf numFmtId="0" fontId="4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9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4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2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1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49" fontId="6" fillId="0" borderId="1" applyFill="0" applyProtection="0">
      <alignment horizontal="right"/>
    </xf>
    <xf numFmtId="49" fontId="2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49" fontId="6" fillId="0" borderId="1" applyFill="0" applyProtection="0">
      <alignment horizontal="right"/>
    </xf>
    <xf numFmtId="0" fontId="37" fillId="32" borderId="1" applyNumberFormat="0" applyProtection="0">
      <alignment horizontal="right"/>
    </xf>
    <xf numFmtId="0" fontId="4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7" fillId="32" borderId="1" applyNumberFormat="0" applyProtection="0">
      <alignment horizontal="right"/>
    </xf>
    <xf numFmtId="0" fontId="38" fillId="32" borderId="0" applyNumberFormat="0" applyBorder="0" applyProtection="0">
      <alignment horizontal="left"/>
    </xf>
    <xf numFmtId="0" fontId="39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8" fillId="32" borderId="0" applyNumberFormat="0" applyBorder="0" applyProtection="0">
      <alignment horizontal="left"/>
    </xf>
    <xf numFmtId="0" fontId="37" fillId="32" borderId="1" applyNumberFormat="0" applyProtection="0">
      <alignment horizontal="left"/>
    </xf>
    <xf numFmtId="0" fontId="4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37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2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33" borderId="0" applyNumberFormat="0" applyBorder="0" applyProtection="0">
      <alignment horizontal="left"/>
    </xf>
    <xf numFmtId="0" fontId="41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0" fillId="33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3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42" fillId="34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8" fillId="0" borderId="24" applyNumberFormat="0" applyFill="0" applyAlignment="0" applyProtection="0"/>
    <xf numFmtId="0" fontId="28" fillId="0" borderId="0" applyNumberFormat="0" applyFill="0" applyBorder="0" applyAlignment="0" applyProtection="0"/>
    <xf numFmtId="175" fontId="36" fillId="0" borderId="0" applyFont="0" applyFill="0" applyBorder="0" applyAlignment="0" applyProtection="0"/>
    <xf numFmtId="0" fontId="30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9" borderId="20" applyNumberFormat="0" applyAlignment="0" applyProtection="0"/>
    <xf numFmtId="0" fontId="6" fillId="0" borderId="0"/>
    <xf numFmtId="0" fontId="6" fillId="0" borderId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2" fillId="28" borderId="27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2" fillId="28" borderId="28" applyNumberFormat="0" applyAlignment="0" applyProtection="0"/>
    <xf numFmtId="0" fontId="29" fillId="15" borderId="28" applyNumberFormat="0" applyAlignment="0" applyProtection="0"/>
    <xf numFmtId="0" fontId="34" fillId="0" borderId="29" applyNumberFormat="0" applyFill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29" fillId="15" borderId="28" applyNumberForma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19" fillId="31" borderId="30" applyNumberFormat="0" applyFont="0" applyAlignment="0" applyProtection="0"/>
    <xf numFmtId="0" fontId="6" fillId="31" borderId="30" applyNumberFormat="0" applyFont="0" applyAlignment="0" applyProtection="0"/>
    <xf numFmtId="0" fontId="2" fillId="31" borderId="30" applyNumberFormat="0" applyFont="0" applyAlignment="0" applyProtection="0"/>
    <xf numFmtId="0" fontId="6" fillId="31" borderId="30" applyNumberFormat="0" applyFont="0" applyAlignment="0" applyProtection="0"/>
    <xf numFmtId="0" fontId="6" fillId="31" borderId="30" applyNumberFormat="0" applyFont="0" applyAlignment="0" applyProtection="0"/>
    <xf numFmtId="0" fontId="6" fillId="31" borderId="30" applyNumberFormat="0" applyFont="0" applyAlignment="0" applyProtection="0"/>
    <xf numFmtId="0" fontId="6" fillId="31" borderId="30" applyNumberFormat="0" applyFont="0" applyAlignment="0" applyProtection="0"/>
    <xf numFmtId="0" fontId="6" fillId="31" borderId="30" applyNumberFormat="0" applyFon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2" fillId="28" borderId="27" applyNumberFormat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0" fontId="34" fillId="0" borderId="29" applyNumberFormat="0" applyFill="0" applyAlignment="0" applyProtection="0"/>
    <xf numFmtId="9" fontId="44" fillId="0" borderId="0" applyFont="0" applyFill="0" applyBorder="0" applyAlignment="0" applyProtection="0"/>
  </cellStyleXfs>
  <cellXfs count="412">
    <xf numFmtId="0" fontId="0" fillId="0" borderId="0" xfId="0"/>
    <xf numFmtId="0" fontId="11" fillId="7" borderId="0" xfId="1" applyFont="1" applyFill="1" applyAlignment="1">
      <alignment wrapText="1"/>
    </xf>
    <xf numFmtId="0" fontId="10" fillId="7" borderId="0" xfId="1" applyFill="1" applyAlignment="1">
      <alignment wrapText="1"/>
    </xf>
    <xf numFmtId="0" fontId="13" fillId="8" borderId="0" xfId="1" applyFont="1" applyFill="1" applyAlignment="1">
      <alignment wrapText="1"/>
    </xf>
    <xf numFmtId="0" fontId="13" fillId="8" borderId="0" xfId="1" applyFont="1" applyFill="1" applyAlignment="1">
      <alignment horizontal="right" wrapText="1"/>
    </xf>
    <xf numFmtId="0" fontId="14" fillId="8" borderId="0" xfId="2" applyFont="1" applyFill="1" applyAlignment="1">
      <alignment horizontal="center"/>
    </xf>
    <xf numFmtId="0" fontId="15" fillId="8" borderId="0" xfId="1" applyFont="1" applyFill="1" applyAlignment="1">
      <alignment wrapText="1"/>
    </xf>
    <xf numFmtId="166" fontId="8" fillId="2" borderId="5" xfId="0" applyNumberFormat="1" applyFont="1" applyFill="1" applyBorder="1"/>
    <xf numFmtId="166" fontId="8" fillId="2" borderId="2" xfId="0" applyNumberFormat="1" applyFont="1" applyFill="1" applyBorder="1"/>
    <xf numFmtId="166" fontId="8" fillId="2" borderId="2" xfId="0" applyNumberFormat="1" applyFont="1" applyFill="1" applyBorder="1" applyAlignment="1">
      <alignment horizontal="left"/>
    </xf>
    <xf numFmtId="166" fontId="7" fillId="3" borderId="6" xfId="0" applyNumberFormat="1" applyFont="1" applyFill="1" applyBorder="1" applyAlignment="1">
      <alignment horizontal="center" vertical="center" wrapText="1"/>
    </xf>
    <xf numFmtId="166" fontId="7" fillId="3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8" borderId="0" xfId="1" applyFont="1" applyFill="1" applyAlignment="1">
      <alignment horizontal="center"/>
    </xf>
    <xf numFmtId="0" fontId="13" fillId="8" borderId="0" xfId="1" applyFont="1" applyFill="1" applyAlignment="1">
      <alignment horizontal="center" wrapText="1"/>
    </xf>
    <xf numFmtId="0" fontId="8" fillId="0" borderId="0" xfId="0" applyFont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7" fillId="6" borderId="0" xfId="0" applyFont="1" applyFill="1" applyAlignment="1"/>
    <xf numFmtId="0" fontId="7" fillId="6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Fill="1"/>
    <xf numFmtId="0" fontId="16" fillId="0" borderId="0" xfId="0" applyFont="1"/>
    <xf numFmtId="166" fontId="7" fillId="0" borderId="0" xfId="0" applyNumberFormat="1" applyFont="1"/>
    <xf numFmtId="166" fontId="9" fillId="0" borderId="0" xfId="0" applyNumberFormat="1" applyFont="1"/>
    <xf numFmtId="0" fontId="7" fillId="6" borderId="0" xfId="0" applyFont="1" applyFill="1"/>
    <xf numFmtId="0" fontId="0" fillId="0" borderId="0" xfId="0" applyAlignment="1"/>
    <xf numFmtId="0" fontId="7" fillId="6" borderId="0" xfId="4" applyFont="1" applyFill="1"/>
    <xf numFmtId="0" fontId="2" fillId="6" borderId="0" xfId="4" applyFill="1" applyAlignment="1">
      <alignment horizont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5" fillId="8" borderId="0" xfId="1" applyFont="1" applyFill="1" applyAlignment="1">
      <alignment horizontal="left" wrapText="1"/>
    </xf>
    <xf numFmtId="0" fontId="48" fillId="0" borderId="0" xfId="0" applyFont="1" applyFill="1"/>
    <xf numFmtId="0" fontId="47" fillId="0" borderId="0" xfId="0" applyFont="1" applyFill="1" applyBorder="1"/>
    <xf numFmtId="0" fontId="47" fillId="0" borderId="0" xfId="0" applyFont="1" applyFill="1"/>
    <xf numFmtId="0" fontId="17" fillId="0" borderId="0" xfId="0" applyFont="1" applyFill="1"/>
    <xf numFmtId="166" fontId="17" fillId="0" borderId="0" xfId="0" applyNumberFormat="1" applyFont="1" applyFill="1"/>
    <xf numFmtId="2" fontId="49" fillId="0" borderId="16" xfId="0" applyNumberFormat="1" applyFont="1" applyFill="1" applyBorder="1" applyAlignment="1"/>
    <xf numFmtId="2" fontId="47" fillId="0" borderId="0" xfId="3" applyNumberFormat="1" applyFont="1" applyFill="1" applyAlignment="1">
      <alignment horizontal="right"/>
    </xf>
    <xf numFmtId="166" fontId="50" fillId="0" borderId="0" xfId="0" applyNumberFormat="1" applyFont="1" applyFill="1"/>
    <xf numFmtId="166" fontId="49" fillId="0" borderId="0" xfId="0" applyNumberFormat="1" applyFont="1" applyFill="1"/>
    <xf numFmtId="166" fontId="47" fillId="0" borderId="0" xfId="0" applyNumberFormat="1" applyFont="1" applyFill="1"/>
    <xf numFmtId="166" fontId="47" fillId="0" borderId="0" xfId="0" applyNumberFormat="1" applyFont="1" applyFill="1" applyAlignment="1">
      <alignment horizontal="center"/>
    </xf>
    <xf numFmtId="0" fontId="50" fillId="0" borderId="2" xfId="0" applyFont="1" applyFill="1" applyBorder="1" applyAlignment="1">
      <alignment vertical="center"/>
    </xf>
    <xf numFmtId="0" fontId="50" fillId="0" borderId="7" xfId="0" applyFont="1" applyFill="1" applyBorder="1" applyAlignment="1">
      <alignment vertical="center"/>
    </xf>
    <xf numFmtId="0" fontId="49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 wrapText="1"/>
    </xf>
    <xf numFmtId="0" fontId="50" fillId="0" borderId="2" xfId="0" applyFont="1" applyFill="1" applyBorder="1" applyAlignment="1">
      <alignment horizontal="center" vertical="center" wrapText="1"/>
    </xf>
    <xf numFmtId="166" fontId="50" fillId="0" borderId="5" xfId="0" applyNumberFormat="1" applyFont="1" applyFill="1" applyBorder="1"/>
    <xf numFmtId="166" fontId="49" fillId="0" borderId="2" xfId="0" applyNumberFormat="1" applyFont="1" applyFill="1" applyBorder="1"/>
    <xf numFmtId="166" fontId="49" fillId="0" borderId="2" xfId="0" applyNumberFormat="1" applyFont="1" applyFill="1" applyBorder="1" applyAlignment="1">
      <alignment horizontal="center"/>
    </xf>
    <xf numFmtId="166" fontId="49" fillId="0" borderId="2" xfId="0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 wrapText="1"/>
    </xf>
    <xf numFmtId="0" fontId="17" fillId="0" borderId="8" xfId="0" applyFont="1" applyFill="1" applyBorder="1" applyAlignment="1">
      <alignment horizontal="center" wrapText="1"/>
    </xf>
    <xf numFmtId="0" fontId="47" fillId="0" borderId="6" xfId="0" applyFont="1" applyFill="1" applyBorder="1" applyAlignment="1">
      <alignment horizontal="center"/>
    </xf>
    <xf numFmtId="166" fontId="17" fillId="0" borderId="4" xfId="0" applyNumberFormat="1" applyFont="1" applyFill="1" applyBorder="1" applyAlignment="1">
      <alignment horizontal="left" wrapText="1"/>
    </xf>
    <xf numFmtId="166" fontId="47" fillId="0" borderId="6" xfId="0" applyNumberFormat="1" applyFont="1" applyFill="1" applyBorder="1" applyAlignment="1">
      <alignment horizontal="left"/>
    </xf>
    <xf numFmtId="166" fontId="47" fillId="0" borderId="6" xfId="0" applyNumberFormat="1" applyFont="1" applyFill="1" applyBorder="1" applyAlignment="1">
      <alignment horizontal="center"/>
    </xf>
    <xf numFmtId="0" fontId="47" fillId="0" borderId="0" xfId="0" quotePrefix="1" applyFont="1" applyFill="1" applyAlignment="1">
      <alignment horizontal="left"/>
    </xf>
    <xf numFmtId="0" fontId="47" fillId="0" borderId="11" xfId="0" quotePrefix="1" applyFont="1" applyFill="1" applyBorder="1" applyAlignment="1">
      <alignment horizontal="center"/>
    </xf>
    <xf numFmtId="0" fontId="47" fillId="0" borderId="0" xfId="0" quotePrefix="1" applyFont="1" applyFill="1" applyAlignment="1">
      <alignment horizontal="center"/>
    </xf>
    <xf numFmtId="164" fontId="47" fillId="0" borderId="0" xfId="0" quotePrefix="1" applyNumberFormat="1" applyFont="1" applyFill="1" applyAlignment="1">
      <alignment horizontal="center"/>
    </xf>
    <xf numFmtId="168" fontId="47" fillId="0" borderId="0" xfId="0" quotePrefix="1" applyNumberFormat="1" applyFont="1" applyFill="1" applyAlignment="1">
      <alignment horizontal="center"/>
    </xf>
    <xf numFmtId="166" fontId="47" fillId="0" borderId="0" xfId="3" applyNumberFormat="1" applyFont="1" applyFill="1" applyAlignment="1">
      <alignment horizontal="left"/>
    </xf>
    <xf numFmtId="0" fontId="47" fillId="0" borderId="15" xfId="0" quotePrefix="1" applyFont="1" applyFill="1" applyBorder="1" applyAlignment="1">
      <alignment horizontal="left"/>
    </xf>
    <xf numFmtId="0" fontId="47" fillId="0" borderId="15" xfId="0" applyFont="1" applyFill="1" applyBorder="1"/>
    <xf numFmtId="0" fontId="47" fillId="0" borderId="16" xfId="0" quotePrefix="1" applyFont="1" applyFill="1" applyBorder="1" applyAlignment="1">
      <alignment horizontal="center"/>
    </xf>
    <xf numFmtId="0" fontId="47" fillId="0" borderId="15" xfId="0" quotePrefix="1" applyFont="1" applyFill="1" applyBorder="1" applyAlignment="1">
      <alignment horizontal="center"/>
    </xf>
    <xf numFmtId="168" fontId="47" fillId="0" borderId="31" xfId="0" quotePrefix="1" applyNumberFormat="1" applyFont="1" applyFill="1" applyBorder="1" applyAlignment="1">
      <alignment horizontal="center"/>
    </xf>
    <xf numFmtId="2" fontId="47" fillId="0" borderId="31" xfId="0" quotePrefix="1" applyNumberFormat="1" applyFont="1" applyFill="1" applyBorder="1" applyAlignment="1">
      <alignment horizontal="center"/>
    </xf>
    <xf numFmtId="0" fontId="17" fillId="0" borderId="0" xfId="0" applyFont="1" applyFill="1" applyBorder="1"/>
    <xf numFmtId="0" fontId="48" fillId="0" borderId="0" xfId="0" applyFont="1" applyFill="1" applyAlignment="1"/>
    <xf numFmtId="0" fontId="50" fillId="0" borderId="0" xfId="0" applyFont="1" applyFill="1" applyAlignment="1">
      <alignment horizontal="left"/>
    </xf>
    <xf numFmtId="166" fontId="49" fillId="0" borderId="0" xfId="4" applyNumberFormat="1" applyFont="1" applyFill="1"/>
    <xf numFmtId="166" fontId="47" fillId="0" borderId="0" xfId="4" applyNumberFormat="1" applyFont="1" applyFill="1"/>
    <xf numFmtId="166" fontId="47" fillId="0" borderId="0" xfId="4" applyNumberFormat="1" applyFont="1" applyFill="1" applyAlignment="1">
      <alignment horizontal="center"/>
    </xf>
    <xf numFmtId="0" fontId="47" fillId="0" borderId="0" xfId="0" applyFont="1" applyFill="1" applyAlignment="1"/>
    <xf numFmtId="0" fontId="50" fillId="0" borderId="2" xfId="0" applyFont="1" applyFill="1" applyBorder="1" applyAlignment="1">
      <alignment horizontal="center" vertical="center"/>
    </xf>
    <xf numFmtId="166" fontId="50" fillId="0" borderId="5" xfId="0" applyNumberFormat="1" applyFont="1" applyFill="1" applyBorder="1" applyAlignment="1"/>
    <xf numFmtId="166" fontId="49" fillId="0" borderId="2" xfId="4" applyNumberFormat="1" applyFont="1" applyFill="1" applyBorder="1"/>
    <xf numFmtId="166" fontId="49" fillId="0" borderId="2" xfId="4" applyNumberFormat="1" applyFont="1" applyFill="1" applyBorder="1" applyAlignment="1">
      <alignment horizontal="center"/>
    </xf>
    <xf numFmtId="166" fontId="49" fillId="0" borderId="2" xfId="4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166" fontId="17" fillId="0" borderId="4" xfId="0" applyNumberFormat="1" applyFont="1" applyFill="1" applyBorder="1" applyAlignment="1">
      <alignment horizontal="left"/>
    </xf>
    <xf numFmtId="166" fontId="47" fillId="0" borderId="6" xfId="7" applyNumberFormat="1" applyFont="1" applyFill="1" applyBorder="1" applyAlignment="1">
      <alignment horizontal="left"/>
    </xf>
    <xf numFmtId="166" fontId="47" fillId="0" borderId="6" xfId="7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left" wrapText="1"/>
    </xf>
    <xf numFmtId="0" fontId="17" fillId="0" borderId="9" xfId="0" applyFont="1" applyFill="1" applyBorder="1" applyAlignment="1">
      <alignment horizontal="center" wrapText="1"/>
    </xf>
    <xf numFmtId="0" fontId="17" fillId="0" borderId="10" xfId="0" applyFont="1" applyFill="1" applyBorder="1" applyAlignment="1">
      <alignment horizontal="center" wrapText="1"/>
    </xf>
    <xf numFmtId="0" fontId="47" fillId="0" borderId="0" xfId="4" applyFont="1" applyFill="1" applyAlignment="1">
      <alignment horizontal="center"/>
    </xf>
    <xf numFmtId="0" fontId="17" fillId="0" borderId="0" xfId="4" applyFont="1" applyFill="1"/>
    <xf numFmtId="0" fontId="17" fillId="0" borderId="11" xfId="0" applyFont="1" applyFill="1" applyBorder="1"/>
    <xf numFmtId="1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0" fontId="17" fillId="0" borderId="15" xfId="0" applyFont="1" applyFill="1" applyBorder="1"/>
    <xf numFmtId="0" fontId="17" fillId="0" borderId="16" xfId="0" applyFont="1" applyFill="1" applyBorder="1"/>
    <xf numFmtId="165" fontId="17" fillId="0" borderId="15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0" fillId="0" borderId="0" xfId="0" applyFont="1" applyFill="1" applyBorder="1"/>
    <xf numFmtId="2" fontId="17" fillId="0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166" fontId="17" fillId="0" borderId="0" xfId="0" applyNumberFormat="1" applyFont="1" applyFill="1" applyBorder="1"/>
    <xf numFmtId="0" fontId="50" fillId="0" borderId="0" xfId="0" applyFont="1" applyFill="1"/>
    <xf numFmtId="2" fontId="49" fillId="0" borderId="15" xfId="0" applyNumberFormat="1" applyFont="1" applyFill="1" applyBorder="1" applyAlignment="1"/>
    <xf numFmtId="166" fontId="50" fillId="0" borderId="0" xfId="0" applyNumberFormat="1" applyFont="1" applyFill="1" applyBorder="1"/>
    <xf numFmtId="166" fontId="49" fillId="0" borderId="0" xfId="0" applyNumberFormat="1" applyFont="1" applyFill="1" applyBorder="1" applyAlignment="1"/>
    <xf numFmtId="166" fontId="47" fillId="0" borderId="0" xfId="0" applyNumberFormat="1" applyFont="1" applyFill="1" applyBorder="1" applyAlignment="1"/>
    <xf numFmtId="166" fontId="47" fillId="0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/>
    <xf numFmtId="0" fontId="49" fillId="0" borderId="0" xfId="0" applyFont="1" applyFill="1" applyBorder="1" applyAlignment="1"/>
    <xf numFmtId="0" fontId="49" fillId="0" borderId="2" xfId="0" applyFont="1" applyFill="1" applyBorder="1" applyAlignment="1">
      <alignment vertical="center"/>
    </xf>
    <xf numFmtId="166" fontId="50" fillId="0" borderId="0" xfId="0" applyNumberFormat="1" applyFont="1" applyFill="1" applyBorder="1" applyAlignment="1">
      <alignment horizontal="center"/>
    </xf>
    <xf numFmtId="166" fontId="49" fillId="0" borderId="0" xfId="0" applyNumberFormat="1" applyFont="1" applyFill="1" applyBorder="1" applyAlignment="1">
      <alignment horizontal="center"/>
    </xf>
    <xf numFmtId="166" fontId="49" fillId="0" borderId="0" xfId="0" applyNumberFormat="1" applyFont="1" applyFill="1" applyBorder="1" applyAlignment="1">
      <alignment horizontal="left"/>
    </xf>
    <xf numFmtId="0" fontId="47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center" vertical="center"/>
    </xf>
    <xf numFmtId="166" fontId="17" fillId="0" borderId="0" xfId="0" applyNumberFormat="1" applyFont="1" applyFill="1" applyBorder="1" applyAlignment="1">
      <alignment horizontal="center" wrapText="1"/>
    </xf>
    <xf numFmtId="166" fontId="47" fillId="0" borderId="0" xfId="0" applyNumberFormat="1" applyFont="1" applyFill="1" applyBorder="1" applyAlignment="1">
      <alignment horizontal="left"/>
    </xf>
    <xf numFmtId="1" fontId="47" fillId="0" borderId="11" xfId="0" applyNumberFormat="1" applyFont="1" applyFill="1" applyBorder="1" applyAlignment="1">
      <alignment horizontal="center"/>
    </xf>
    <xf numFmtId="1" fontId="47" fillId="0" borderId="0" xfId="0" applyNumberFormat="1" applyFont="1" applyFill="1" applyAlignment="1">
      <alignment horizontal="center"/>
    </xf>
    <xf numFmtId="2" fontId="17" fillId="0" borderId="2" xfId="0" applyNumberFormat="1" applyFont="1" applyFill="1" applyBorder="1" applyAlignment="1">
      <alignment horizontal="center"/>
    </xf>
    <xf numFmtId="168" fontId="17" fillId="0" borderId="2" xfId="0" applyNumberFormat="1" applyFont="1" applyFill="1" applyBorder="1" applyAlignment="1">
      <alignment horizontal="center"/>
    </xf>
    <xf numFmtId="0" fontId="17" fillId="0" borderId="2" xfId="0" applyFont="1" applyFill="1" applyBorder="1"/>
    <xf numFmtId="0" fontId="47" fillId="0" borderId="0" xfId="0" applyFont="1" applyFill="1" applyAlignment="1">
      <alignment wrapText="1"/>
    </xf>
    <xf numFmtId="164" fontId="47" fillId="0" borderId="0" xfId="0" applyNumberFormat="1" applyFont="1" applyFill="1"/>
    <xf numFmtId="168" fontId="17" fillId="0" borderId="0" xfId="0" applyNumberFormat="1" applyFont="1" applyFill="1" applyBorder="1"/>
    <xf numFmtId="0" fontId="47" fillId="0" borderId="15" xfId="0" applyFont="1" applyFill="1" applyBorder="1" applyAlignment="1">
      <alignment wrapText="1"/>
    </xf>
    <xf numFmtId="1" fontId="47" fillId="0" borderId="16" xfId="0" applyNumberFormat="1" applyFont="1" applyFill="1" applyBorder="1" applyAlignment="1">
      <alignment horizontal="center"/>
    </xf>
    <xf numFmtId="1" fontId="47" fillId="0" borderId="15" xfId="0" applyNumberFormat="1" applyFont="1" applyFill="1" applyBorder="1" applyAlignment="1">
      <alignment horizontal="center"/>
    </xf>
    <xf numFmtId="168" fontId="17" fillId="0" borderId="15" xfId="0" applyNumberFormat="1" applyFont="1" applyFill="1" applyBorder="1"/>
    <xf numFmtId="9" fontId="17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/>
    <xf numFmtId="2" fontId="50" fillId="0" borderId="15" xfId="0" applyNumberFormat="1" applyFont="1" applyFill="1" applyBorder="1" applyAlignment="1"/>
    <xf numFmtId="0" fontId="50" fillId="0" borderId="0" xfId="0" applyFont="1" applyFill="1" applyAlignment="1">
      <alignment horizontal="center" vertical="center" wrapText="1"/>
    </xf>
    <xf numFmtId="0" fontId="50" fillId="0" borderId="7" xfId="0" applyFont="1" applyFill="1" applyBorder="1" applyAlignment="1">
      <alignment horizontal="center" vertical="center"/>
    </xf>
    <xf numFmtId="164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47" fillId="0" borderId="0" xfId="7" applyNumberFormat="1" applyFont="1" applyFill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" fontId="17" fillId="0" borderId="15" xfId="0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17" fillId="0" borderId="31" xfId="0" applyNumberFormat="1" applyFont="1" applyFill="1" applyBorder="1" applyAlignment="1">
      <alignment horizontal="center"/>
    </xf>
    <xf numFmtId="168" fontId="17" fillId="0" borderId="0" xfId="0" applyNumberFormat="1" applyFont="1" applyFill="1" applyBorder="1" applyAlignment="1">
      <alignment horizontal="center"/>
    </xf>
    <xf numFmtId="168" fontId="17" fillId="0" borderId="15" xfId="0" applyNumberFormat="1" applyFont="1" applyFill="1" applyBorder="1" applyAlignment="1">
      <alignment horizontal="center"/>
    </xf>
    <xf numFmtId="0" fontId="17" fillId="0" borderId="31" xfId="0" applyFont="1" applyFill="1" applyBorder="1"/>
    <xf numFmtId="0" fontId="50" fillId="0" borderId="0" xfId="0" applyFont="1" applyFill="1" applyBorder="1" applyAlignment="1">
      <alignment horizontal="center" vertical="center" wrapText="1"/>
    </xf>
    <xf numFmtId="164" fontId="4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wrapText="1"/>
    </xf>
    <xf numFmtId="164" fontId="47" fillId="0" borderId="0" xfId="0" applyNumberFormat="1" applyFont="1" applyFill="1" applyBorder="1"/>
    <xf numFmtId="0" fontId="50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50" fillId="0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2" fontId="50" fillId="0" borderId="0" xfId="0" applyNumberFormat="1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2" fillId="0" borderId="15" xfId="0" applyFont="1" applyFill="1" applyBorder="1"/>
    <xf numFmtId="0" fontId="52" fillId="0" borderId="16" xfId="0" applyFont="1" applyFill="1" applyBorder="1"/>
    <xf numFmtId="164" fontId="52" fillId="0" borderId="15" xfId="0" applyNumberFormat="1" applyFont="1" applyFill="1" applyBorder="1" applyAlignment="1">
      <alignment horizontal="center"/>
    </xf>
    <xf numFmtId="168" fontId="52" fillId="0" borderId="15" xfId="0" applyNumberFormat="1" applyFont="1" applyFill="1" applyBorder="1" applyAlignment="1">
      <alignment horizontal="center"/>
    </xf>
    <xf numFmtId="0" fontId="52" fillId="0" borderId="15" xfId="0" applyFont="1" applyFill="1" applyBorder="1" applyAlignment="1">
      <alignment horizontal="center"/>
    </xf>
    <xf numFmtId="164" fontId="17" fillId="0" borderId="0" xfId="7" applyNumberFormat="1" applyFont="1" applyFill="1" applyAlignment="1">
      <alignment horizontal="center"/>
    </xf>
    <xf numFmtId="167" fontId="47" fillId="0" borderId="0" xfId="0" applyNumberFormat="1" applyFont="1" applyFill="1" applyBorder="1"/>
    <xf numFmtId="2" fontId="17" fillId="0" borderId="15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wrapText="1"/>
    </xf>
    <xf numFmtId="0" fontId="48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64" fontId="17" fillId="0" borderId="0" xfId="0" applyNumberFormat="1" applyFont="1" applyFill="1" applyBorder="1"/>
    <xf numFmtId="165" fontId="17" fillId="0" borderId="0" xfId="7" applyNumberFormat="1" applyFont="1" applyFill="1" applyAlignment="1">
      <alignment horizontal="center"/>
    </xf>
    <xf numFmtId="0" fontId="47" fillId="0" borderId="0" xfId="7" applyFont="1" applyFill="1"/>
    <xf numFmtId="0" fontId="48" fillId="0" borderId="0" xfId="7" applyFont="1" applyFill="1"/>
    <xf numFmtId="0" fontId="17" fillId="0" borderId="0" xfId="7" applyFont="1" applyFill="1"/>
    <xf numFmtId="0" fontId="17" fillId="0" borderId="0" xfId="5" applyFont="1" applyFill="1"/>
    <xf numFmtId="0" fontId="17" fillId="0" borderId="0" xfId="7" applyFont="1" applyFill="1" applyAlignment="1">
      <alignment horizontal="left" wrapText="1"/>
    </xf>
    <xf numFmtId="0" fontId="50" fillId="0" borderId="0" xfId="7" applyFont="1" applyFill="1"/>
    <xf numFmtId="0" fontId="17" fillId="0" borderId="0" xfId="7" applyFont="1" applyFill="1" applyAlignment="1">
      <alignment horizontal="left"/>
    </xf>
    <xf numFmtId="0" fontId="17" fillId="0" borderId="0" xfId="7" applyFont="1" applyFill="1" applyAlignment="1">
      <alignment horizontal="right"/>
    </xf>
    <xf numFmtId="166" fontId="17" fillId="0" borderId="0" xfId="7" applyNumberFormat="1" applyFont="1" applyFill="1"/>
    <xf numFmtId="166" fontId="50" fillId="0" borderId="0" xfId="7" applyNumberFormat="1" applyFont="1" applyFill="1"/>
    <xf numFmtId="166" fontId="49" fillId="0" borderId="0" xfId="7" applyNumberFormat="1" applyFont="1" applyFill="1"/>
    <xf numFmtId="166" fontId="47" fillId="0" borderId="0" xfId="7" applyNumberFormat="1" applyFont="1" applyFill="1"/>
    <xf numFmtId="166" fontId="47" fillId="0" borderId="0" xfId="7" applyNumberFormat="1" applyFont="1" applyFill="1" applyAlignment="1">
      <alignment horizontal="center"/>
    </xf>
    <xf numFmtId="0" fontId="49" fillId="0" borderId="0" xfId="7" applyFont="1" applyFill="1"/>
    <xf numFmtId="166" fontId="50" fillId="0" borderId="5" xfId="7" applyNumberFormat="1" applyFont="1" applyFill="1" applyBorder="1"/>
    <xf numFmtId="166" fontId="50" fillId="0" borderId="5" xfId="7" applyNumberFormat="1" applyFont="1" applyFill="1" applyBorder="1" applyAlignment="1">
      <alignment horizontal="center"/>
    </xf>
    <xf numFmtId="166" fontId="49" fillId="0" borderId="2" xfId="7" applyNumberFormat="1" applyFont="1" applyFill="1" applyBorder="1"/>
    <xf numFmtId="166" fontId="49" fillId="0" borderId="2" xfId="7" applyNumberFormat="1" applyFont="1" applyFill="1" applyBorder="1" applyAlignment="1">
      <alignment horizontal="center"/>
    </xf>
    <xf numFmtId="166" fontId="49" fillId="0" borderId="2" xfId="7" applyNumberFormat="1" applyFont="1" applyFill="1" applyBorder="1" applyAlignment="1">
      <alignment horizontal="left"/>
    </xf>
    <xf numFmtId="0" fontId="47" fillId="0" borderId="0" xfId="7" applyFont="1" applyFill="1" applyAlignment="1">
      <alignment horizontal="left"/>
    </xf>
    <xf numFmtId="166" fontId="17" fillId="0" borderId="4" xfId="7" applyNumberFormat="1" applyFont="1" applyFill="1" applyBorder="1" applyAlignment="1">
      <alignment horizontal="center" wrapText="1"/>
    </xf>
    <xf numFmtId="0" fontId="17" fillId="0" borderId="0" xfId="7" applyFont="1" applyFill="1" applyAlignment="1">
      <alignment horizontal="center"/>
    </xf>
    <xf numFmtId="0" fontId="47" fillId="0" borderId="0" xfId="7" applyFont="1" applyFill="1" applyAlignment="1">
      <alignment horizontal="center"/>
    </xf>
    <xf numFmtId="0" fontId="50" fillId="0" borderId="0" xfId="6" applyFont="1" applyFill="1" applyAlignment="1">
      <alignment horizontal="left"/>
    </xf>
    <xf numFmtId="0" fontId="17" fillId="0" borderId="0" xfId="6" applyFont="1" applyFill="1" applyAlignment="1">
      <alignment horizontal="left"/>
    </xf>
    <xf numFmtId="0" fontId="17" fillId="0" borderId="0" xfId="6" applyFont="1" applyFill="1"/>
    <xf numFmtId="0" fontId="50" fillId="0" borderId="2" xfId="6" applyFont="1" applyFill="1" applyBorder="1" applyAlignment="1">
      <alignment vertical="center"/>
    </xf>
    <xf numFmtId="0" fontId="50" fillId="0" borderId="2" xfId="7" applyFont="1" applyFill="1" applyBorder="1" applyAlignment="1">
      <alignment vertical="center"/>
    </xf>
    <xf numFmtId="0" fontId="50" fillId="0" borderId="7" xfId="6" applyFont="1" applyFill="1" applyBorder="1" applyAlignment="1">
      <alignment vertical="center"/>
    </xf>
    <xf numFmtId="0" fontId="49" fillId="0" borderId="2" xfId="7" applyFont="1" applyFill="1" applyBorder="1" applyAlignment="1">
      <alignment vertical="center"/>
    </xf>
    <xf numFmtId="0" fontId="50" fillId="0" borderId="2" xfId="6" applyFont="1" applyFill="1" applyBorder="1" applyAlignment="1">
      <alignment horizontal="center" vertical="center" wrapText="1"/>
    </xf>
    <xf numFmtId="2" fontId="50" fillId="0" borderId="5" xfId="6" applyNumberFormat="1" applyFont="1" applyFill="1" applyBorder="1" applyAlignment="1">
      <alignment horizontal="center" vertical="center" wrapText="1"/>
    </xf>
    <xf numFmtId="0" fontId="49" fillId="0" borderId="5" xfId="7" applyFont="1" applyFill="1" applyBorder="1" applyAlignment="1">
      <alignment horizontal="center" vertical="center"/>
    </xf>
    <xf numFmtId="0" fontId="17" fillId="0" borderId="6" xfId="7" applyFont="1" applyFill="1" applyBorder="1" applyAlignment="1">
      <alignment horizontal="center" wrapText="1"/>
    </xf>
    <xf numFmtId="0" fontId="17" fillId="0" borderId="8" xfId="7" applyFont="1" applyFill="1" applyBorder="1" applyAlignment="1">
      <alignment horizontal="center" wrapText="1"/>
    </xf>
    <xf numFmtId="0" fontId="47" fillId="0" borderId="6" xfId="7" applyFont="1" applyFill="1" applyBorder="1" applyAlignment="1">
      <alignment horizontal="center"/>
    </xf>
    <xf numFmtId="0" fontId="17" fillId="0" borderId="9" xfId="7" applyFont="1" applyFill="1" applyBorder="1" applyAlignment="1">
      <alignment horizontal="left" wrapText="1"/>
    </xf>
    <xf numFmtId="0" fontId="17" fillId="0" borderId="9" xfId="7" applyFont="1" applyFill="1" applyBorder="1" applyAlignment="1">
      <alignment horizontal="center" wrapText="1"/>
    </xf>
    <xf numFmtId="0" fontId="17" fillId="0" borderId="10" xfId="7" applyFont="1" applyFill="1" applyBorder="1" applyAlignment="1">
      <alignment horizontal="center" wrapText="1"/>
    </xf>
    <xf numFmtId="0" fontId="51" fillId="0" borderId="9" xfId="7" applyFont="1" applyFill="1" applyBorder="1" applyAlignment="1">
      <alignment horizontal="center" vertical="center" wrapText="1"/>
    </xf>
    <xf numFmtId="0" fontId="17" fillId="0" borderId="11" xfId="7" applyFont="1" applyFill="1" applyBorder="1"/>
    <xf numFmtId="2" fontId="17" fillId="0" borderId="0" xfId="7" applyNumberFormat="1" applyFont="1" applyFill="1"/>
    <xf numFmtId="164" fontId="47" fillId="0" borderId="0" xfId="7" applyNumberFormat="1" applyFont="1" applyFill="1"/>
    <xf numFmtId="2" fontId="47" fillId="0" borderId="0" xfId="7" applyNumberFormat="1" applyFont="1" applyFill="1"/>
    <xf numFmtId="168" fontId="17" fillId="0" borderId="0" xfId="7" applyNumberFormat="1" applyFont="1" applyFill="1"/>
    <xf numFmtId="0" fontId="17" fillId="0" borderId="15" xfId="7" applyFont="1" applyFill="1" applyBorder="1"/>
    <xf numFmtId="0" fontId="17" fillId="0" borderId="16" xfId="7" applyFont="1" applyFill="1" applyBorder="1"/>
    <xf numFmtId="0" fontId="47" fillId="0" borderId="15" xfId="7" applyFont="1" applyFill="1" applyBorder="1"/>
    <xf numFmtId="2" fontId="47" fillId="0" borderId="15" xfId="7" applyNumberFormat="1" applyFont="1" applyFill="1" applyBorder="1"/>
    <xf numFmtId="164" fontId="47" fillId="0" borderId="15" xfId="7" applyNumberFormat="1" applyFont="1" applyFill="1" applyBorder="1"/>
    <xf numFmtId="167" fontId="47" fillId="0" borderId="0" xfId="7" applyNumberFormat="1" applyFont="1" applyFill="1"/>
    <xf numFmtId="167" fontId="47" fillId="0" borderId="15" xfId="7" applyNumberFormat="1" applyFont="1" applyFill="1" applyBorder="1"/>
    <xf numFmtId="2" fontId="17" fillId="0" borderId="13" xfId="7" applyNumberFormat="1" applyFont="1" applyFill="1" applyBorder="1"/>
    <xf numFmtId="0" fontId="52" fillId="0" borderId="0" xfId="7" applyFont="1" applyFill="1"/>
    <xf numFmtId="0" fontId="52" fillId="0" borderId="11" xfId="7" applyFont="1" applyFill="1" applyBorder="1"/>
    <xf numFmtId="0" fontId="53" fillId="0" borderId="0" xfId="7" applyFont="1" applyFill="1"/>
    <xf numFmtId="165" fontId="52" fillId="0" borderId="0" xfId="7" applyNumberFormat="1" applyFont="1" applyFill="1" applyAlignment="1">
      <alignment horizontal="center"/>
    </xf>
    <xf numFmtId="0" fontId="50" fillId="0" borderId="12" xfId="7" applyFont="1" applyFill="1" applyBorder="1"/>
    <xf numFmtId="2" fontId="17" fillId="0" borderId="2" xfId="7" applyNumberFormat="1" applyFont="1" applyFill="1" applyBorder="1"/>
    <xf numFmtId="2" fontId="17" fillId="0" borderId="7" xfId="7" applyNumberFormat="1" applyFont="1" applyFill="1" applyBorder="1"/>
    <xf numFmtId="0" fontId="50" fillId="0" borderId="13" xfId="7" applyFont="1" applyFill="1" applyBorder="1"/>
    <xf numFmtId="2" fontId="17" fillId="0" borderId="11" xfId="7" applyNumberFormat="1" applyFont="1" applyFill="1" applyBorder="1"/>
    <xf numFmtId="0" fontId="50" fillId="0" borderId="14" xfId="7" applyFont="1" applyFill="1" applyBorder="1"/>
    <xf numFmtId="2" fontId="17" fillId="0" borderId="15" xfId="7" applyNumberFormat="1" applyFont="1" applyFill="1" applyBorder="1"/>
    <xf numFmtId="2" fontId="17" fillId="0" borderId="16" xfId="7" applyNumberFormat="1" applyFont="1" applyFill="1" applyBorder="1"/>
    <xf numFmtId="0" fontId="17" fillId="0" borderId="1" xfId="7" applyFont="1" applyFill="1" applyBorder="1"/>
    <xf numFmtId="0" fontId="17" fillId="0" borderId="17" xfId="7" applyFont="1" applyFill="1" applyBorder="1"/>
    <xf numFmtId="0" fontId="17" fillId="0" borderId="5" xfId="7" applyFont="1" applyFill="1" applyBorder="1" applyAlignment="1">
      <alignment horizontal="right"/>
    </xf>
    <xf numFmtId="0" fontId="17" fillId="0" borderId="5" xfId="7" applyFont="1" applyFill="1" applyBorder="1"/>
    <xf numFmtId="0" fontId="50" fillId="0" borderId="0" xfId="6" applyFont="1" applyFill="1" applyAlignment="1">
      <alignment horizontal="center" vertical="center" wrapText="1"/>
    </xf>
    <xf numFmtId="0" fontId="17" fillId="0" borderId="3" xfId="7" applyFont="1" applyFill="1" applyBorder="1"/>
    <xf numFmtId="0" fontId="17" fillId="0" borderId="3" xfId="7" applyFont="1" applyFill="1" applyBorder="1" applyAlignment="1">
      <alignment horizontal="center"/>
    </xf>
    <xf numFmtId="164" fontId="47" fillId="0" borderId="0" xfId="7" applyNumberFormat="1" applyFont="1" applyFill="1" applyAlignment="1">
      <alignment horizontal="center" vertical="center"/>
    </xf>
    <xf numFmtId="4" fontId="17" fillId="0" borderId="0" xfId="7" applyNumberFormat="1" applyFont="1" applyFill="1"/>
    <xf numFmtId="164" fontId="17" fillId="0" borderId="0" xfId="7" applyNumberFormat="1" applyFont="1" applyFill="1"/>
    <xf numFmtId="164" fontId="47" fillId="0" borderId="15" xfId="7" applyNumberFormat="1" applyFont="1" applyFill="1" applyBorder="1" applyAlignment="1">
      <alignment horizontal="center" vertical="center"/>
    </xf>
    <xf numFmtId="169" fontId="17" fillId="0" borderId="0" xfId="7" applyNumberFormat="1" applyFont="1" applyFill="1"/>
    <xf numFmtId="165" fontId="47" fillId="0" borderId="0" xfId="7" applyNumberFormat="1" applyFont="1" applyFill="1"/>
    <xf numFmtId="0" fontId="47" fillId="0" borderId="1" xfId="7" applyFont="1" applyFill="1" applyBorder="1"/>
    <xf numFmtId="0" fontId="17" fillId="0" borderId="1" xfId="7" applyFont="1" applyFill="1" applyBorder="1" applyAlignment="1">
      <alignment horizontal="right"/>
    </xf>
    <xf numFmtId="0" fontId="17" fillId="0" borderId="1" xfId="6" applyFont="1" applyFill="1" applyBorder="1"/>
    <xf numFmtId="0" fontId="17" fillId="0" borderId="2" xfId="7" applyFont="1" applyFill="1" applyBorder="1"/>
    <xf numFmtId="0" fontId="17" fillId="0" borderId="7" xfId="7" applyFont="1" applyFill="1" applyBorder="1" applyAlignment="1">
      <alignment horizontal="right"/>
    </xf>
    <xf numFmtId="0" fontId="17" fillId="0" borderId="2" xfId="7" applyFont="1" applyFill="1" applyBorder="1" applyAlignment="1">
      <alignment horizontal="right"/>
    </xf>
    <xf numFmtId="2" fontId="17" fillId="0" borderId="2" xfId="7" applyNumberFormat="1" applyFont="1" applyFill="1" applyBorder="1" applyAlignment="1">
      <alignment horizontal="center"/>
    </xf>
    <xf numFmtId="0" fontId="17" fillId="0" borderId="2" xfId="7" applyFont="1" applyFill="1" applyBorder="1" applyAlignment="1">
      <alignment horizontal="center"/>
    </xf>
    <xf numFmtId="164" fontId="17" fillId="0" borderId="2" xfId="7" applyNumberFormat="1" applyFont="1" applyFill="1" applyBorder="1" applyAlignment="1">
      <alignment horizontal="center"/>
    </xf>
    <xf numFmtId="167" fontId="17" fillId="0" borderId="2" xfId="7" applyNumberFormat="1" applyFont="1" applyFill="1" applyBorder="1" applyAlignment="1">
      <alignment horizontal="center"/>
    </xf>
    <xf numFmtId="165" fontId="17" fillId="0" borderId="0" xfId="7" applyNumberFormat="1" applyFont="1" applyFill="1"/>
    <xf numFmtId="0" fontId="17" fillId="0" borderId="15" xfId="7" applyFont="1" applyFill="1" applyBorder="1" applyAlignment="1">
      <alignment horizontal="center"/>
    </xf>
    <xf numFmtId="165" fontId="17" fillId="0" borderId="15" xfId="7" applyNumberFormat="1" applyFont="1" applyFill="1" applyBorder="1"/>
    <xf numFmtId="164" fontId="17" fillId="0" borderId="15" xfId="7" applyNumberFormat="1" applyFont="1" applyFill="1" applyBorder="1" applyAlignment="1">
      <alignment horizontal="center"/>
    </xf>
    <xf numFmtId="165" fontId="17" fillId="0" borderId="15" xfId="7" applyNumberFormat="1" applyFont="1" applyFill="1" applyBorder="1" applyAlignment="1">
      <alignment horizontal="center"/>
    </xf>
    <xf numFmtId="0" fontId="17" fillId="0" borderId="9" xfId="7" applyFont="1" applyFill="1" applyBorder="1" applyAlignment="1">
      <alignment horizontal="center" vertical="center" wrapText="1"/>
    </xf>
    <xf numFmtId="0" fontId="17" fillId="0" borderId="7" xfId="7" applyFont="1" applyFill="1" applyBorder="1"/>
    <xf numFmtId="2" fontId="17" fillId="0" borderId="0" xfId="7" applyNumberFormat="1" applyFont="1" applyFill="1" applyAlignment="1">
      <alignment horizontal="center"/>
    </xf>
    <xf numFmtId="165" fontId="17" fillId="0" borderId="2" xfId="7" applyNumberFormat="1" applyFont="1" applyFill="1" applyBorder="1" applyAlignment="1">
      <alignment horizontal="center"/>
    </xf>
    <xf numFmtId="164" fontId="17" fillId="0" borderId="0" xfId="4" applyNumberFormat="1" applyFont="1" applyFill="1" applyAlignment="1">
      <alignment horizontal="center"/>
    </xf>
    <xf numFmtId="168" fontId="17" fillId="0" borderId="12" xfId="0" applyNumberFormat="1" applyFont="1" applyFill="1" applyBorder="1" applyAlignment="1">
      <alignment horizontal="center" wrapText="1"/>
    </xf>
    <xf numFmtId="2" fontId="47" fillId="0" borderId="2" xfId="0" applyNumberFormat="1" applyFont="1" applyFill="1" applyBorder="1"/>
    <xf numFmtId="2" fontId="17" fillId="0" borderId="2" xfId="0" applyNumberFormat="1" applyFont="1" applyFill="1" applyBorder="1" applyAlignment="1">
      <alignment horizontal="center" wrapText="1"/>
    </xf>
    <xf numFmtId="9" fontId="17" fillId="0" borderId="7" xfId="1512" applyFont="1" applyFill="1" applyBorder="1" applyAlignment="1">
      <alignment horizontal="center" wrapText="1"/>
    </xf>
    <xf numFmtId="9" fontId="47" fillId="0" borderId="32" xfId="1512" applyFont="1" applyFill="1" applyBorder="1"/>
    <xf numFmtId="0" fontId="47" fillId="0" borderId="13" xfId="7" applyFont="1" applyFill="1" applyBorder="1"/>
    <xf numFmtId="0" fontId="47" fillId="0" borderId="0" xfId="7" applyFont="1" applyFill="1" applyBorder="1"/>
    <xf numFmtId="0" fontId="47" fillId="0" borderId="11" xfId="7" applyFont="1" applyFill="1" applyBorder="1"/>
    <xf numFmtId="9" fontId="47" fillId="0" borderId="33" xfId="1512" applyFont="1" applyFill="1" applyBorder="1"/>
    <xf numFmtId="0" fontId="17" fillId="0" borderId="15" xfId="7" applyFont="1" applyFill="1" applyBorder="1" applyAlignment="1">
      <alignment horizontal="right"/>
    </xf>
    <xf numFmtId="2" fontId="17" fillId="0" borderId="15" xfId="7" applyNumberFormat="1" applyFont="1" applyFill="1" applyBorder="1" applyAlignment="1">
      <alignment horizontal="center"/>
    </xf>
    <xf numFmtId="164" fontId="17" fillId="0" borderId="15" xfId="7" applyNumberFormat="1" applyFont="1" applyFill="1" applyBorder="1"/>
    <xf numFmtId="168" fontId="17" fillId="0" borderId="13" xfId="0" applyNumberFormat="1" applyFont="1" applyFill="1" applyBorder="1" applyAlignment="1">
      <alignment horizontal="center" wrapText="1"/>
    </xf>
    <xf numFmtId="2" fontId="47" fillId="0" borderId="0" xfId="0" applyNumberFormat="1" applyFont="1" applyFill="1" applyBorder="1"/>
    <xf numFmtId="2" fontId="17" fillId="0" borderId="0" xfId="0" applyNumberFormat="1" applyFont="1" applyFill="1" applyBorder="1" applyAlignment="1">
      <alignment horizontal="center" wrapText="1"/>
    </xf>
    <xf numFmtId="9" fontId="17" fillId="0" borderId="11" xfId="1512" applyFont="1" applyFill="1" applyBorder="1" applyAlignment="1">
      <alignment horizontal="center" wrapText="1"/>
    </xf>
    <xf numFmtId="168" fontId="17" fillId="0" borderId="14" xfId="0" applyNumberFormat="1" applyFont="1" applyFill="1" applyBorder="1" applyAlignment="1">
      <alignment horizontal="center" wrapText="1"/>
    </xf>
    <xf numFmtId="2" fontId="47" fillId="0" borderId="31" xfId="0" applyNumberFormat="1" applyFont="1" applyFill="1" applyBorder="1"/>
    <xf numFmtId="2" fontId="17" fillId="0" borderId="31" xfId="0" applyNumberFormat="1" applyFont="1" applyFill="1" applyBorder="1" applyAlignment="1">
      <alignment horizontal="center" wrapText="1"/>
    </xf>
    <xf numFmtId="9" fontId="17" fillId="0" borderId="16" xfId="1512" applyFont="1" applyFill="1" applyBorder="1" applyAlignment="1">
      <alignment horizontal="center" wrapText="1"/>
    </xf>
    <xf numFmtId="9" fontId="47" fillId="0" borderId="34" xfId="1512" applyFont="1" applyFill="1" applyBorder="1"/>
    <xf numFmtId="165" fontId="17" fillId="0" borderId="0" xfId="0" applyNumberFormat="1" applyFont="1" applyFill="1" applyAlignment="1">
      <alignment horizontal="center"/>
    </xf>
    <xf numFmtId="2" fontId="49" fillId="0" borderId="0" xfId="0" applyNumberFormat="1" applyFont="1" applyFill="1"/>
    <xf numFmtId="2" fontId="50" fillId="0" borderId="5" xfId="0" applyNumberFormat="1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left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7" xfId="0" applyFont="1" applyFill="1" applyBorder="1"/>
    <xf numFmtId="1" fontId="17" fillId="0" borderId="2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168" fontId="17" fillId="0" borderId="35" xfId="0" applyNumberFormat="1" applyFont="1" applyFill="1" applyBorder="1" applyAlignment="1">
      <alignment horizontal="center" wrapText="1"/>
    </xf>
    <xf numFmtId="2" fontId="47" fillId="0" borderId="36" xfId="0" applyNumberFormat="1" applyFont="1" applyFill="1" applyBorder="1"/>
    <xf numFmtId="2" fontId="17" fillId="0" borderId="36" xfId="0" applyNumberFormat="1" applyFont="1" applyFill="1" applyBorder="1" applyAlignment="1">
      <alignment horizontal="center" wrapText="1"/>
    </xf>
    <xf numFmtId="9" fontId="17" fillId="0" borderId="32" xfId="1512" applyFont="1" applyFill="1" applyBorder="1" applyAlignment="1">
      <alignment horizontal="center" wrapText="1"/>
    </xf>
    <xf numFmtId="9" fontId="47" fillId="0" borderId="32" xfId="1512" applyFont="1" applyFill="1" applyBorder="1" applyAlignment="1">
      <alignment horizontal="center"/>
    </xf>
    <xf numFmtId="168" fontId="17" fillId="0" borderId="13" xfId="0" applyNumberFormat="1" applyFont="1" applyFill="1" applyBorder="1" applyAlignment="1">
      <alignment horizontal="left" wrapText="1"/>
    </xf>
    <xf numFmtId="9" fontId="17" fillId="0" borderId="33" xfId="1512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7" fillId="0" borderId="31" xfId="0" applyFont="1" applyFill="1" applyBorder="1" applyAlignment="1">
      <alignment horizontal="center"/>
    </xf>
    <xf numFmtId="0" fontId="17" fillId="0" borderId="31" xfId="7" applyFont="1" applyFill="1" applyBorder="1" applyAlignment="1">
      <alignment horizontal="right"/>
    </xf>
    <xf numFmtId="168" fontId="17" fillId="0" borderId="13" xfId="0" applyNumberFormat="1" applyFont="1" applyFill="1" applyBorder="1"/>
    <xf numFmtId="9" fontId="17" fillId="0" borderId="33" xfId="1512" applyFont="1" applyFill="1" applyBorder="1"/>
    <xf numFmtId="9" fontId="47" fillId="0" borderId="33" xfId="1512" applyFont="1" applyFill="1" applyBorder="1" applyAlignment="1">
      <alignment horizontal="center"/>
    </xf>
    <xf numFmtId="0" fontId="47" fillId="0" borderId="33" xfId="0" applyFont="1" applyFill="1" applyBorder="1"/>
    <xf numFmtId="9" fontId="17" fillId="0" borderId="34" xfId="1512" applyFont="1" applyFill="1" applyBorder="1" applyAlignment="1">
      <alignment horizontal="center" wrapText="1"/>
    </xf>
    <xf numFmtId="9" fontId="47" fillId="0" borderId="34" xfId="1512" applyFont="1" applyFill="1" applyBorder="1" applyAlignment="1">
      <alignment horizontal="center"/>
    </xf>
    <xf numFmtId="0" fontId="47" fillId="0" borderId="31" xfId="0" applyFont="1" applyFill="1" applyBorder="1"/>
    <xf numFmtId="2" fontId="17" fillId="0" borderId="15" xfId="0" applyNumberFormat="1" applyFont="1" applyFill="1" applyBorder="1"/>
    <xf numFmtId="2" fontId="47" fillId="0" borderId="0" xfId="0" applyNumberFormat="1" applyFont="1" applyFill="1" applyBorder="1" applyAlignment="1">
      <alignment horizontal="center"/>
    </xf>
    <xf numFmtId="9" fontId="47" fillId="0" borderId="0" xfId="0" applyNumberFormat="1" applyFont="1" applyFill="1" applyBorder="1"/>
    <xf numFmtId="2" fontId="17" fillId="0" borderId="0" xfId="0" applyNumberFormat="1" applyFont="1" applyFill="1" applyAlignment="1">
      <alignment horizontal="center"/>
    </xf>
    <xf numFmtId="0" fontId="17" fillId="0" borderId="0" xfId="7" applyFont="1" applyFill="1" applyAlignment="1">
      <alignment horizontal="left" vertical="center"/>
    </xf>
    <xf numFmtId="168" fontId="17" fillId="0" borderId="0" xfId="7" applyNumberFormat="1" applyFont="1" applyFill="1" applyAlignment="1">
      <alignment horizontal="center"/>
    </xf>
    <xf numFmtId="1" fontId="17" fillId="0" borderId="0" xfId="7" applyNumberFormat="1" applyFont="1" applyFill="1"/>
    <xf numFmtId="9" fontId="17" fillId="0" borderId="0" xfId="7" applyNumberFormat="1" applyFont="1" applyFill="1"/>
    <xf numFmtId="1" fontId="17" fillId="0" borderId="15" xfId="7" applyNumberFormat="1" applyFont="1" applyFill="1" applyBorder="1"/>
    <xf numFmtId="1" fontId="47" fillId="0" borderId="0" xfId="7" applyNumberFormat="1" applyFont="1" applyFill="1"/>
    <xf numFmtId="164" fontId="52" fillId="0" borderId="0" xfId="7" applyNumberFormat="1" applyFont="1" applyFill="1" applyAlignment="1">
      <alignment horizontal="center"/>
    </xf>
    <xf numFmtId="9" fontId="47" fillId="0" borderId="0" xfId="7" applyNumberFormat="1" applyFont="1" applyFill="1"/>
    <xf numFmtId="2" fontId="52" fillId="0" borderId="0" xfId="7" applyNumberFormat="1" applyFont="1" applyFill="1" applyAlignment="1">
      <alignment horizontal="center"/>
    </xf>
    <xf numFmtId="1" fontId="47" fillId="0" borderId="15" xfId="7" applyNumberFormat="1" applyFont="1" applyFill="1" applyBorder="1"/>
    <xf numFmtId="168" fontId="47" fillId="0" borderId="0" xfId="7" applyNumberFormat="1" applyFont="1" applyFill="1"/>
    <xf numFmtId="168" fontId="47" fillId="0" borderId="15" xfId="7" applyNumberFormat="1" applyFont="1" applyFill="1" applyBorder="1"/>
    <xf numFmtId="1" fontId="17" fillId="0" borderId="0" xfId="7" applyNumberFormat="1" applyFont="1" applyFill="1" applyAlignment="1">
      <alignment horizontal="center"/>
    </xf>
    <xf numFmtId="165" fontId="17" fillId="0" borderId="2" xfId="4" applyNumberFormat="1" applyFont="1" applyFill="1" applyBorder="1" applyAlignment="1">
      <alignment horizontal="center"/>
    </xf>
    <xf numFmtId="165" fontId="17" fillId="0" borderId="0" xfId="4" applyNumberFormat="1" applyFont="1" applyFill="1" applyAlignment="1">
      <alignment horizontal="center"/>
    </xf>
    <xf numFmtId="165" fontId="17" fillId="0" borderId="15" xfId="4" applyNumberFormat="1" applyFont="1" applyFill="1" applyBorder="1" applyAlignment="1">
      <alignment horizontal="center"/>
    </xf>
    <xf numFmtId="168" fontId="17" fillId="0" borderId="0" xfId="0" applyNumberFormat="1" applyFont="1" applyFill="1" applyBorder="1" applyAlignment="1">
      <alignment horizontal="center" wrapText="1"/>
    </xf>
    <xf numFmtId="9" fontId="17" fillId="0" borderId="0" xfId="1512" applyFont="1" applyFill="1" applyBorder="1" applyAlignment="1">
      <alignment horizontal="center" wrapText="1"/>
    </xf>
    <xf numFmtId="2" fontId="17" fillId="0" borderId="0" xfId="7" applyNumberFormat="1" applyFont="1" applyFill="1" applyAlignment="1">
      <alignment horizontal="right"/>
    </xf>
    <xf numFmtId="0" fontId="17" fillId="0" borderId="0" xfId="4" applyFont="1" applyFill="1" applyAlignment="1">
      <alignment horizontal="center"/>
    </xf>
    <xf numFmtId="0" fontId="47" fillId="0" borderId="33" xfId="7" applyFont="1" applyFill="1" applyBorder="1"/>
    <xf numFmtId="2" fontId="17" fillId="0" borderId="15" xfId="7" applyNumberFormat="1" applyFont="1" applyFill="1" applyBorder="1" applyAlignment="1">
      <alignment horizontal="right"/>
    </xf>
    <xf numFmtId="0" fontId="17" fillId="0" borderId="31" xfId="4" applyFont="1" applyFill="1" applyBorder="1" applyAlignment="1">
      <alignment horizontal="center"/>
    </xf>
    <xf numFmtId="2" fontId="17" fillId="0" borderId="0" xfId="4" applyNumberFormat="1" applyFont="1" applyFill="1" applyAlignment="1">
      <alignment horizontal="center"/>
    </xf>
    <xf numFmtId="0" fontId="48" fillId="0" borderId="0" xfId="4" applyFont="1" applyFill="1"/>
    <xf numFmtId="0" fontId="17" fillId="0" borderId="0" xfId="4" applyFont="1" applyFill="1" applyAlignment="1">
      <alignment horizontal="left" wrapText="1"/>
    </xf>
    <xf numFmtId="0" fontId="50" fillId="0" borderId="0" xfId="4" applyFont="1" applyFill="1"/>
    <xf numFmtId="0" fontId="17" fillId="0" borderId="0" xfId="4" applyFont="1" applyFill="1" applyAlignment="1">
      <alignment horizontal="left"/>
    </xf>
    <xf numFmtId="0" fontId="17" fillId="0" borderId="0" xfId="4" applyFont="1" applyFill="1" applyAlignment="1">
      <alignment horizontal="right"/>
    </xf>
    <xf numFmtId="166" fontId="17" fillId="0" borderId="0" xfId="4" applyNumberFormat="1" applyFont="1" applyFill="1"/>
    <xf numFmtId="0" fontId="47" fillId="0" borderId="0" xfId="4" applyFont="1" applyFill="1"/>
    <xf numFmtId="166" fontId="50" fillId="0" borderId="0" xfId="4" applyNumberFormat="1" applyFont="1" applyFill="1"/>
    <xf numFmtId="0" fontId="49" fillId="0" borderId="0" xfId="4" applyFont="1" applyFill="1"/>
    <xf numFmtId="166" fontId="50" fillId="0" borderId="5" xfId="4" applyNumberFormat="1" applyFont="1" applyFill="1" applyBorder="1"/>
    <xf numFmtId="0" fontId="49" fillId="0" borderId="2" xfId="4" applyFont="1" applyFill="1" applyBorder="1" applyAlignment="1">
      <alignment vertical="center"/>
    </xf>
    <xf numFmtId="0" fontId="49" fillId="0" borderId="5" xfId="4" applyFont="1" applyFill="1" applyBorder="1" applyAlignment="1">
      <alignment horizontal="center" vertical="center"/>
    </xf>
    <xf numFmtId="0" fontId="17" fillId="0" borderId="3" xfId="4" applyFont="1" applyFill="1" applyBorder="1"/>
    <xf numFmtId="0" fontId="17" fillId="0" borderId="3" xfId="4" applyFont="1" applyFill="1" applyBorder="1" applyAlignment="1">
      <alignment horizontal="center"/>
    </xf>
    <xf numFmtId="0" fontId="17" fillId="0" borderId="2" xfId="4" applyFont="1" applyFill="1" applyBorder="1"/>
    <xf numFmtId="0" fontId="17" fillId="0" borderId="11" xfId="4" applyFont="1" applyFill="1" applyBorder="1"/>
    <xf numFmtId="1" fontId="47" fillId="0" borderId="0" xfId="4" applyNumberFormat="1" applyFont="1" applyFill="1"/>
    <xf numFmtId="165" fontId="17" fillId="0" borderId="0" xfId="4" applyNumberFormat="1" applyFont="1" applyFill="1"/>
    <xf numFmtId="164" fontId="52" fillId="0" borderId="0" xfId="4" applyNumberFormat="1" applyFont="1" applyFill="1" applyAlignment="1">
      <alignment horizontal="center"/>
    </xf>
    <xf numFmtId="0" fontId="17" fillId="0" borderId="15" xfId="4" applyFont="1" applyFill="1" applyBorder="1"/>
    <xf numFmtId="0" fontId="17" fillId="0" borderId="16" xfId="4" applyFont="1" applyFill="1" applyBorder="1"/>
    <xf numFmtId="0" fontId="47" fillId="0" borderId="15" xfId="4" applyFont="1" applyFill="1" applyBorder="1"/>
    <xf numFmtId="1" fontId="47" fillId="0" borderId="15" xfId="4" applyNumberFormat="1" applyFont="1" applyFill="1" applyBorder="1"/>
    <xf numFmtId="168" fontId="47" fillId="0" borderId="0" xfId="4" applyNumberFormat="1" applyFont="1" applyFill="1"/>
    <xf numFmtId="9" fontId="47" fillId="0" borderId="0" xfId="4" applyNumberFormat="1" applyFont="1" applyFill="1"/>
    <xf numFmtId="2" fontId="52" fillId="0" borderId="0" xfId="4" applyNumberFormat="1" applyFont="1" applyFill="1" applyAlignment="1">
      <alignment horizontal="center"/>
    </xf>
    <xf numFmtId="164" fontId="47" fillId="0" borderId="0" xfId="4" applyNumberFormat="1" applyFont="1" applyFill="1"/>
    <xf numFmtId="0" fontId="47" fillId="0" borderId="0" xfId="4" quotePrefix="1" applyFont="1" applyFill="1"/>
    <xf numFmtId="0" fontId="52" fillId="0" borderId="0" xfId="4" applyFont="1" applyFill="1"/>
    <xf numFmtId="0" fontId="17" fillId="0" borderId="31" xfId="4" applyFont="1" applyFill="1" applyBorder="1"/>
    <xf numFmtId="0" fontId="47" fillId="0" borderId="31" xfId="4" applyFont="1" applyFill="1" applyBorder="1"/>
    <xf numFmtId="164" fontId="17" fillId="0" borderId="31" xfId="4" applyNumberFormat="1" applyFont="1" applyFill="1" applyBorder="1" applyAlignment="1">
      <alignment horizontal="center"/>
    </xf>
    <xf numFmtId="168" fontId="47" fillId="0" borderId="31" xfId="4" applyNumberFormat="1" applyFont="1" applyFill="1" applyBorder="1"/>
    <xf numFmtId="164" fontId="47" fillId="0" borderId="31" xfId="4" applyNumberFormat="1" applyFont="1" applyFill="1" applyBorder="1"/>
    <xf numFmtId="1" fontId="47" fillId="0" borderId="31" xfId="4" applyNumberFormat="1" applyFont="1" applyFill="1" applyBorder="1"/>
    <xf numFmtId="2" fontId="47" fillId="0" borderId="0" xfId="4" applyNumberFormat="1" applyFont="1" applyFill="1"/>
    <xf numFmtId="167" fontId="47" fillId="0" borderId="0" xfId="4" applyNumberFormat="1" applyFont="1" applyFill="1"/>
    <xf numFmtId="167" fontId="47" fillId="0" borderId="15" xfId="4" applyNumberFormat="1" applyFont="1" applyFill="1" applyBorder="1"/>
    <xf numFmtId="168" fontId="47" fillId="0" borderId="15" xfId="4" applyNumberFormat="1" applyFont="1" applyFill="1" applyBorder="1"/>
    <xf numFmtId="168" fontId="17" fillId="0" borderId="0" xfId="4" applyNumberFormat="1" applyFont="1" applyFill="1" applyAlignment="1">
      <alignment horizontal="center"/>
    </xf>
    <xf numFmtId="168" fontId="52" fillId="0" borderId="0" xfId="4" applyNumberFormat="1" applyFont="1" applyFill="1" applyAlignment="1">
      <alignment horizontal="center"/>
    </xf>
    <xf numFmtId="0" fontId="50" fillId="0" borderId="0" xfId="6" applyFont="1" applyFill="1" applyBorder="1" applyAlignment="1">
      <alignment horizontal="center" vertical="center" wrapText="1"/>
    </xf>
    <xf numFmtId="0" fontId="17" fillId="0" borderId="0" xfId="7" applyFont="1" applyFill="1" applyBorder="1" applyAlignment="1">
      <alignment horizontal="center" wrapText="1"/>
    </xf>
    <xf numFmtId="168" fontId="47" fillId="0" borderId="0" xfId="0" applyNumberFormat="1" applyFont="1" applyFill="1"/>
    <xf numFmtId="9" fontId="47" fillId="0" borderId="0" xfId="0" applyNumberFormat="1" applyFont="1" applyFill="1"/>
    <xf numFmtId="2" fontId="52" fillId="0" borderId="0" xfId="0" applyNumberFormat="1" applyFont="1" applyFill="1" applyAlignment="1">
      <alignment horizontal="center"/>
    </xf>
    <xf numFmtId="168" fontId="47" fillId="0" borderId="15" xfId="0" applyNumberFormat="1" applyFont="1" applyFill="1" applyBorder="1"/>
    <xf numFmtId="1" fontId="47" fillId="0" borderId="0" xfId="0" applyNumberFormat="1" applyFont="1" applyFill="1"/>
    <xf numFmtId="0" fontId="17" fillId="0" borderId="7" xfId="4" applyFont="1" applyFill="1" applyBorder="1" applyAlignment="1">
      <alignment horizontal="right"/>
    </xf>
    <xf numFmtId="0" fontId="17" fillId="0" borderId="2" xfId="4" applyFont="1" applyFill="1" applyBorder="1" applyAlignment="1">
      <alignment horizontal="right"/>
    </xf>
    <xf numFmtId="0" fontId="17" fillId="0" borderId="2" xfId="4" applyFont="1" applyFill="1" applyBorder="1" applyAlignment="1">
      <alignment horizontal="center"/>
    </xf>
    <xf numFmtId="164" fontId="17" fillId="0" borderId="2" xfId="4" applyNumberFormat="1" applyFont="1" applyFill="1" applyBorder="1" applyAlignment="1">
      <alignment horizontal="center"/>
    </xf>
    <xf numFmtId="0" fontId="17" fillId="0" borderId="15" xfId="4" applyFont="1" applyFill="1" applyBorder="1" applyAlignment="1">
      <alignment horizontal="center"/>
    </xf>
    <xf numFmtId="2" fontId="17" fillId="0" borderId="2" xfId="4" applyNumberFormat="1" applyFont="1" applyFill="1" applyBorder="1" applyAlignment="1">
      <alignment horizontal="center"/>
    </xf>
    <xf numFmtId="0" fontId="17" fillId="0" borderId="7" xfId="4" applyFont="1" applyFill="1" applyBorder="1"/>
    <xf numFmtId="1" fontId="17" fillId="0" borderId="0" xfId="4" applyNumberFormat="1" applyFont="1" applyFill="1" applyAlignment="1">
      <alignment horizontal="center"/>
    </xf>
    <xf numFmtId="9" fontId="17" fillId="0" borderId="35" xfId="1512" applyFont="1" applyFill="1" applyBorder="1" applyAlignment="1">
      <alignment horizontal="center" wrapText="1"/>
    </xf>
    <xf numFmtId="0" fontId="47" fillId="0" borderId="13" xfId="4" applyFont="1" applyFill="1" applyBorder="1"/>
    <xf numFmtId="0" fontId="47" fillId="0" borderId="0" xfId="4" applyFont="1" applyFill="1" applyBorder="1"/>
    <xf numFmtId="0" fontId="17" fillId="0" borderId="15" xfId="4" applyFont="1" applyFill="1" applyBorder="1" applyAlignment="1">
      <alignment horizontal="right"/>
    </xf>
    <xf numFmtId="164" fontId="17" fillId="0" borderId="15" xfId="4" applyNumberFormat="1" applyFont="1" applyFill="1" applyBorder="1" applyAlignment="1">
      <alignment horizontal="center"/>
    </xf>
    <xf numFmtId="1" fontId="17" fillId="0" borderId="15" xfId="4" applyNumberFormat="1" applyFont="1" applyFill="1" applyBorder="1" applyAlignment="1">
      <alignment horizontal="center"/>
    </xf>
    <xf numFmtId="9" fontId="17" fillId="0" borderId="13" xfId="1512" applyFont="1" applyFill="1" applyBorder="1" applyAlignment="1">
      <alignment horizontal="center" wrapText="1"/>
    </xf>
    <xf numFmtId="2" fontId="17" fillId="0" borderId="15" xfId="4" applyNumberFormat="1" applyFont="1" applyFill="1" applyBorder="1" applyAlignment="1">
      <alignment horizontal="center"/>
    </xf>
    <xf numFmtId="9" fontId="17" fillId="0" borderId="14" xfId="1512" applyFont="1" applyFill="1" applyBorder="1" applyAlignment="1">
      <alignment horizontal="center" wrapText="1"/>
    </xf>
  </cellXfs>
  <cellStyles count="1513">
    <cellStyle name="20% - Accent1 2" xfId="8" xr:uid="{A9C8280B-820C-4D11-9F40-DC94DBB0FD56}"/>
    <cellStyle name="20% - Accent1 2 10" xfId="9" xr:uid="{1846B77D-B3E0-4942-8215-DD8CD04C892F}"/>
    <cellStyle name="20% - Accent1 2 11" xfId="10" xr:uid="{4D05A617-3FDC-4249-968C-52954335C6F7}"/>
    <cellStyle name="20% - Accent1 2 12" xfId="11" xr:uid="{5F7BF528-0087-433A-B18B-886F4A4C56BF}"/>
    <cellStyle name="20% - Accent1 2 13" xfId="12" xr:uid="{E87F26C1-757B-4777-B1D2-F1CBB90FCE34}"/>
    <cellStyle name="20% - Accent1 2 14" xfId="13" xr:uid="{D9029610-6AE1-46D9-A420-4EA689F650B5}"/>
    <cellStyle name="20% - Accent1 2 15" xfId="14" xr:uid="{FB77D8C0-5557-4EA6-9CB0-4333320E2F4E}"/>
    <cellStyle name="20% - Accent1 2 2" xfId="15" xr:uid="{E0F37221-9919-4E20-BAB4-FC71E1306B5E}"/>
    <cellStyle name="20% - Accent1 2 3" xfId="16" xr:uid="{6F4F7CED-D892-416D-A8FC-6881399283D4}"/>
    <cellStyle name="20% - Accent1 2 4" xfId="17" xr:uid="{459CA8C8-4C5A-45BE-B793-6D5B97BAF118}"/>
    <cellStyle name="20% - Accent1 2 5" xfId="18" xr:uid="{BCA89104-A78C-4675-A424-1B2CB71C1944}"/>
    <cellStyle name="20% - Accent1 2 6" xfId="19" xr:uid="{7CA349CE-B1A9-4967-BC6F-FD69A354D755}"/>
    <cellStyle name="20% - Accent1 2 7" xfId="20" xr:uid="{78AF83B3-27B0-4CAD-AA0E-E6D9E4F0115A}"/>
    <cellStyle name="20% - Accent1 2 8" xfId="21" xr:uid="{1AC740ED-B66D-43CD-AA8A-F44419ED690A}"/>
    <cellStyle name="20% - Accent1 2 9" xfId="22" xr:uid="{6E2EB005-F730-425A-B66D-C8EC21C1E8E7}"/>
    <cellStyle name="20% - Accent2 2" xfId="23" xr:uid="{D5A7A68C-566F-46B5-A4B3-E43807097100}"/>
    <cellStyle name="20% - Accent2 2 10" xfId="24" xr:uid="{05703D68-32F4-48A5-BEE6-F63D390F2E19}"/>
    <cellStyle name="20% - Accent2 2 11" xfId="25" xr:uid="{43ABBAD6-684C-4211-AFDE-E45F89494C84}"/>
    <cellStyle name="20% - Accent2 2 12" xfId="26" xr:uid="{A4750D53-3482-4546-855E-72D03D456CA6}"/>
    <cellStyle name="20% - Accent2 2 13" xfId="27" xr:uid="{BA30B1FD-BF52-4805-BB77-7079BD459612}"/>
    <cellStyle name="20% - Accent2 2 14" xfId="28" xr:uid="{26FE5F4E-F79E-4C2E-8F6D-098BD66FE72C}"/>
    <cellStyle name="20% - Accent2 2 15" xfId="29" xr:uid="{B5B23A0D-322F-43C2-908D-867C253D1D6B}"/>
    <cellStyle name="20% - Accent2 2 2" xfId="30" xr:uid="{25CFF662-0480-4351-ADA7-B1038B10637C}"/>
    <cellStyle name="20% - Accent2 2 3" xfId="31" xr:uid="{F29392F6-FD47-40FB-A144-628BC3D92A81}"/>
    <cellStyle name="20% - Accent2 2 4" xfId="32" xr:uid="{68AE9787-D988-445B-AE30-1FCB98E4C3FB}"/>
    <cellStyle name="20% - Accent2 2 5" xfId="33" xr:uid="{C49800B1-32F8-4E36-821B-83D1667B84DD}"/>
    <cellStyle name="20% - Accent2 2 6" xfId="34" xr:uid="{5844AF8B-5A01-4546-A7CB-98DB33B074F6}"/>
    <cellStyle name="20% - Accent2 2 7" xfId="35" xr:uid="{4F83AF36-776A-4FFE-AACC-9858957D3DB0}"/>
    <cellStyle name="20% - Accent2 2 8" xfId="36" xr:uid="{40E8897D-FD71-4DB8-BCE7-B64C774F07B8}"/>
    <cellStyle name="20% - Accent2 2 9" xfId="37" xr:uid="{58BC8ED3-D444-41FE-BCAD-DE4CED4BA901}"/>
    <cellStyle name="20% - Accent3 2" xfId="38" xr:uid="{14A06DCC-2CD0-4A1A-B195-5AF2FA482E57}"/>
    <cellStyle name="20% - Accent3 2 10" xfId="39" xr:uid="{9BE16646-45F9-404E-8C34-D4DB3073768B}"/>
    <cellStyle name="20% - Accent3 2 11" xfId="40" xr:uid="{FCFAB315-2751-463A-BA36-B9F75A2289EA}"/>
    <cellStyle name="20% - Accent3 2 12" xfId="41" xr:uid="{7416917E-440B-43A8-AAE9-B2EC44624923}"/>
    <cellStyle name="20% - Accent3 2 13" xfId="42" xr:uid="{08FC9F67-0DB1-4E35-BA4E-7A8B43D505EB}"/>
    <cellStyle name="20% - Accent3 2 14" xfId="43" xr:uid="{6FA043BE-A96F-47E3-A55D-655DA76839F0}"/>
    <cellStyle name="20% - Accent3 2 15" xfId="44" xr:uid="{D39CF1C8-3D82-4736-B910-FF824A751076}"/>
    <cellStyle name="20% - Accent3 2 2" xfId="45" xr:uid="{6F6F918D-29FA-45AA-B1DB-668518DF824F}"/>
    <cellStyle name="20% - Accent3 2 3" xfId="46" xr:uid="{BE979FA5-D8AD-46E7-AF97-552827F3E093}"/>
    <cellStyle name="20% - Accent3 2 4" xfId="47" xr:uid="{4CA092A1-9076-45D7-A2F8-153CC6C5D27D}"/>
    <cellStyle name="20% - Accent3 2 5" xfId="48" xr:uid="{4E59C4ED-5CDA-4AFA-8C6C-24D0CFCC64AC}"/>
    <cellStyle name="20% - Accent3 2 6" xfId="49" xr:uid="{E737ECFC-0136-4BFE-9710-DFC4089E9828}"/>
    <cellStyle name="20% - Accent3 2 7" xfId="50" xr:uid="{F11494C1-5398-434C-A046-C2241BC54543}"/>
    <cellStyle name="20% - Accent3 2 8" xfId="51" xr:uid="{88C6DCA6-501E-48A5-BA35-F0A2897B2EAC}"/>
    <cellStyle name="20% - Accent3 2 9" xfId="52" xr:uid="{3554260C-1F79-4361-B58C-0463073EF737}"/>
    <cellStyle name="20% - Accent4 2" xfId="53" xr:uid="{16BC40E9-E0C8-44F8-A4FB-7A9D2F6D95E1}"/>
    <cellStyle name="20% - Accent4 2 10" xfId="54" xr:uid="{A8203A28-2FB4-4EFB-A888-74643759B3A4}"/>
    <cellStyle name="20% - Accent4 2 11" xfId="55" xr:uid="{279131B4-8DD9-4B84-98A0-332C90E64FCA}"/>
    <cellStyle name="20% - Accent4 2 12" xfId="56" xr:uid="{80FF3D0B-F27A-42B3-86D7-B875BE6B2015}"/>
    <cellStyle name="20% - Accent4 2 13" xfId="57" xr:uid="{B1C4292E-84B6-4907-8C77-C962307AD441}"/>
    <cellStyle name="20% - Accent4 2 14" xfId="58" xr:uid="{FA0CE9DD-605D-4D75-8FB0-BD0739518682}"/>
    <cellStyle name="20% - Accent4 2 15" xfId="59" xr:uid="{E8E1D912-3AC2-47D9-827E-513AE0CBD96A}"/>
    <cellStyle name="20% - Accent4 2 2" xfId="60" xr:uid="{E9CEC132-10F4-4EA6-8D79-DEBBB7525548}"/>
    <cellStyle name="20% - Accent4 2 3" xfId="61" xr:uid="{11AD69F0-55BF-4756-8A68-2077D99BC06B}"/>
    <cellStyle name="20% - Accent4 2 4" xfId="62" xr:uid="{2B033D80-71A4-42D7-8241-81E9457217B9}"/>
    <cellStyle name="20% - Accent4 2 5" xfId="63" xr:uid="{819BE0D3-38D2-4F00-9576-F306A35F8AA7}"/>
    <cellStyle name="20% - Accent4 2 6" xfId="64" xr:uid="{DD7DD3BA-6C02-4AE9-B135-9E31737B6B72}"/>
    <cellStyle name="20% - Accent4 2 7" xfId="65" xr:uid="{EE00137B-2A38-4F8E-8405-1233DDDCD5A3}"/>
    <cellStyle name="20% - Accent4 2 8" xfId="66" xr:uid="{30061DD2-9CB3-442B-B384-AACF2D7677F4}"/>
    <cellStyle name="20% - Accent4 2 9" xfId="67" xr:uid="{84A437DF-7D6C-4117-85CA-D7F40148C69F}"/>
    <cellStyle name="20% - Accent5 2" xfId="68" xr:uid="{9FD60967-7FBF-401D-A6E1-8E8AD203DD8D}"/>
    <cellStyle name="20% - Accent5 2 10" xfId="69" xr:uid="{1E3C9740-EEA9-4C7D-BEFE-F2FA35D2C445}"/>
    <cellStyle name="20% - Accent5 2 11" xfId="70" xr:uid="{BA4BEC7E-311B-4F5D-805D-CE704B0C8C37}"/>
    <cellStyle name="20% - Accent5 2 12" xfId="71" xr:uid="{1AF3DABB-26D1-4924-BD4B-77BF94CAF109}"/>
    <cellStyle name="20% - Accent5 2 13" xfId="72" xr:uid="{E05D56C5-1D81-4E96-9C98-F04A425E70BD}"/>
    <cellStyle name="20% - Accent5 2 14" xfId="73" xr:uid="{283FF2FB-AE6B-49E9-95D4-E8B74C97A1B3}"/>
    <cellStyle name="20% - Accent5 2 15" xfId="74" xr:uid="{583C77F6-DFB5-45A5-9A11-0F1817051373}"/>
    <cellStyle name="20% - Accent5 2 2" xfId="75" xr:uid="{164E5BC0-0A25-45E4-8F11-64AE81D6CD35}"/>
    <cellStyle name="20% - Accent5 2 3" xfId="76" xr:uid="{47926D27-9924-4B1D-A035-664ED4E6227D}"/>
    <cellStyle name="20% - Accent5 2 4" xfId="77" xr:uid="{589ABA37-2054-4638-BF11-9CFBC078A4DF}"/>
    <cellStyle name="20% - Accent5 2 5" xfId="78" xr:uid="{2CE3545E-0B72-4119-A753-826D76FE458D}"/>
    <cellStyle name="20% - Accent5 2 6" xfId="79" xr:uid="{240EC246-DA30-4B9E-BBE2-F6914125918C}"/>
    <cellStyle name="20% - Accent5 2 7" xfId="80" xr:uid="{079CC385-54E4-42C0-B4AC-92603FB6BC1C}"/>
    <cellStyle name="20% - Accent5 2 8" xfId="81" xr:uid="{613880E6-B363-404D-B824-58372A628DF5}"/>
    <cellStyle name="20% - Accent5 2 9" xfId="82" xr:uid="{D65AC890-51F7-438D-B47F-4C4E411ED478}"/>
    <cellStyle name="20% - Accent6 2" xfId="83" xr:uid="{99D2A60F-189E-4FEC-AFD4-CFFFFFA227AA}"/>
    <cellStyle name="20% - Accent6 2 10" xfId="84" xr:uid="{775E9035-D0B3-48BF-B8AC-3B5873222D0F}"/>
    <cellStyle name="20% - Accent6 2 11" xfId="85" xr:uid="{13B65719-AC18-41C5-A95F-32FAFD8BFBC6}"/>
    <cellStyle name="20% - Accent6 2 12" xfId="86" xr:uid="{E462D3FF-864D-4F59-8813-F1E2DEF0FE32}"/>
    <cellStyle name="20% - Accent6 2 13" xfId="87" xr:uid="{91C9AA9D-A1EE-4230-B036-28A89FD4F3D8}"/>
    <cellStyle name="20% - Accent6 2 14" xfId="88" xr:uid="{3634615B-40F8-4C31-AFEF-B7EF69284355}"/>
    <cellStyle name="20% - Accent6 2 15" xfId="89" xr:uid="{BECBD2C6-768A-4F83-A71E-44B38D3140B7}"/>
    <cellStyle name="20% - Accent6 2 2" xfId="90" xr:uid="{84B86D62-A673-4844-835C-D87356FD4D7A}"/>
    <cellStyle name="20% - Accent6 2 3" xfId="91" xr:uid="{734EE8C0-AC0C-46B9-9FD6-3F62DFCCFD2E}"/>
    <cellStyle name="20% - Accent6 2 4" xfId="92" xr:uid="{137121F4-5396-4E28-8E3E-0ADA761EF025}"/>
    <cellStyle name="20% - Accent6 2 5" xfId="93" xr:uid="{22D1C4F7-EAF5-4896-BEF9-B41AEB377650}"/>
    <cellStyle name="20% - Accent6 2 6" xfId="94" xr:uid="{A044CD78-64DB-448B-B1D0-7965997F9850}"/>
    <cellStyle name="20% - Accent6 2 7" xfId="95" xr:uid="{3218E42D-8C12-48AA-AE16-FAB700029B61}"/>
    <cellStyle name="20% - Accent6 2 8" xfId="96" xr:uid="{F1A8467F-DC27-474C-8D33-89C9988724C0}"/>
    <cellStyle name="20% - Accent6 2 9" xfId="97" xr:uid="{3491A51D-718E-410D-A25A-4568B3A43228}"/>
    <cellStyle name="20% - Akzent1" xfId="98" xr:uid="{545379CE-8FDE-4CE1-A54C-8B616F1DCFA0}"/>
    <cellStyle name="20% - Akzent2" xfId="99" xr:uid="{5372B98C-1EE1-42A9-A8EF-B8B635BE31D1}"/>
    <cellStyle name="20% - Akzent3" xfId="100" xr:uid="{F17D6123-717B-4A4F-8CF7-DE450B13AA14}"/>
    <cellStyle name="20% - Akzent4" xfId="101" xr:uid="{C7E15718-D531-49C1-B603-72E007AE585D}"/>
    <cellStyle name="20% - Akzent5" xfId="102" xr:uid="{B4E328C7-42ED-4560-83FA-0EE74A816063}"/>
    <cellStyle name="20% - Akzent6" xfId="103" xr:uid="{D7B8597D-6443-4692-B0CF-0B25F1864F47}"/>
    <cellStyle name="40% - Accent1 2" xfId="104" xr:uid="{7419D374-76DE-4B67-BD93-3ECCE7AC1677}"/>
    <cellStyle name="40% - Accent1 2 10" xfId="105" xr:uid="{763E0F75-EE40-419D-82B5-6EB1C53FAC64}"/>
    <cellStyle name="40% - Accent1 2 11" xfId="106" xr:uid="{C463B060-67AD-4D95-9F86-458CDAF5295C}"/>
    <cellStyle name="40% - Accent1 2 12" xfId="107" xr:uid="{F42C0DC0-8CD5-422D-B843-4B0AADA43FE0}"/>
    <cellStyle name="40% - Accent1 2 13" xfId="108" xr:uid="{F172FD12-F5BF-4D83-8075-47C20FFD68EF}"/>
    <cellStyle name="40% - Accent1 2 14" xfId="109" xr:uid="{E00F78C1-AF52-43CA-B5C4-FFA9CDDA18D8}"/>
    <cellStyle name="40% - Accent1 2 15" xfId="110" xr:uid="{A7064380-A55E-4C01-A9FF-0B0C4192DA0B}"/>
    <cellStyle name="40% - Accent1 2 2" xfId="111" xr:uid="{05B3442C-C32E-4805-B982-BBAEAE8298A8}"/>
    <cellStyle name="40% - Accent1 2 3" xfId="112" xr:uid="{12538FDD-EBB9-42C9-9516-2F3DE5074B29}"/>
    <cellStyle name="40% - Accent1 2 4" xfId="113" xr:uid="{3327E672-68DC-4B04-8DF4-AC11F5FF299A}"/>
    <cellStyle name="40% - Accent1 2 5" xfId="114" xr:uid="{40DE16DD-FE4C-4520-8AA1-80F3AEAB2C9C}"/>
    <cellStyle name="40% - Accent1 2 6" xfId="115" xr:uid="{B3B95B26-560E-41D9-B48D-3EC4424D2BA4}"/>
    <cellStyle name="40% - Accent1 2 7" xfId="116" xr:uid="{6873A668-1A6F-4ECC-B7EA-03953E5DACE7}"/>
    <cellStyle name="40% - Accent1 2 8" xfId="117" xr:uid="{42005A45-ECAE-403B-BFE6-A5694AC08AC1}"/>
    <cellStyle name="40% - Accent1 2 9" xfId="118" xr:uid="{B35FFD3E-BCBA-480B-8D77-92E5BD48EAFC}"/>
    <cellStyle name="40% - Accent2 2" xfId="119" xr:uid="{7064AAC9-BE1C-4B59-8D01-BBAC1F1AD605}"/>
    <cellStyle name="40% - Accent2 2 10" xfId="120" xr:uid="{68D8B0B7-9E0A-41AF-B352-C3C3740458F1}"/>
    <cellStyle name="40% - Accent2 2 11" xfId="121" xr:uid="{81D40E5F-C052-4E6E-B111-55F4224A8039}"/>
    <cellStyle name="40% - Accent2 2 12" xfId="122" xr:uid="{CD18AD6F-A896-49D3-A2D7-29A0736528E5}"/>
    <cellStyle name="40% - Accent2 2 13" xfId="123" xr:uid="{33223CEB-9A10-4148-8C58-C002EE1F335E}"/>
    <cellStyle name="40% - Accent2 2 14" xfId="124" xr:uid="{90D8213F-5DE7-4CB9-807B-B811441DC50D}"/>
    <cellStyle name="40% - Accent2 2 15" xfId="125" xr:uid="{0EDC9FC2-EE23-4AD7-8708-032B8113B1DB}"/>
    <cellStyle name="40% - Accent2 2 2" xfId="126" xr:uid="{230E09EC-A665-4B4A-A8B0-A8F73FAE8D5D}"/>
    <cellStyle name="40% - Accent2 2 3" xfId="127" xr:uid="{9D8AE626-1A8B-4221-835E-8B4DAA110C11}"/>
    <cellStyle name="40% - Accent2 2 4" xfId="128" xr:uid="{FA2ED06A-9D3A-4AE5-A291-4983785BA9CB}"/>
    <cellStyle name="40% - Accent2 2 5" xfId="129" xr:uid="{94F0176F-825E-4702-AFF9-E386E5AB8D64}"/>
    <cellStyle name="40% - Accent2 2 6" xfId="130" xr:uid="{BD0B95EB-1B25-4FF5-8306-ED189FF7F828}"/>
    <cellStyle name="40% - Accent2 2 7" xfId="131" xr:uid="{1EEE89BC-AE59-4DE1-9D87-F7FA321C4806}"/>
    <cellStyle name="40% - Accent2 2 8" xfId="132" xr:uid="{ECA5FB31-6694-49FA-BACB-AF611377D5E5}"/>
    <cellStyle name="40% - Accent2 2 9" xfId="133" xr:uid="{4C09F8A4-2012-40C0-8494-860BC2142866}"/>
    <cellStyle name="40% - Accent3 2" xfId="134" xr:uid="{291E05AE-52D3-439C-8CB9-59E60A26CA24}"/>
    <cellStyle name="40% - Accent3 2 10" xfId="135" xr:uid="{CF9CA297-89A9-42AC-A852-224C03DDE31B}"/>
    <cellStyle name="40% - Accent3 2 11" xfId="136" xr:uid="{EA3C1F73-F5CA-4033-B4A0-3BFD711B4E80}"/>
    <cellStyle name="40% - Accent3 2 12" xfId="137" xr:uid="{9B79FF25-9931-4F69-BECA-F852606D01F1}"/>
    <cellStyle name="40% - Accent3 2 13" xfId="138" xr:uid="{B0773F04-4971-417A-8565-18EA74E697E7}"/>
    <cellStyle name="40% - Accent3 2 14" xfId="139" xr:uid="{0BBC1D3F-4B7A-4494-A2AD-E4139FA071E2}"/>
    <cellStyle name="40% - Accent3 2 15" xfId="140" xr:uid="{C146447E-3C1F-47BF-BB44-C394BDB565C3}"/>
    <cellStyle name="40% - Accent3 2 2" xfId="141" xr:uid="{DD4BB281-3091-4180-BEF9-9EC880592F5E}"/>
    <cellStyle name="40% - Accent3 2 3" xfId="142" xr:uid="{3392F213-0806-40CF-B294-E78A75A6DCB7}"/>
    <cellStyle name="40% - Accent3 2 4" xfId="143" xr:uid="{DE0DAEC5-9677-4096-8BB5-7EE6013F8BD0}"/>
    <cellStyle name="40% - Accent3 2 5" xfId="144" xr:uid="{9FFE5AAA-212B-441B-9ED4-1E1038A89AD7}"/>
    <cellStyle name="40% - Accent3 2 6" xfId="145" xr:uid="{D1D56BF5-7739-4C7E-9740-EAE1C03F5458}"/>
    <cellStyle name="40% - Accent3 2 7" xfId="146" xr:uid="{436D4809-E366-42A0-B546-37933B3BBA1A}"/>
    <cellStyle name="40% - Accent3 2 8" xfId="147" xr:uid="{0969CACE-5A4A-4F51-8786-E8F7F1FE00CD}"/>
    <cellStyle name="40% - Accent3 2 9" xfId="148" xr:uid="{5AFC9541-40A0-4BE4-9323-A48076A2F7BB}"/>
    <cellStyle name="40% - Accent4 2" xfId="149" xr:uid="{42573A52-8FDD-4F86-9026-FD8F4993454B}"/>
    <cellStyle name="40% - Accent4 2 10" xfId="150" xr:uid="{5319FDAD-8DB0-4B59-B1DB-5606B6D5A229}"/>
    <cellStyle name="40% - Accent4 2 11" xfId="151" xr:uid="{9DB512D9-A138-442B-AB40-312C8BB43CDF}"/>
    <cellStyle name="40% - Accent4 2 12" xfId="152" xr:uid="{D5544606-C076-4986-A893-5B2E2725FFFA}"/>
    <cellStyle name="40% - Accent4 2 13" xfId="153" xr:uid="{77836946-BDE0-46ED-9A53-AD3425F76D50}"/>
    <cellStyle name="40% - Accent4 2 14" xfId="154" xr:uid="{9FAF1C70-C164-4592-8673-52C8A88DACBB}"/>
    <cellStyle name="40% - Accent4 2 15" xfId="155" xr:uid="{20714F77-22E4-4D51-A32A-A724DE965F2C}"/>
    <cellStyle name="40% - Accent4 2 2" xfId="156" xr:uid="{6817BEAB-3882-4317-81F9-4DD93DCFAFBE}"/>
    <cellStyle name="40% - Accent4 2 3" xfId="157" xr:uid="{904A2525-6801-4E13-8FA0-42ACE1045179}"/>
    <cellStyle name="40% - Accent4 2 4" xfId="158" xr:uid="{6124E7D0-0620-42DD-AB4B-494587C12B91}"/>
    <cellStyle name="40% - Accent4 2 5" xfId="159" xr:uid="{F2B5B813-E2AE-4DF6-A59E-40598CA56AD4}"/>
    <cellStyle name="40% - Accent4 2 6" xfId="160" xr:uid="{260969FE-716C-4F9F-8FC9-99A9DE750CCA}"/>
    <cellStyle name="40% - Accent4 2 7" xfId="161" xr:uid="{0BBCF5DE-1250-4DE8-8DA2-D5D198668B1C}"/>
    <cellStyle name="40% - Accent4 2 8" xfId="162" xr:uid="{18836E74-77A0-44D0-97A4-81E8928A5606}"/>
    <cellStyle name="40% - Accent4 2 9" xfId="163" xr:uid="{DF5CCFA8-C011-4C57-AF1D-D9907C35A6B4}"/>
    <cellStyle name="40% - Accent5 2" xfId="164" xr:uid="{2BC99906-CF76-4036-9971-3547BA7DFEE4}"/>
    <cellStyle name="40% - Accent5 2 10" xfId="165" xr:uid="{42745A56-2501-4FA6-BBDE-1867DD91CF35}"/>
    <cellStyle name="40% - Accent5 2 11" xfId="166" xr:uid="{1B9D93C1-0318-480C-B2D1-3BB00D8F37D2}"/>
    <cellStyle name="40% - Accent5 2 12" xfId="167" xr:uid="{EA002AA8-2365-4480-BB77-1362236941C0}"/>
    <cellStyle name="40% - Accent5 2 13" xfId="168" xr:uid="{26913FED-2E53-4F9B-B249-0B5686CB4088}"/>
    <cellStyle name="40% - Accent5 2 14" xfId="169" xr:uid="{0322CFBE-E28E-4236-9A78-4CD345F4DEA0}"/>
    <cellStyle name="40% - Accent5 2 15" xfId="170" xr:uid="{EA98A922-228A-441A-A0F0-BBAEFB4752FB}"/>
    <cellStyle name="40% - Accent5 2 2" xfId="171" xr:uid="{7DD88101-1CCD-4760-B9FE-6F37D8326173}"/>
    <cellStyle name="40% - Accent5 2 3" xfId="172" xr:uid="{CFB9C2EF-8A94-4FAB-8445-0766275148AF}"/>
    <cellStyle name="40% - Accent5 2 4" xfId="173" xr:uid="{49DB9B00-E164-408D-BED5-990626C343CE}"/>
    <cellStyle name="40% - Accent5 2 5" xfId="174" xr:uid="{A211EB55-47AC-47C6-9233-512EDA39872F}"/>
    <cellStyle name="40% - Accent5 2 6" xfId="175" xr:uid="{9F60D69D-4ABA-45D4-B68A-374BFC9752A1}"/>
    <cellStyle name="40% - Accent5 2 7" xfId="176" xr:uid="{22BEA405-8211-4E52-A7E3-27690003E634}"/>
    <cellStyle name="40% - Accent5 2 8" xfId="177" xr:uid="{AAB67466-BB5D-4D3F-AF66-326D80D27EC4}"/>
    <cellStyle name="40% - Accent5 2 9" xfId="178" xr:uid="{EE4B5145-CC66-4487-81A4-ED04930386AA}"/>
    <cellStyle name="40% - Accent6 2" xfId="179" xr:uid="{6C5225C2-F457-4E4E-93DF-C1B9E20F3193}"/>
    <cellStyle name="40% - Accent6 2 10" xfId="180" xr:uid="{F52E0647-7C55-4977-B239-D30C46477A87}"/>
    <cellStyle name="40% - Accent6 2 11" xfId="181" xr:uid="{EE53A635-1799-4F0B-B13B-E23AC6C5AD41}"/>
    <cellStyle name="40% - Accent6 2 12" xfId="182" xr:uid="{F0A379DD-E8EB-490C-A96C-7A9AFB507BA0}"/>
    <cellStyle name="40% - Accent6 2 13" xfId="183" xr:uid="{0E38D06C-7021-451B-9CE1-D37B9A651446}"/>
    <cellStyle name="40% - Accent6 2 14" xfId="184" xr:uid="{AD231CF9-9CD5-4B94-BAAE-5458D32447F3}"/>
    <cellStyle name="40% - Accent6 2 15" xfId="185" xr:uid="{0F70A13F-373E-4BDB-8111-4DA0E646718D}"/>
    <cellStyle name="40% - Accent6 2 2" xfId="186" xr:uid="{8206A8A4-A439-4076-B921-726C3250FFE5}"/>
    <cellStyle name="40% - Accent6 2 3" xfId="187" xr:uid="{9B2DEA85-D7EC-4A28-BDED-DD842E78E0B5}"/>
    <cellStyle name="40% - Accent6 2 4" xfId="188" xr:uid="{B519A0E6-769A-4481-9458-016ED00F1A23}"/>
    <cellStyle name="40% - Accent6 2 5" xfId="189" xr:uid="{903FD515-9150-4920-B2E3-02A47DDBE8FE}"/>
    <cellStyle name="40% - Accent6 2 6" xfId="190" xr:uid="{896FF6CA-8544-4B27-BF98-98880A2306ED}"/>
    <cellStyle name="40% - Accent6 2 7" xfId="191" xr:uid="{CED067CB-5745-4F6D-AF97-DB62A10E7577}"/>
    <cellStyle name="40% - Accent6 2 8" xfId="192" xr:uid="{D953F181-78FD-4B34-BB8F-4026955DEF72}"/>
    <cellStyle name="40% - Accent6 2 9" xfId="193" xr:uid="{0A67B180-2219-4FF9-9B09-1BEB0665291E}"/>
    <cellStyle name="40% - Akzent1" xfId="194" xr:uid="{F6461562-E1FC-4820-B860-67226F6DBC86}"/>
    <cellStyle name="40% - Akzent2" xfId="195" xr:uid="{033D8CF6-423D-45FF-A178-627B1A16F236}"/>
    <cellStyle name="40% - Akzent3" xfId="196" xr:uid="{DA489470-5D9B-44F7-8011-D57243056FA3}"/>
    <cellStyle name="40% - Akzent4" xfId="197" xr:uid="{25E5B19B-989B-4354-947E-E9DBEB1B45AA}"/>
    <cellStyle name="40% - Akzent5" xfId="198" xr:uid="{F0838C93-8D80-4EF7-BD9E-87DF909FCDD2}"/>
    <cellStyle name="40% - Akzent6" xfId="199" xr:uid="{550E0F13-DCFD-42C7-A958-A2DD18575DE7}"/>
    <cellStyle name="60% - Accent1 2" xfId="200" xr:uid="{19DE0347-5CAB-4BDD-A371-FC2AA67F017F}"/>
    <cellStyle name="60% - Accent1 2 10" xfId="201" xr:uid="{7846D6CE-0DF5-47BD-9630-E608BBD71A6D}"/>
    <cellStyle name="60% - Accent1 2 11" xfId="202" xr:uid="{34461935-8997-40BE-8368-59CFFB746BA0}"/>
    <cellStyle name="60% - Accent1 2 12" xfId="203" xr:uid="{9E8CD44A-2385-4D31-B4DF-F961A861443C}"/>
    <cellStyle name="60% - Accent1 2 13" xfId="204" xr:uid="{C5BB4F44-25BE-4FD5-8225-42ACC478056C}"/>
    <cellStyle name="60% - Accent1 2 14" xfId="205" xr:uid="{230AA930-CC5E-4BFC-A3E3-E24483456AAF}"/>
    <cellStyle name="60% - Accent1 2 15" xfId="206" xr:uid="{EDC3B2C7-2BD7-405D-B7CD-8232E96682B7}"/>
    <cellStyle name="60% - Accent1 2 2" xfId="207" xr:uid="{BAFC96F0-3026-4E1A-869A-D0FC09A6A051}"/>
    <cellStyle name="60% - Accent1 2 3" xfId="208" xr:uid="{72164342-CACA-4AFF-A3EC-52CA196D7495}"/>
    <cellStyle name="60% - Accent1 2 4" xfId="209" xr:uid="{25D071A7-F42B-4E64-8736-4325E8C18F45}"/>
    <cellStyle name="60% - Accent1 2 5" xfId="210" xr:uid="{64DBAE5E-2A24-4209-8C0E-AC28449699C4}"/>
    <cellStyle name="60% - Accent1 2 6" xfId="211" xr:uid="{FBFC59B8-45A4-4A42-A1F3-823447C1E7B1}"/>
    <cellStyle name="60% - Accent1 2 7" xfId="212" xr:uid="{73DEE48B-B381-450D-8465-0DF684B9EA97}"/>
    <cellStyle name="60% - Accent1 2 8" xfId="213" xr:uid="{6401AF1A-AAD3-4224-A161-61582824A3E5}"/>
    <cellStyle name="60% - Accent1 2 9" xfId="214" xr:uid="{9FA7DCD1-9BE6-4A7A-A92A-2BDF36207CCF}"/>
    <cellStyle name="60% - Accent2 2" xfId="215" xr:uid="{EDFD8A18-A8E2-4A40-AC73-D4C077B96A6B}"/>
    <cellStyle name="60% - Accent2 2 10" xfId="216" xr:uid="{6BC5D06C-E479-45C5-9CBE-4DA7D69E838F}"/>
    <cellStyle name="60% - Accent2 2 11" xfId="217" xr:uid="{A96CCB2B-A4AD-475F-85B7-65A8CE338AF8}"/>
    <cellStyle name="60% - Accent2 2 12" xfId="218" xr:uid="{9209FABF-CF73-4FC1-9595-58A496FC8358}"/>
    <cellStyle name="60% - Accent2 2 13" xfId="219" xr:uid="{8A2333BA-6390-4D0F-8DB1-AB93E93D4ABD}"/>
    <cellStyle name="60% - Accent2 2 14" xfId="220" xr:uid="{EF5CAC36-9AEB-4D3D-9EF5-491EEF216FBC}"/>
    <cellStyle name="60% - Accent2 2 15" xfId="221" xr:uid="{74F58356-F528-4F7D-BCFD-03F19C798B1E}"/>
    <cellStyle name="60% - Accent2 2 2" xfId="222" xr:uid="{CB095AFA-D9F7-42FF-A4B3-5A6DAFE3E2E7}"/>
    <cellStyle name="60% - Accent2 2 3" xfId="223" xr:uid="{B9283FA7-2F26-445F-A160-EE091CCB2758}"/>
    <cellStyle name="60% - Accent2 2 4" xfId="224" xr:uid="{BB66F5AE-93B4-4973-9322-1C158D3AFEF4}"/>
    <cellStyle name="60% - Accent2 2 5" xfId="225" xr:uid="{248BBCD7-FE92-49DE-9226-9CB789E71E81}"/>
    <cellStyle name="60% - Accent2 2 6" xfId="226" xr:uid="{B452656D-56A7-402D-810E-B9C3D2A4DA12}"/>
    <cellStyle name="60% - Accent2 2 7" xfId="227" xr:uid="{4DAFD530-F8AC-4C9D-99EC-19A19BB843C0}"/>
    <cellStyle name="60% - Accent2 2 8" xfId="228" xr:uid="{5676A6C2-65DD-4FDC-AD20-352A428EAB0C}"/>
    <cellStyle name="60% - Accent2 2 9" xfId="229" xr:uid="{C9719234-5095-4A40-B565-CACB1C7BB909}"/>
    <cellStyle name="60% - Accent3 2" xfId="230" xr:uid="{1828EFD4-F30B-4651-A817-C91B789742A8}"/>
    <cellStyle name="60% - Accent3 2 10" xfId="231" xr:uid="{CCA6563D-6D77-4BA2-B844-5F987DF3A2A9}"/>
    <cellStyle name="60% - Accent3 2 11" xfId="232" xr:uid="{1E4096C8-AA8F-4666-8F01-8DE2788B29DF}"/>
    <cellStyle name="60% - Accent3 2 12" xfId="233" xr:uid="{68C5E8D3-7F49-411E-87B0-8273B833515D}"/>
    <cellStyle name="60% - Accent3 2 13" xfId="234" xr:uid="{E5ABD2A3-FE61-47A9-A5F3-19757513B1BC}"/>
    <cellStyle name="60% - Accent3 2 14" xfId="235" xr:uid="{92A26F20-7BA1-4686-9EED-F91FA195DD09}"/>
    <cellStyle name="60% - Accent3 2 15" xfId="236" xr:uid="{200969D6-8EE8-4AB7-8D8B-9A571FEC03EF}"/>
    <cellStyle name="60% - Accent3 2 2" xfId="237" xr:uid="{7772E977-ADE2-4EC8-8489-D9A66D82B1D0}"/>
    <cellStyle name="60% - Accent3 2 3" xfId="238" xr:uid="{98943FA8-2575-4ECB-A1FE-B72A1A718EF2}"/>
    <cellStyle name="60% - Accent3 2 4" xfId="239" xr:uid="{0B7B1B54-7F0E-4F2B-AA2C-94554C4879D7}"/>
    <cellStyle name="60% - Accent3 2 5" xfId="240" xr:uid="{C2F5BE35-1C8D-4DE1-A19C-044C03F91891}"/>
    <cellStyle name="60% - Accent3 2 6" xfId="241" xr:uid="{391F969D-1722-4160-BD8E-52F8F8D37032}"/>
    <cellStyle name="60% - Accent3 2 7" xfId="242" xr:uid="{C641390F-9042-480D-99A0-5DD69C32C9E8}"/>
    <cellStyle name="60% - Accent3 2 8" xfId="243" xr:uid="{4E0E0C70-BC52-4AE3-B417-1D0DDAD73E3A}"/>
    <cellStyle name="60% - Accent3 2 9" xfId="244" xr:uid="{6FEF62F2-FF7E-4C48-AD49-5CC3EE095615}"/>
    <cellStyle name="60% - Accent4 2" xfId="245" xr:uid="{75BA4474-2376-44D6-A1D2-85FD53808CF2}"/>
    <cellStyle name="60% - Accent4 2 10" xfId="246" xr:uid="{AD936316-256C-4AD4-BA31-A83DC5F0E709}"/>
    <cellStyle name="60% - Accent4 2 11" xfId="247" xr:uid="{E2B9117B-DF73-4555-A9EC-6CF1854F8635}"/>
    <cellStyle name="60% - Accent4 2 12" xfId="248" xr:uid="{D57BF2E6-02DD-4892-8991-2EB49CE07FC8}"/>
    <cellStyle name="60% - Accent4 2 13" xfId="249" xr:uid="{EC1639CE-0E4E-4024-806B-7E8A63FE76EF}"/>
    <cellStyle name="60% - Accent4 2 14" xfId="250" xr:uid="{B7A8D720-2B3F-4196-A3FC-4557DA999FE6}"/>
    <cellStyle name="60% - Accent4 2 15" xfId="251" xr:uid="{D2D0430B-B082-4D6E-9B65-335DAE7B55D0}"/>
    <cellStyle name="60% - Accent4 2 2" xfId="252" xr:uid="{532AC171-F88F-45DE-89E8-F47A5D96B7A7}"/>
    <cellStyle name="60% - Accent4 2 3" xfId="253" xr:uid="{82FDF8AE-6B82-4CDC-9C9B-31F92B31F9FD}"/>
    <cellStyle name="60% - Accent4 2 4" xfId="254" xr:uid="{4136DC57-99E4-4E46-9041-AD41B418F067}"/>
    <cellStyle name="60% - Accent4 2 5" xfId="255" xr:uid="{9E89F909-FB66-48D5-ADB7-688992A329EA}"/>
    <cellStyle name="60% - Accent4 2 6" xfId="256" xr:uid="{DEB33422-23E6-47D6-A308-6D6E1758E7DD}"/>
    <cellStyle name="60% - Accent4 2 7" xfId="257" xr:uid="{B7DB6471-6623-4482-A5F6-7871F22567C2}"/>
    <cellStyle name="60% - Accent4 2 8" xfId="258" xr:uid="{AA62627D-3507-49FD-B679-F1AEF19CF4F7}"/>
    <cellStyle name="60% - Accent4 2 9" xfId="259" xr:uid="{C06BFDEC-481A-40CA-8085-76D4E4FBB4BB}"/>
    <cellStyle name="60% - Accent5 2" xfId="260" xr:uid="{D424664B-3A38-4307-B40C-8BB69C47D9B9}"/>
    <cellStyle name="60% - Accent5 2 10" xfId="261" xr:uid="{EF754685-6A53-4E6B-B4A2-D3F8277A8FF7}"/>
    <cellStyle name="60% - Accent5 2 11" xfId="262" xr:uid="{CB628AE2-6C3F-4A39-9AC0-44792E5DA224}"/>
    <cellStyle name="60% - Accent5 2 12" xfId="263" xr:uid="{CAD11311-CE58-4998-807E-EF273039EF32}"/>
    <cellStyle name="60% - Accent5 2 13" xfId="264" xr:uid="{5E891B95-306C-4DC3-90FF-84E598AE9083}"/>
    <cellStyle name="60% - Accent5 2 14" xfId="265" xr:uid="{A55B4D54-F364-418F-8C51-1F83E58CECBE}"/>
    <cellStyle name="60% - Accent5 2 15" xfId="266" xr:uid="{32F93884-CBCE-4DAD-96F8-2AC13EB32F53}"/>
    <cellStyle name="60% - Accent5 2 2" xfId="267" xr:uid="{2D1C4FED-209A-47CA-B2A9-D13E98C624CE}"/>
    <cellStyle name="60% - Accent5 2 3" xfId="268" xr:uid="{B002B3EA-40F7-421D-BC24-A2147821D742}"/>
    <cellStyle name="60% - Accent5 2 4" xfId="269" xr:uid="{2C976FFF-FA98-4313-8D91-58B8CF34109F}"/>
    <cellStyle name="60% - Accent5 2 5" xfId="270" xr:uid="{F272C19D-4DF1-4566-904C-10CD1114F8B6}"/>
    <cellStyle name="60% - Accent5 2 6" xfId="271" xr:uid="{05AD6DD0-7B4A-4C3B-8377-C15065D7D7D7}"/>
    <cellStyle name="60% - Accent5 2 7" xfId="272" xr:uid="{65C7BEA5-A200-40E5-9C97-E829FA8F3184}"/>
    <cellStyle name="60% - Accent5 2 8" xfId="273" xr:uid="{610F4523-F860-414B-9F26-A738B9E5A1C7}"/>
    <cellStyle name="60% - Accent5 2 9" xfId="274" xr:uid="{E46B5383-8AD7-49BD-8BF8-671C3E699FDA}"/>
    <cellStyle name="60% - Accent6 2" xfId="275" xr:uid="{4A2EC840-8DB0-4C19-BFCE-BF7434B3E082}"/>
    <cellStyle name="60% - Accent6 2 10" xfId="276" xr:uid="{67259901-36DA-45E4-9BF8-9E77666B4DAE}"/>
    <cellStyle name="60% - Accent6 2 11" xfId="277" xr:uid="{114F5777-BC07-4642-9FC5-AE5D7FDEF05C}"/>
    <cellStyle name="60% - Accent6 2 12" xfId="278" xr:uid="{974F8EFA-FFE7-4F85-AC9C-13963C60B337}"/>
    <cellStyle name="60% - Accent6 2 13" xfId="279" xr:uid="{0863C9EB-2383-40E9-83C8-C9A6152FF1F5}"/>
    <cellStyle name="60% - Accent6 2 14" xfId="280" xr:uid="{DB9E98AF-F748-458D-A3B9-DC6AE34D0108}"/>
    <cellStyle name="60% - Accent6 2 15" xfId="281" xr:uid="{2557DC44-EE85-4BA4-957C-A009538FDC92}"/>
    <cellStyle name="60% - Accent6 2 2" xfId="282" xr:uid="{D8CA258B-D260-4A38-A373-FE1B33D56BE9}"/>
    <cellStyle name="60% - Accent6 2 3" xfId="283" xr:uid="{0A1D1ABA-53D7-4300-83A5-ED3A3EDE0DDF}"/>
    <cellStyle name="60% - Accent6 2 4" xfId="284" xr:uid="{D9136577-D4D3-4B6C-BAEA-FDC740111808}"/>
    <cellStyle name="60% - Accent6 2 5" xfId="285" xr:uid="{CADEFC33-7112-4E17-927C-D16C2A893CF1}"/>
    <cellStyle name="60% - Accent6 2 6" xfId="286" xr:uid="{3FF0037C-97A4-4AE4-AE0B-09A780697289}"/>
    <cellStyle name="60% - Accent6 2 7" xfId="287" xr:uid="{ABED7631-9955-4ADF-AFFA-90127F97A8DF}"/>
    <cellStyle name="60% - Accent6 2 8" xfId="288" xr:uid="{8681CA66-0D9C-4AC4-9BF8-E98860031825}"/>
    <cellStyle name="60% - Accent6 2 9" xfId="289" xr:uid="{C58B89D2-55C4-4DDB-BAF2-6C769DE7E5F7}"/>
    <cellStyle name="60% - Akzent1" xfId="290" xr:uid="{3A7DAC31-0D90-4669-9CBD-0F6A7A19D247}"/>
    <cellStyle name="60% - Akzent2" xfId="291" xr:uid="{A6CCFAEA-FA69-4F6A-A25C-ED505119856D}"/>
    <cellStyle name="60% - Akzent3" xfId="292" xr:uid="{54DD8062-5881-45DF-A412-E90F401BB490}"/>
    <cellStyle name="60% - Akzent4" xfId="293" xr:uid="{658F7822-F0FF-41BE-9906-5EFE985A46BC}"/>
    <cellStyle name="60% - Akzent5" xfId="294" xr:uid="{298E992E-C6D0-4CAC-931E-07B3BC81F0F2}"/>
    <cellStyle name="60% - Akzent6" xfId="295" xr:uid="{DA261CC1-F9BA-4F55-AB3B-B890F7218D17}"/>
    <cellStyle name="Accent1 2" xfId="296" xr:uid="{A117C81B-653E-4961-9675-9E848E2F0D2F}"/>
    <cellStyle name="Accent1 2 10" xfId="297" xr:uid="{BB700AC1-92AB-49AA-9486-329309D7B015}"/>
    <cellStyle name="Accent1 2 11" xfId="298" xr:uid="{AFFE4806-6949-464E-AFEF-E5184C69C128}"/>
    <cellStyle name="Accent1 2 12" xfId="299" xr:uid="{D39EBE3D-DC56-4E96-998A-F1D6C8192159}"/>
    <cellStyle name="Accent1 2 13" xfId="300" xr:uid="{3CD73DA6-CE9D-40EB-8B85-71B7D217A106}"/>
    <cellStyle name="Accent1 2 14" xfId="301" xr:uid="{A2B0F39C-BFDB-4B79-A6E7-1CB6E996F82D}"/>
    <cellStyle name="Accent1 2 15" xfId="302" xr:uid="{27DB45D0-3C1C-4A1A-9BB4-34A5DF5CF250}"/>
    <cellStyle name="Accent1 2 2" xfId="303" xr:uid="{98AA5246-114A-4C38-A328-3DAA0FBFEC2C}"/>
    <cellStyle name="Accent1 2 3" xfId="304" xr:uid="{B2CD601D-08F5-4584-95F8-A7E04E251A08}"/>
    <cellStyle name="Accent1 2 4" xfId="305" xr:uid="{4617A730-E709-48F4-8FA1-A667B47DDB87}"/>
    <cellStyle name="Accent1 2 5" xfId="306" xr:uid="{8BA0C4E4-8904-4D24-9AD1-68676997B706}"/>
    <cellStyle name="Accent1 2 6" xfId="307" xr:uid="{7D2E676A-8685-4BA5-B1F9-EC1A236C6D8A}"/>
    <cellStyle name="Accent1 2 7" xfId="308" xr:uid="{C44FB98C-58F9-4109-9439-7FDED6C4B250}"/>
    <cellStyle name="Accent1 2 8" xfId="309" xr:uid="{FB3B4DC7-111F-46C1-8496-E65B549FE01B}"/>
    <cellStyle name="Accent1 2 9" xfId="310" xr:uid="{41222FB2-A970-48AE-8B8C-81D1CE6BD820}"/>
    <cellStyle name="Accent2" xfId="1" builtinId="33"/>
    <cellStyle name="Accent2 2" xfId="311" xr:uid="{40E00BE4-F339-42D3-8519-B7B79D2C19F0}"/>
    <cellStyle name="Accent2 2 10" xfId="312" xr:uid="{A355032F-DCBD-4BC2-9416-17A4807CA86C}"/>
    <cellStyle name="Accent2 2 11" xfId="313" xr:uid="{3DAE90B8-F96C-4888-A109-55823AE828ED}"/>
    <cellStyle name="Accent2 2 12" xfId="314" xr:uid="{01FC7EC9-34ED-4DF8-9083-D7AB33691DD1}"/>
    <cellStyle name="Accent2 2 13" xfId="315" xr:uid="{497DFFE8-6A49-4E65-8ABF-E0BECC4D6149}"/>
    <cellStyle name="Accent2 2 14" xfId="316" xr:uid="{7B9A5F3E-F4B4-4BA1-8765-5350E0067A29}"/>
    <cellStyle name="Accent2 2 15" xfId="317" xr:uid="{BF5F35E8-9589-44A9-8760-1697B59F1AC0}"/>
    <cellStyle name="Accent2 2 2" xfId="318" xr:uid="{EE756F5D-7955-4F82-900F-F173F62E3123}"/>
    <cellStyle name="Accent2 2 3" xfId="319" xr:uid="{CDEA7154-5F73-44EC-83C5-AC1D989A563A}"/>
    <cellStyle name="Accent2 2 4" xfId="320" xr:uid="{9AD42584-54BC-4F2C-9598-AECD9F8B8CAE}"/>
    <cellStyle name="Accent2 2 5" xfId="321" xr:uid="{B5F624D1-578B-489D-B7B4-32E900F14697}"/>
    <cellStyle name="Accent2 2 6" xfId="322" xr:uid="{B5639336-8FED-486F-9AE1-26C86B2EB40E}"/>
    <cellStyle name="Accent2 2 7" xfId="323" xr:uid="{F0A928B8-FB0A-423F-846E-00A71448A765}"/>
    <cellStyle name="Accent2 2 8" xfId="324" xr:uid="{0F852E3B-4478-4802-9AD4-440B022D149F}"/>
    <cellStyle name="Accent2 2 9" xfId="325" xr:uid="{F3A2D644-B0F9-4761-A51B-F570FBCAD73C}"/>
    <cellStyle name="Accent3 2" xfId="326" xr:uid="{1F4B74A1-6EF8-43C1-988C-A0E50662A1A0}"/>
    <cellStyle name="Accent3 2 10" xfId="327" xr:uid="{B0659A32-847A-4B3E-A807-220A014BBACD}"/>
    <cellStyle name="Accent3 2 11" xfId="328" xr:uid="{426DF466-36F6-4B70-842D-304AF75DDDC7}"/>
    <cellStyle name="Accent3 2 12" xfId="329" xr:uid="{AA9C4383-2249-4E0B-89A6-F23704BDD406}"/>
    <cellStyle name="Accent3 2 13" xfId="330" xr:uid="{03DE8A2A-D278-473D-848B-672181AEBBC0}"/>
    <cellStyle name="Accent3 2 14" xfId="331" xr:uid="{F80506B0-8250-461A-9BA8-BA1CAF76E986}"/>
    <cellStyle name="Accent3 2 15" xfId="332" xr:uid="{1FD75D68-A1EE-40EE-A5AB-4BCF0F8C1A56}"/>
    <cellStyle name="Accent3 2 2" xfId="333" xr:uid="{8EF17DD2-D685-4E6F-B2A0-A7959245A437}"/>
    <cellStyle name="Accent3 2 3" xfId="334" xr:uid="{D8BC30A5-17A8-4D19-9E21-25516BE19407}"/>
    <cellStyle name="Accent3 2 4" xfId="335" xr:uid="{488E9DC7-3A29-4C9B-B5DB-67F2C869DC9E}"/>
    <cellStyle name="Accent3 2 5" xfId="336" xr:uid="{2D58E559-BD73-43D2-A2D6-4DE5B05A41AB}"/>
    <cellStyle name="Accent3 2 6" xfId="337" xr:uid="{EAB763A5-D4E5-46C9-92F6-CB8C791373B4}"/>
    <cellStyle name="Accent3 2 7" xfId="338" xr:uid="{BB972ECA-A04E-4735-952A-C03D3D18BAFE}"/>
    <cellStyle name="Accent3 2 8" xfId="339" xr:uid="{D12FD97D-0FB9-424F-A40C-2C455A009CA6}"/>
    <cellStyle name="Accent3 2 9" xfId="340" xr:uid="{A45B578E-3244-4EB4-9E6C-358ACF0692BA}"/>
    <cellStyle name="Accent4 2" xfId="341" xr:uid="{06293408-9244-4F53-88B5-D6328670834F}"/>
    <cellStyle name="Accent4 2 10" xfId="342" xr:uid="{A4058E90-31F8-42B2-80B0-C2F14017D404}"/>
    <cellStyle name="Accent4 2 11" xfId="343" xr:uid="{14A47CDD-BB8A-47A0-8794-9F45B19AC36C}"/>
    <cellStyle name="Accent4 2 12" xfId="344" xr:uid="{21F3281C-4CE7-4F9C-8FE3-E4A5C585CBBE}"/>
    <cellStyle name="Accent4 2 13" xfId="345" xr:uid="{D699ED4B-5D18-44C4-9533-3CB8229E3060}"/>
    <cellStyle name="Accent4 2 14" xfId="346" xr:uid="{A41CAFEF-5457-4EBA-B6FC-D6BE151A5980}"/>
    <cellStyle name="Accent4 2 15" xfId="347" xr:uid="{CCC18255-1DF1-4C91-B4FD-2F253D2D84EF}"/>
    <cellStyle name="Accent4 2 2" xfId="348" xr:uid="{10782B7D-7560-4B22-B0A7-079BD1DF360B}"/>
    <cellStyle name="Accent4 2 3" xfId="349" xr:uid="{C9B84D96-987E-4758-9FDF-292199B89A2D}"/>
    <cellStyle name="Accent4 2 4" xfId="350" xr:uid="{8524C71E-9A9B-4110-BE67-47859296BAC0}"/>
    <cellStyle name="Accent4 2 5" xfId="351" xr:uid="{C7B36544-55BC-401D-8A8F-9D9FEAAECCCA}"/>
    <cellStyle name="Accent4 2 6" xfId="352" xr:uid="{48795F8F-3E0D-4260-9D30-5130FD5BEDEC}"/>
    <cellStyle name="Accent4 2 7" xfId="353" xr:uid="{7998150E-B69A-47DC-ACCA-C01B4FFAEB6A}"/>
    <cellStyle name="Accent4 2 8" xfId="354" xr:uid="{258DE439-8E28-4F56-9263-687D44093F7C}"/>
    <cellStyle name="Accent4 2 9" xfId="355" xr:uid="{1935FAEB-654F-4D0E-9AFD-ECA3EC25F2A2}"/>
    <cellStyle name="Accent5 2" xfId="356" xr:uid="{341A4501-672C-4461-8F5E-4851779D1531}"/>
    <cellStyle name="Accent5 2 10" xfId="357" xr:uid="{1DF77E4D-945B-407A-8FEA-30A89AB8DC0E}"/>
    <cellStyle name="Accent5 2 11" xfId="358" xr:uid="{23115444-A3A1-4661-9577-AB2E713552CB}"/>
    <cellStyle name="Accent5 2 12" xfId="359" xr:uid="{6621FEB4-0E3F-4795-B48E-7AE552F60C5F}"/>
    <cellStyle name="Accent5 2 13" xfId="360" xr:uid="{843AE313-FD9A-4D46-9EEF-1001339E0C44}"/>
    <cellStyle name="Accent5 2 14" xfId="361" xr:uid="{C322C6F4-C8AA-41CD-BBF7-109855823791}"/>
    <cellStyle name="Accent5 2 15" xfId="362" xr:uid="{5A47A656-6524-42A5-9A88-4EBADF3BE537}"/>
    <cellStyle name="Accent5 2 2" xfId="363" xr:uid="{209A54BA-1565-48FF-8BFA-F42810D41390}"/>
    <cellStyle name="Accent5 2 3" xfId="364" xr:uid="{4731D276-0A4F-4F95-86A9-CECD609C7657}"/>
    <cellStyle name="Accent5 2 4" xfId="365" xr:uid="{C36F0F92-5F36-41AD-AA65-300CDB80729D}"/>
    <cellStyle name="Accent5 2 5" xfId="366" xr:uid="{A075681A-6436-4B2A-8CC2-7C85616A04EB}"/>
    <cellStyle name="Accent5 2 6" xfId="367" xr:uid="{175A45BB-852A-4F4F-A6F3-11FA33B6A709}"/>
    <cellStyle name="Accent5 2 7" xfId="368" xr:uid="{5427E269-DF44-4617-BCE1-0A323BCCCC84}"/>
    <cellStyle name="Accent5 2 8" xfId="369" xr:uid="{7ACB4E4E-2ADE-43DE-B49D-FE276DD5A71F}"/>
    <cellStyle name="Accent5 2 9" xfId="370" xr:uid="{0B09C4F4-3F9B-42ED-AAE7-2D7A11F664DF}"/>
    <cellStyle name="Accent6 2" xfId="371" xr:uid="{53CFF818-E4AC-4944-A956-672A283E282B}"/>
    <cellStyle name="Accent6 2 10" xfId="372" xr:uid="{1BA528CB-DBCB-496D-AC12-B8CA754758F0}"/>
    <cellStyle name="Accent6 2 11" xfId="373" xr:uid="{21E3E38E-D1AB-476A-92FC-CACF8CE7A870}"/>
    <cellStyle name="Accent6 2 12" xfId="374" xr:uid="{12E27205-3283-4D44-BD23-BAA89D7F1887}"/>
    <cellStyle name="Accent6 2 13" xfId="375" xr:uid="{A2B95189-F129-459A-B476-F59E572FEE6B}"/>
    <cellStyle name="Accent6 2 14" xfId="376" xr:uid="{F63318B1-8FC0-4640-8BC6-342D6997FB3D}"/>
    <cellStyle name="Accent6 2 15" xfId="377" xr:uid="{9B4FCA06-FACE-473C-BC26-23C23D4AA040}"/>
    <cellStyle name="Accent6 2 2" xfId="378" xr:uid="{F27E7920-48BA-47D7-8C76-30364BB814DA}"/>
    <cellStyle name="Accent6 2 3" xfId="379" xr:uid="{07CB9B06-590E-448E-AC7C-2CC598EA5E07}"/>
    <cellStyle name="Accent6 2 4" xfId="380" xr:uid="{2A96BCD6-1361-4154-97E4-C6E3000F3E46}"/>
    <cellStyle name="Accent6 2 5" xfId="381" xr:uid="{5BCB6C45-564C-4EF1-A7CD-26477208A109}"/>
    <cellStyle name="Accent6 2 6" xfId="382" xr:uid="{2FD2695C-B7DF-4D3B-913C-A4DA0BC114A2}"/>
    <cellStyle name="Accent6 2 7" xfId="383" xr:uid="{478FA2AF-CB83-42E4-96DC-5036DDD2D138}"/>
    <cellStyle name="Accent6 2 8" xfId="384" xr:uid="{BB0ABD3E-BCFB-4E88-B7EF-7F4D8B875817}"/>
    <cellStyle name="Accent6 2 9" xfId="385" xr:uid="{77C1A70F-E67D-42BD-8B1C-E07076F1288E}"/>
    <cellStyle name="Akzent1" xfId="386" xr:uid="{FDCF02AE-A872-4E4B-B7FD-05398219DD2C}"/>
    <cellStyle name="Akzent2" xfId="387" xr:uid="{165DC022-449D-43F6-8212-DD815CC39D5B}"/>
    <cellStyle name="Akzent3" xfId="388" xr:uid="{CCAF74A9-6E2D-45AC-9440-BF590A47D6C1}"/>
    <cellStyle name="Akzent4" xfId="389" xr:uid="{A6D86CF6-E693-47ED-87FB-E2A16AF3B3CF}"/>
    <cellStyle name="Akzent5" xfId="390" xr:uid="{6C808D81-CBF3-4102-83C7-637FA38C6FD4}"/>
    <cellStyle name="Akzent6" xfId="391" xr:uid="{0CB0F24A-16CD-4CBD-9A12-F43CE2F9A885}"/>
    <cellStyle name="Ausgabe" xfId="392" xr:uid="{F420FF5A-E4C7-498E-B8CC-9925DE9C5E33}"/>
    <cellStyle name="Ausgabe 2" xfId="1426" xr:uid="{15E96149-6081-4858-8FFA-A0C3554C454E}"/>
    <cellStyle name="Bad 2" xfId="393" xr:uid="{720E8E19-3EFC-4F1F-9025-FD90082448A2}"/>
    <cellStyle name="Bad 2 10" xfId="394" xr:uid="{786A9F71-AF6D-4639-ADF5-F525352E8970}"/>
    <cellStyle name="Bad 2 11" xfId="395" xr:uid="{D1147044-47C7-4842-882B-1C2DCB018F0B}"/>
    <cellStyle name="Bad 2 12" xfId="396" xr:uid="{D3654352-8123-4F76-A529-105354BAC93D}"/>
    <cellStyle name="Bad 2 13" xfId="397" xr:uid="{0C1ADA99-3767-4225-87E1-EF0607084CEB}"/>
    <cellStyle name="Bad 2 14" xfId="398" xr:uid="{409C5482-E2B6-484B-BF65-7B64A234CC3E}"/>
    <cellStyle name="Bad 2 15" xfId="399" xr:uid="{C1BBF2F8-C640-4768-A189-2F8B850FBE26}"/>
    <cellStyle name="Bad 2 2" xfId="400" xr:uid="{DD25499C-8769-4619-855D-7DBF02C934C3}"/>
    <cellStyle name="Bad 2 3" xfId="401" xr:uid="{44143E80-07A7-4752-A925-599E62209525}"/>
    <cellStyle name="Bad 2 4" xfId="402" xr:uid="{12D15A85-0B7A-4527-A5E0-EDEFBD8078F6}"/>
    <cellStyle name="Bad 2 5" xfId="403" xr:uid="{09118A6B-F72F-4C3F-9BBB-DCA0276228D9}"/>
    <cellStyle name="Bad 2 6" xfId="404" xr:uid="{3147A244-FEE3-4C12-A226-D0B7A73E07DB}"/>
    <cellStyle name="Bad 2 7" xfId="405" xr:uid="{4F067075-D624-455D-A3A0-CD60D8158462}"/>
    <cellStyle name="Bad 2 8" xfId="406" xr:uid="{31B3D576-93A3-4486-8A33-399FDA7472E3}"/>
    <cellStyle name="Bad 2 9" xfId="407" xr:uid="{24633861-3A24-4F19-AE4F-35CAFBE16A28}"/>
    <cellStyle name="Berechnung" xfId="408" xr:uid="{C23F6BAA-8A59-45C2-BCDC-297DD6E2E5FF}"/>
    <cellStyle name="Berechnung 2" xfId="1427" xr:uid="{16B79C8D-5B9D-4797-8DFA-303D0200CFE4}"/>
    <cellStyle name="Calculation 2" xfId="409" xr:uid="{EB91051A-A44C-4C7E-B0C0-C004506EBF63}"/>
    <cellStyle name="Calculation 2 10" xfId="410" xr:uid="{D58B0490-030A-4EDE-9CD3-D49822462346}"/>
    <cellStyle name="Calculation 2 10 2" xfId="1429" xr:uid="{01761BA0-603A-450B-B509-49D6E6C9C538}"/>
    <cellStyle name="Calculation 2 11" xfId="411" xr:uid="{FF37985F-FBCE-42C0-8197-143759725DCA}"/>
    <cellStyle name="Calculation 2 11 2" xfId="1430" xr:uid="{E4552D89-7372-4AC0-9F52-09A0B2F9D9DB}"/>
    <cellStyle name="Calculation 2 12" xfId="412" xr:uid="{9B37CCF2-B3C5-4EE4-865C-08B4D02D587A}"/>
    <cellStyle name="Calculation 2 12 2" xfId="1431" xr:uid="{51F8C3E9-1715-4A4D-B376-CDC22094B7B6}"/>
    <cellStyle name="Calculation 2 13" xfId="413" xr:uid="{36E2C207-5ADD-4FBF-9C73-F4472B044E32}"/>
    <cellStyle name="Calculation 2 13 2" xfId="1432" xr:uid="{B8786A18-3283-4C0C-91DF-BB291895DB43}"/>
    <cellStyle name="Calculation 2 14" xfId="414" xr:uid="{1BA9FE70-CDCD-45CC-8274-7470251EB788}"/>
    <cellStyle name="Calculation 2 14 2" xfId="1433" xr:uid="{4F61CB84-CCCB-4247-B7AD-F718528ECC63}"/>
    <cellStyle name="Calculation 2 15" xfId="415" xr:uid="{78CA6BAF-DD6B-4ED5-AC5B-BBDBFEC88375}"/>
    <cellStyle name="Calculation 2 15 2" xfId="1434" xr:uid="{64CD6F5F-59F5-495D-9E93-72096C6FB0FD}"/>
    <cellStyle name="Calculation 2 16" xfId="1428" xr:uid="{4B77B240-420C-40E9-9970-C3344F319208}"/>
    <cellStyle name="Calculation 2 2" xfId="416" xr:uid="{633D4568-2226-48B6-BDE9-20C6CA90D33E}"/>
    <cellStyle name="Calculation 2 2 2" xfId="1435" xr:uid="{66578F6D-A594-44B4-9834-ABB40D720724}"/>
    <cellStyle name="Calculation 2 3" xfId="417" xr:uid="{306C5A1E-BBE4-4646-B26C-F697968D0327}"/>
    <cellStyle name="Calculation 2 3 2" xfId="1436" xr:uid="{A5748737-FF86-470C-9E75-9A9A0D30384F}"/>
    <cellStyle name="Calculation 2 4" xfId="418" xr:uid="{24CC7207-8946-44B2-8720-D0AF7586BFA2}"/>
    <cellStyle name="Calculation 2 4 2" xfId="1437" xr:uid="{7C878F6A-BDD6-44B2-9D7A-23A91BAD5E5E}"/>
    <cellStyle name="Calculation 2 5" xfId="419" xr:uid="{F21839A9-F96B-481F-8391-B8E67F1D8BD2}"/>
    <cellStyle name="Calculation 2 5 2" xfId="1438" xr:uid="{BA371363-5AED-4CFA-9D8C-276FDE10CD09}"/>
    <cellStyle name="Calculation 2 6" xfId="420" xr:uid="{376AEEB9-A4ED-4766-BB8D-D71D1DC48801}"/>
    <cellStyle name="Calculation 2 6 2" xfId="1439" xr:uid="{DE3C8C6A-05E0-4F2F-AC42-F1F06D9A938B}"/>
    <cellStyle name="Calculation 2 7" xfId="421" xr:uid="{014187FF-931E-4409-9CF6-F9F802BDC94B}"/>
    <cellStyle name="Calculation 2 7 2" xfId="1440" xr:uid="{B3481DA4-8CBD-4784-8326-B29400CA0046}"/>
    <cellStyle name="Calculation 2 8" xfId="422" xr:uid="{56F25DAB-2544-48FA-9E22-FCE3A09B8D93}"/>
    <cellStyle name="Calculation 2 8 2" xfId="1441" xr:uid="{20843F86-7DBC-4349-8DD0-DBFDE7116CB3}"/>
    <cellStyle name="Calculation 2 9" xfId="423" xr:uid="{9D3217D3-3EA1-408C-9D31-0F553E377267}"/>
    <cellStyle name="Calculation 2 9 2" xfId="1442" xr:uid="{4468CA1C-8A2C-4630-9EE6-E3884D94A44B}"/>
    <cellStyle name="Check Cell 2" xfId="424" xr:uid="{880EC713-6CF5-477C-8B59-B58D90FA205B}"/>
    <cellStyle name="Check Cell 2 10" xfId="425" xr:uid="{A474BD8E-68EF-4A90-A639-AE03A4802D7C}"/>
    <cellStyle name="Check Cell 2 11" xfId="426" xr:uid="{6169CD06-0994-4DC9-8B8E-958919303DB1}"/>
    <cellStyle name="Check Cell 2 12" xfId="427" xr:uid="{E656261C-81E8-4615-A230-D4C524DBEACD}"/>
    <cellStyle name="Check Cell 2 13" xfId="428" xr:uid="{98229C43-E7CD-4E9C-AFEC-DB98C873A43A}"/>
    <cellStyle name="Check Cell 2 14" xfId="429" xr:uid="{C6B4CD38-54FD-4D33-B1ED-E77139AFF293}"/>
    <cellStyle name="Check Cell 2 15" xfId="430" xr:uid="{87200421-2E1C-4951-BEDB-04C548494B70}"/>
    <cellStyle name="Check Cell 2 2" xfId="431" xr:uid="{DAEB52CB-A3F2-4AAF-90FC-86DFCDFDB7B2}"/>
    <cellStyle name="Check Cell 2 3" xfId="432" xr:uid="{6328B246-2440-49B9-B014-EC6262AC2952}"/>
    <cellStyle name="Check Cell 2 4" xfId="433" xr:uid="{F461D9BB-EABC-48C2-B936-0FE7E1B9765B}"/>
    <cellStyle name="Check Cell 2 5" xfId="434" xr:uid="{430DEFE7-4AF5-46A0-BD95-E3F0C0BC87BA}"/>
    <cellStyle name="Check Cell 2 6" xfId="435" xr:uid="{E376C74F-835D-419E-88A6-E92DA07189E0}"/>
    <cellStyle name="Check Cell 2 7" xfId="436" xr:uid="{2627E05F-117D-4265-BFDF-BAB11FFD4F6E}"/>
    <cellStyle name="Check Cell 2 8" xfId="437" xr:uid="{5C18DC06-2A89-416B-A710-90E8826D3FE1}"/>
    <cellStyle name="Check Cell 2 9" xfId="438" xr:uid="{9310C748-6BCA-4988-9704-FC5AEE277639}"/>
    <cellStyle name="Comma 2" xfId="439" xr:uid="{77219C0B-2380-456F-B5CA-81BF0978619D}"/>
    <cellStyle name="Comma 2 2" xfId="440" xr:uid="{401BD345-8E42-478F-8E59-5617C2DAA0E6}"/>
    <cellStyle name="Comma 2 2 2" xfId="441" xr:uid="{C25D92E5-F8E9-456E-A2E2-6038E32E99ED}"/>
    <cellStyle name="Comma 2 2 2 2" xfId="442" xr:uid="{9A382EE0-4F18-488F-A8A8-94C1D60EEAF6}"/>
    <cellStyle name="Comma 2 2 3" xfId="443" xr:uid="{778540E8-39BE-44C2-9375-0AB710BA9A72}"/>
    <cellStyle name="Comma 2 2 3 2" xfId="444" xr:uid="{0031D38D-D8E0-4BA1-A049-ADD62528B18C}"/>
    <cellStyle name="Comma 2 2 4" xfId="445" xr:uid="{4B2374FC-CEAC-4F95-8620-7E8EF90D76B9}"/>
    <cellStyle name="Comma 2 2 5" xfId="446" xr:uid="{4FD52DA0-3699-4227-A66D-3188FDF579E6}"/>
    <cellStyle name="Comma 2 3" xfId="447" xr:uid="{4BD0227D-6304-492F-89C5-4924071C8C3C}"/>
    <cellStyle name="Comma 2 3 2" xfId="448" xr:uid="{2C21D414-AC90-4E8F-9272-99D869FB3906}"/>
    <cellStyle name="Comma 2 3 2 2" xfId="449" xr:uid="{475865CF-06CE-4AC8-BC6C-1020DAFD4AA7}"/>
    <cellStyle name="Comma 2 3 3" xfId="450" xr:uid="{CB243ECF-A008-4796-B077-F92E552C6BD7}"/>
    <cellStyle name="Comma 3" xfId="451" xr:uid="{973A588B-D412-4C9F-B4FC-6C957B90DD08}"/>
    <cellStyle name="Comma 3 2" xfId="452" xr:uid="{3AE88864-DA0C-4873-9F6D-258478275BB0}"/>
    <cellStyle name="Comma 3 2 2" xfId="453" xr:uid="{64C2D62D-0E86-4626-B408-01949AA719B3}"/>
    <cellStyle name="Comma 3 3" xfId="454" xr:uid="{D2BEEBEC-6677-46B1-B87C-5543816AB0F2}"/>
    <cellStyle name="Comma 3 4" xfId="455" xr:uid="{6D72626F-26CC-40BF-BE4B-5A36F5058508}"/>
    <cellStyle name="Comma 3 4 2" xfId="456" xr:uid="{B089FEA8-F420-4E61-A1C4-2BEA71E9A627}"/>
    <cellStyle name="Comma 4" xfId="457" xr:uid="{C9D5E7FE-CF65-4561-9637-BF5106CE8C1A}"/>
    <cellStyle name="Comma 4 2" xfId="458" xr:uid="{07AFCB62-E9BE-4E0F-A839-395802DBB8E2}"/>
    <cellStyle name="Comma 5" xfId="459" xr:uid="{970FE178-A5FF-4B59-8617-EA4CFDE7F3E1}"/>
    <cellStyle name="Comma 5 2" xfId="460" xr:uid="{E9C551B1-FA1A-4985-8BE7-B1EA61600DD5}"/>
    <cellStyle name="Eingabe" xfId="461" xr:uid="{27205360-D555-4487-AA4D-E17CD8C032D0}"/>
    <cellStyle name="Eingabe 2" xfId="1443" xr:uid="{645886D7-153E-4242-81DB-70516B8A63F3}"/>
    <cellStyle name="Ergebnis" xfId="462" xr:uid="{8F22749B-2169-4600-9ADC-AFAF7910C7C6}"/>
    <cellStyle name="Ergebnis 2" xfId="1444" xr:uid="{DFBE96BB-BFCA-4A5A-B268-DA313315C65C}"/>
    <cellStyle name="Erklärender Text" xfId="463" xr:uid="{65EEC5C5-FE81-4696-9D5D-213B5148B90F}"/>
    <cellStyle name="Euro" xfId="464" xr:uid="{02AA9811-D620-4DE9-BCE9-9DA3F9630C06}"/>
    <cellStyle name="Euro 2" xfId="465" xr:uid="{A549A0E2-AF4F-4E7F-AA76-969105B41602}"/>
    <cellStyle name="Euro 2 2" xfId="466" xr:uid="{8BFAAC9F-0CAC-4E5B-9C1C-1E844D90E9CA}"/>
    <cellStyle name="Euro 2 3" xfId="467" xr:uid="{698227A2-C972-4A9F-B6EE-8FA29BFD1027}"/>
    <cellStyle name="Euro 2 4" xfId="468" xr:uid="{CE0C9CBF-9273-4DAE-AB48-6BF653453F88}"/>
    <cellStyle name="Euro 3" xfId="469" xr:uid="{C5732ED3-86B4-492A-9CFE-6D32CDB21A92}"/>
    <cellStyle name="Euro 4" xfId="470" xr:uid="{00664E64-6158-42EA-A9C0-9F7DA5640179}"/>
    <cellStyle name="Euro 4 2" xfId="471" xr:uid="{5F92C91A-7001-46AF-95E5-ADBFF265FA1E}"/>
    <cellStyle name="Euro 5" xfId="472" xr:uid="{B16CA030-8A2E-4544-BB63-CCF388D29910}"/>
    <cellStyle name="Euro 5 2" xfId="473" xr:uid="{7E7BC01C-AD5D-4885-B9E8-766077CE9317}"/>
    <cellStyle name="Euro 6" xfId="474" xr:uid="{0BC4275D-280F-46F8-BC35-B153C5F34F81}"/>
    <cellStyle name="Explanatory Text 2" xfId="475" xr:uid="{9172EDBC-E23B-46CD-AB76-BD22F902A5F2}"/>
    <cellStyle name="Explanatory Text 2 10" xfId="476" xr:uid="{385874F9-4465-4E47-B74E-E87806A5F7D8}"/>
    <cellStyle name="Explanatory Text 2 11" xfId="477" xr:uid="{22D18022-609B-4C4D-865B-223C6DB0B944}"/>
    <cellStyle name="Explanatory Text 2 12" xfId="478" xr:uid="{24A79B6A-7144-4433-A0A7-6B301FE6748E}"/>
    <cellStyle name="Explanatory Text 2 13" xfId="479" xr:uid="{0768A954-65FA-473B-86A6-91B7B16010FD}"/>
    <cellStyle name="Explanatory Text 2 14" xfId="480" xr:uid="{9A9763E7-BDC3-4016-AF21-63DD8E57CC53}"/>
    <cellStyle name="Explanatory Text 2 15" xfId="481" xr:uid="{439F9D61-5FE6-41DE-8854-AB185DDBCD16}"/>
    <cellStyle name="Explanatory Text 2 2" xfId="482" xr:uid="{30F8C6E2-CA49-4749-B0EB-55137DDC4969}"/>
    <cellStyle name="Explanatory Text 2 3" xfId="483" xr:uid="{CFE766C0-AF39-4CAB-B4AA-864FC19FF536}"/>
    <cellStyle name="Explanatory Text 2 4" xfId="484" xr:uid="{AA6F3978-92E2-4AAC-85F7-692655125F40}"/>
    <cellStyle name="Explanatory Text 2 5" xfId="485" xr:uid="{536E22C4-CC78-4D13-897F-3C83E1455692}"/>
    <cellStyle name="Explanatory Text 2 6" xfId="486" xr:uid="{490DC864-DE47-48ED-8516-3C2D9CE1236B}"/>
    <cellStyle name="Explanatory Text 2 7" xfId="487" xr:uid="{A42DCB2D-C72F-42CA-83F5-226F678973A7}"/>
    <cellStyle name="Explanatory Text 2 8" xfId="488" xr:uid="{B2627B06-8EF8-4574-B39C-FA51E72A76CA}"/>
    <cellStyle name="Explanatory Text 2 9" xfId="489" xr:uid="{535D7BBD-16D8-425D-A715-B2266BFC05E8}"/>
    <cellStyle name="Float" xfId="490" xr:uid="{C83C047B-F868-48CC-AFDA-3D42FCEE604A}"/>
    <cellStyle name="Float 2" xfId="491" xr:uid="{7D4994C9-FC66-4B39-8D17-65C55B63FE95}"/>
    <cellStyle name="Float 3" xfId="492" xr:uid="{03FD8982-A0F1-4F23-8C2F-B7BFF9695B58}"/>
    <cellStyle name="Float 3 2" xfId="493" xr:uid="{ADC17651-08A9-44C7-AB08-A70D0E2C9E90}"/>
    <cellStyle name="Float 4" xfId="494" xr:uid="{5F54DD7C-E56C-42E4-8721-205CF24ED395}"/>
    <cellStyle name="Float 5" xfId="495" xr:uid="{BCD17B18-8C65-4DF3-8052-BEA8EAFAEAEC}"/>
    <cellStyle name="Float 5 2" xfId="496" xr:uid="{46CC17D7-D0F4-485F-83C3-9AA43B032A04}"/>
    <cellStyle name="Float 6" xfId="497" xr:uid="{997835CE-EEC5-40C7-9A42-A6C3F1DB53C7}"/>
    <cellStyle name="Good" xfId="2" builtinId="26"/>
    <cellStyle name="Good 2" xfId="498" xr:uid="{EBE7204C-8F8B-4D6A-A3B6-744550989053}"/>
    <cellStyle name="Good 2 10" xfId="499" xr:uid="{943F9910-4381-4352-80AB-71873044FE94}"/>
    <cellStyle name="Good 2 11" xfId="500" xr:uid="{81F9921C-8D58-4997-813B-1F0720CA49D1}"/>
    <cellStyle name="Good 2 12" xfId="501" xr:uid="{71B060D5-A0FF-484D-9E6A-92F247B8E593}"/>
    <cellStyle name="Good 2 13" xfId="502" xr:uid="{9E4932F0-8B99-4938-AAA6-22E108BF4A07}"/>
    <cellStyle name="Good 2 14" xfId="503" xr:uid="{8BE7F5D4-5507-4BA6-B79E-DC60B9C729BB}"/>
    <cellStyle name="Good 2 15" xfId="504" xr:uid="{E30D8CDC-0037-4D36-9B70-08124CB8BC34}"/>
    <cellStyle name="Good 2 16" xfId="505" xr:uid="{F6DC98A3-AEC7-4AC4-A146-DCF44303E738}"/>
    <cellStyle name="Good 2 17" xfId="506" xr:uid="{E975CEAE-D199-4233-BBEE-74A9E800334D}"/>
    <cellStyle name="Good 2 2" xfId="507" xr:uid="{62A0301F-74BC-4C21-AC23-DEB8454F5272}"/>
    <cellStyle name="Good 2 3" xfId="508" xr:uid="{81AFD0F2-2D21-4BF3-AC50-49EBA0393FC2}"/>
    <cellStyle name="Good 2 4" xfId="509" xr:uid="{2AB954DE-9A30-4493-B7F0-A0A8B2CBFCB1}"/>
    <cellStyle name="Good 2 5" xfId="510" xr:uid="{FACE3205-48D8-4437-BD1C-C0F0C7A5D469}"/>
    <cellStyle name="Good 2 6" xfId="511" xr:uid="{088CCAB0-A0AE-4DC4-95E1-F0D1D4979105}"/>
    <cellStyle name="Good 2 7" xfId="512" xr:uid="{DD083086-E990-4412-9FE2-722299085806}"/>
    <cellStyle name="Good 2 8" xfId="513" xr:uid="{D036A907-1882-4F95-92A3-BF086C39510F}"/>
    <cellStyle name="Good 2 9" xfId="514" xr:uid="{2FA3EBD1-8D56-4404-AC21-4239BAD09BA6}"/>
    <cellStyle name="Gut" xfId="515" xr:uid="{99C0D5DB-5095-43B7-BB66-2137A1CBF034}"/>
    <cellStyle name="Heading 1 2" xfId="516" xr:uid="{BAC1AB4E-77D2-4ED7-842D-AD7D23406925}"/>
    <cellStyle name="Heading 1 2 10" xfId="517" xr:uid="{8A1A531E-29AE-4390-880F-3F9F8364A6D5}"/>
    <cellStyle name="Heading 1 2 11" xfId="518" xr:uid="{D0A81B53-BF2F-4CE4-A6C7-36E8E68189B0}"/>
    <cellStyle name="Heading 1 2 12" xfId="519" xr:uid="{94F760CF-607D-4D29-B907-B05F92CF2097}"/>
    <cellStyle name="Heading 1 2 13" xfId="520" xr:uid="{4BA1D135-8915-414E-9952-D15241F3DE25}"/>
    <cellStyle name="Heading 1 2 14" xfId="521" xr:uid="{3A9C03FD-3CCC-4760-9BE4-96B32B4927AA}"/>
    <cellStyle name="Heading 1 2 15" xfId="522" xr:uid="{F7451453-E15F-45CE-B8C9-3905A0D7A069}"/>
    <cellStyle name="Heading 1 2 2" xfId="523" xr:uid="{5AA93347-ECAB-4A90-845A-053E11E0D290}"/>
    <cellStyle name="Heading 1 2 3" xfId="524" xr:uid="{94B85C6C-3AEC-43ED-97D2-26DC6C001F15}"/>
    <cellStyle name="Heading 1 2 4" xfId="525" xr:uid="{177FC146-6DB6-498B-B156-E2250161FB90}"/>
    <cellStyle name="Heading 1 2 5" xfId="526" xr:uid="{83951DEF-AEBC-4BCB-BC26-E93406FE8016}"/>
    <cellStyle name="Heading 1 2 6" xfId="527" xr:uid="{39636556-1324-4AD8-B566-6940B70A2E3E}"/>
    <cellStyle name="Heading 1 2 7" xfId="528" xr:uid="{FB7FDD72-7959-486A-9318-639EDBBC2678}"/>
    <cellStyle name="Heading 1 2 8" xfId="529" xr:uid="{7B4A8EA1-1E6B-45FA-A874-F86A6DB7185B}"/>
    <cellStyle name="Heading 1 2 9" xfId="530" xr:uid="{76C6B40A-F308-4A6C-98E9-DED7E37BF0D3}"/>
    <cellStyle name="Heading 2 2" xfId="531" xr:uid="{7E330158-609E-4181-9504-895AE32E4016}"/>
    <cellStyle name="Heading 2 2 10" xfId="532" xr:uid="{10077B60-EC96-40B0-9C5D-FD87356015D2}"/>
    <cellStyle name="Heading 2 2 11" xfId="533" xr:uid="{9A9F50A1-7FF9-4C42-82FA-A287F5415A6B}"/>
    <cellStyle name="Heading 2 2 12" xfId="534" xr:uid="{89025BB5-5CDC-4FC4-9BF4-E9ADF0F02355}"/>
    <cellStyle name="Heading 2 2 13" xfId="535" xr:uid="{B87B798B-2FDB-4741-98CC-CF4031B79535}"/>
    <cellStyle name="Heading 2 2 14" xfId="536" xr:uid="{2E854991-5F63-44D1-B574-7823032725BE}"/>
    <cellStyle name="Heading 2 2 15" xfId="537" xr:uid="{D58E706F-86F2-400E-8727-21B49402D3F7}"/>
    <cellStyle name="Heading 2 2 2" xfId="538" xr:uid="{A4DC18EC-88F0-4292-9EB2-9D001574676A}"/>
    <cellStyle name="Heading 2 2 3" xfId="539" xr:uid="{033579B7-4AC1-4644-92EC-72FFB3FBB912}"/>
    <cellStyle name="Heading 2 2 4" xfId="540" xr:uid="{794D1E07-C54E-4D52-BF78-9822CAB05595}"/>
    <cellStyle name="Heading 2 2 5" xfId="541" xr:uid="{A5CB102F-2EC8-4C1F-A213-8ADA1DE3530A}"/>
    <cellStyle name="Heading 2 2 6" xfId="542" xr:uid="{D0956F14-EEEB-4F33-8DB5-C26C41EDF14B}"/>
    <cellStyle name="Heading 2 2 7" xfId="543" xr:uid="{5D1A76BD-14D4-4388-BEFB-1D00DD88A43D}"/>
    <cellStyle name="Heading 2 2 8" xfId="544" xr:uid="{02563061-A6C7-4A9F-8E9A-4546F4D211A9}"/>
    <cellStyle name="Heading 2 2 9" xfId="545" xr:uid="{347B8C21-1FA0-4803-936E-7C60EBA899A7}"/>
    <cellStyle name="Heading 3 2" xfId="546" xr:uid="{5217F9D0-2A10-4C80-BC6C-929FB4BC590F}"/>
    <cellStyle name="Heading 3 2 10" xfId="547" xr:uid="{B5F62448-1228-4BA7-9CBE-A00AA39685E8}"/>
    <cellStyle name="Heading 3 2 11" xfId="548" xr:uid="{29A064A8-4AEF-4AEB-A9F9-4C50E2511434}"/>
    <cellStyle name="Heading 3 2 12" xfId="549" xr:uid="{F8F5C244-F7F3-4E1F-9B67-FE258885CAA6}"/>
    <cellStyle name="Heading 3 2 13" xfId="550" xr:uid="{0E33C0A5-52C8-4608-B761-82EE4E0EF1F8}"/>
    <cellStyle name="Heading 3 2 14" xfId="551" xr:uid="{5E4701B0-FD69-46D7-A99F-D097C53113CE}"/>
    <cellStyle name="Heading 3 2 15" xfId="552" xr:uid="{31F68859-4104-4CEB-B970-C13CBFD74507}"/>
    <cellStyle name="Heading 3 2 2" xfId="553" xr:uid="{584BE458-794B-4AB8-A6AD-D9AA2A2033C5}"/>
    <cellStyle name="Heading 3 2 3" xfId="554" xr:uid="{DB56C7B5-C211-44AB-B6AC-DFA858BD3A1C}"/>
    <cellStyle name="Heading 3 2 4" xfId="555" xr:uid="{92287B94-6C8D-411D-AB9E-B5592CB5EA44}"/>
    <cellStyle name="Heading 3 2 5" xfId="556" xr:uid="{CD2B779F-2E99-444C-B2A6-BE97624290A9}"/>
    <cellStyle name="Heading 3 2 6" xfId="557" xr:uid="{57B908FA-6EFC-4F2B-9F43-2EA2FB9829EF}"/>
    <cellStyle name="Heading 3 2 7" xfId="558" xr:uid="{03103CAF-A3A0-4974-8D9E-CB1D59409A3A}"/>
    <cellStyle name="Heading 3 2 8" xfId="559" xr:uid="{3DA82C76-2BF9-4557-A77F-B978533BA4FB}"/>
    <cellStyle name="Heading 3 2 9" xfId="560" xr:uid="{4D0A7115-C89E-411D-A98A-EADB1279E80C}"/>
    <cellStyle name="Heading 4 2" xfId="561" xr:uid="{4425DC4A-6F83-4D49-8762-2AAB4253905A}"/>
    <cellStyle name="Heading 4 2 10" xfId="562" xr:uid="{E4AF6E39-A55F-46C6-B844-A4A923B076AC}"/>
    <cellStyle name="Heading 4 2 11" xfId="563" xr:uid="{42D6E263-579A-4DD2-9346-9BB27DEC90FC}"/>
    <cellStyle name="Heading 4 2 12" xfId="564" xr:uid="{E6A285CF-12FD-4C85-9D20-FA4A52018207}"/>
    <cellStyle name="Heading 4 2 13" xfId="565" xr:uid="{5A52CA2F-203A-4EED-9AE3-F50A486C9487}"/>
    <cellStyle name="Heading 4 2 14" xfId="566" xr:uid="{A3C69D76-7031-48EF-85EF-C549F5D59CA9}"/>
    <cellStyle name="Heading 4 2 15" xfId="567" xr:uid="{28637C74-9652-4786-9DAE-6C985F93EC00}"/>
    <cellStyle name="Heading 4 2 2" xfId="568" xr:uid="{43BCCE4D-8AC4-4240-A43A-D8A0070371E0}"/>
    <cellStyle name="Heading 4 2 3" xfId="569" xr:uid="{E08FF55E-8F06-40C9-A1CD-CC5930700C32}"/>
    <cellStyle name="Heading 4 2 4" xfId="570" xr:uid="{1045602D-7A09-4796-BF42-A68FB43A5605}"/>
    <cellStyle name="Heading 4 2 5" xfId="571" xr:uid="{D4A31D18-8973-4422-9B41-832BBAB24954}"/>
    <cellStyle name="Heading 4 2 6" xfId="572" xr:uid="{D66CF2D6-F0E3-49C5-92E7-931128CA6FFE}"/>
    <cellStyle name="Heading 4 2 7" xfId="573" xr:uid="{BD1174A1-FCCE-42C5-A790-3D59781075D9}"/>
    <cellStyle name="Heading 4 2 8" xfId="574" xr:uid="{47863965-3E19-417F-9021-C4EFD00584BA}"/>
    <cellStyle name="Heading 4 2 9" xfId="575" xr:uid="{62629A4C-CD3A-47F9-AC2D-D4C69DD5C672}"/>
    <cellStyle name="Input 2" xfId="576" xr:uid="{7745C38F-DE01-451B-AB95-E739E6C20DD0}"/>
    <cellStyle name="Input 2 10" xfId="577" xr:uid="{24F1C0DB-3516-4543-9DAA-3B582F6DB8FF}"/>
    <cellStyle name="Input 2 10 2" xfId="1446" xr:uid="{010378CA-779F-4FD9-A3A0-E16EB851A0B5}"/>
    <cellStyle name="Input 2 11" xfId="578" xr:uid="{FD26AD3E-DC33-48A8-AF55-3305C5957278}"/>
    <cellStyle name="Input 2 11 2" xfId="1447" xr:uid="{A16B9BAE-B2D9-4873-8D11-A5711A9B38A2}"/>
    <cellStyle name="Input 2 12" xfId="579" xr:uid="{B833930F-5B77-4C59-9B11-27A3B2C1A097}"/>
    <cellStyle name="Input 2 12 2" xfId="1448" xr:uid="{543D2551-DAA2-4674-B9A8-D9EB170BB960}"/>
    <cellStyle name="Input 2 13" xfId="580" xr:uid="{1DF3443C-9420-4263-BAA7-C9B9408EEC39}"/>
    <cellStyle name="Input 2 13 2" xfId="1449" xr:uid="{A5F95C04-060D-4D51-96DB-A00FB244FA94}"/>
    <cellStyle name="Input 2 14" xfId="581" xr:uid="{689F037D-6642-40BD-BEA9-780DDA73B390}"/>
    <cellStyle name="Input 2 14 2" xfId="1450" xr:uid="{D5FBFCC6-9F4F-4A5B-A9D0-2437A13AA64D}"/>
    <cellStyle name="Input 2 15" xfId="582" xr:uid="{17E1D8F2-E48D-423B-BBEB-E019E7B7643E}"/>
    <cellStyle name="Input 2 15 2" xfId="1451" xr:uid="{35905285-F256-4CAB-9D1B-4BEF1382732C}"/>
    <cellStyle name="Input 2 16" xfId="1445" xr:uid="{7BC180A4-939E-40ED-A2AC-F57F50502AB9}"/>
    <cellStyle name="Input 2 2" xfId="583" xr:uid="{D6C2C9A3-FE6A-4E93-8738-F086F39660EB}"/>
    <cellStyle name="Input 2 2 2" xfId="1452" xr:uid="{45E33DCB-11F6-4141-91C0-B8AB64BFD71A}"/>
    <cellStyle name="Input 2 3" xfId="584" xr:uid="{FF56CFDC-7997-4B6C-981F-D6F05CFEC67E}"/>
    <cellStyle name="Input 2 3 2" xfId="1453" xr:uid="{EEF62776-BC1C-45D4-B77F-6F88958A7620}"/>
    <cellStyle name="Input 2 4" xfId="585" xr:uid="{839251CA-105F-4950-A7A9-993C3A9D7B5C}"/>
    <cellStyle name="Input 2 4 2" xfId="1454" xr:uid="{A917C2F3-663D-4984-BAFE-6A90EF4B6541}"/>
    <cellStyle name="Input 2 5" xfId="586" xr:uid="{2F77A970-92D1-46CA-B0F9-FAD30D6128EA}"/>
    <cellStyle name="Input 2 5 2" xfId="1455" xr:uid="{C211895A-08CE-4C15-BE13-55D7CA1014DE}"/>
    <cellStyle name="Input 2 6" xfId="587" xr:uid="{B4C17ECB-2EBF-4298-9855-1F652FD74AF5}"/>
    <cellStyle name="Input 2 6 2" xfId="1456" xr:uid="{D213CA01-3384-4581-8F3D-6D844BD6A12C}"/>
    <cellStyle name="Input 2 7" xfId="588" xr:uid="{3151A757-A61C-4082-AC92-3A9570B287BF}"/>
    <cellStyle name="Input 2 7 2" xfId="1457" xr:uid="{B103DDD3-E44A-45DA-B8E3-9A5F24088BAF}"/>
    <cellStyle name="Input 2 8" xfId="589" xr:uid="{B1108684-BC37-4419-A0BC-12F3986C7671}"/>
    <cellStyle name="Input 2 8 2" xfId="1458" xr:uid="{AF202F21-91E4-4EE1-B9D2-F640604735C1}"/>
    <cellStyle name="Input 2 9" xfId="590" xr:uid="{27061298-58C4-4970-88A2-D5EF2441FC13}"/>
    <cellStyle name="Input 2 9 2" xfId="1459" xr:uid="{159FF3F9-E407-41EC-94B8-CAEF1D4482F3}"/>
    <cellStyle name="Linked Cell 2" xfId="591" xr:uid="{AE668991-7B77-427F-BED8-25A85587C619}"/>
    <cellStyle name="Linked Cell 2 10" xfId="592" xr:uid="{684B3000-E493-465F-87FF-DB0557BB0457}"/>
    <cellStyle name="Linked Cell 2 11" xfId="593" xr:uid="{F4E5C3EF-999F-46EB-AB5D-A30387F10D30}"/>
    <cellStyle name="Linked Cell 2 12" xfId="594" xr:uid="{6011BAC3-B816-4D48-A8B4-7C43286E2522}"/>
    <cellStyle name="Linked Cell 2 13" xfId="595" xr:uid="{CD011831-2610-4414-B470-83E963445CA8}"/>
    <cellStyle name="Linked Cell 2 14" xfId="596" xr:uid="{C3439A05-261D-44DF-AA94-FFD9E857842D}"/>
    <cellStyle name="Linked Cell 2 15" xfId="597" xr:uid="{86220D3E-EF03-4F87-B199-1D02AD4C5991}"/>
    <cellStyle name="Linked Cell 2 2" xfId="598" xr:uid="{B494AA73-4762-4387-A299-AF06C5784E5A}"/>
    <cellStyle name="Linked Cell 2 3" xfId="599" xr:uid="{AB337DA1-AD5F-4A6D-9619-EC8B2E0DDCAC}"/>
    <cellStyle name="Linked Cell 2 4" xfId="600" xr:uid="{B6E808F1-3ECC-41E8-88C8-6BA3E04686F2}"/>
    <cellStyle name="Linked Cell 2 5" xfId="601" xr:uid="{17F955EC-FB09-4F07-9353-178DA62A6827}"/>
    <cellStyle name="Linked Cell 2 6" xfId="602" xr:uid="{41475B5D-D8F3-4BCD-B055-CD8BC753F0EF}"/>
    <cellStyle name="Linked Cell 2 7" xfId="603" xr:uid="{4404C5DD-6203-49A1-8FE3-C43289533AAE}"/>
    <cellStyle name="Linked Cell 2 8" xfId="604" xr:uid="{74C7286B-CD4B-42C1-9360-AABACEDC9498}"/>
    <cellStyle name="Linked Cell 2 9" xfId="605" xr:uid="{898177BB-ADF3-4D1E-8604-BAECC50B9069}"/>
    <cellStyle name="Neutral 2" xfId="606" xr:uid="{BF19C80F-113A-4765-B968-9517785AB562}"/>
    <cellStyle name="Neutral 2 10" xfId="607" xr:uid="{7E4BBF2D-7025-4455-8CED-16767166D250}"/>
    <cellStyle name="Neutral 2 11" xfId="608" xr:uid="{5BDFA7A1-8C64-4EB2-A816-B0B5D1BE7D1F}"/>
    <cellStyle name="Neutral 2 12" xfId="609" xr:uid="{BCC2A6EC-24C6-49F7-B495-22DE80C622B6}"/>
    <cellStyle name="Neutral 2 13" xfId="610" xr:uid="{F1344175-BB69-40EE-B6A9-0AB620D1228B}"/>
    <cellStyle name="Neutral 2 14" xfId="611" xr:uid="{3B54D7DE-69D6-407F-A355-BA22D0BC579C}"/>
    <cellStyle name="Neutral 2 15" xfId="612" xr:uid="{88C80B15-2F79-42EB-9F1F-88FB3BB57D5C}"/>
    <cellStyle name="Neutral 2 2" xfId="613" xr:uid="{97A33E1A-3F1E-46EE-945F-B28EFEE03F60}"/>
    <cellStyle name="Neutral 2 3" xfId="614" xr:uid="{ED8ED9F3-EAEB-4F9D-916B-0E2C50411572}"/>
    <cellStyle name="Neutral 2 4" xfId="615" xr:uid="{95478677-2060-4262-9BDC-F2FC68A62945}"/>
    <cellStyle name="Neutral 2 5" xfId="616" xr:uid="{CA5FD1D0-9B0B-4B44-BB09-E6D835D8DF51}"/>
    <cellStyle name="Neutral 2 6" xfId="617" xr:uid="{2E5D6C02-0053-42BC-B777-8CAF5184E26F}"/>
    <cellStyle name="Neutral 2 7" xfId="618" xr:uid="{4AE39CDC-D896-4E71-BD21-D8FDD82ADD4A}"/>
    <cellStyle name="Neutral 2 8" xfId="619" xr:uid="{F44A401D-7BFC-4CCC-A206-C21DDD7F9B33}"/>
    <cellStyle name="Neutral 2 9" xfId="620" xr:uid="{F6E60749-D986-4AF8-A50D-FF820C862419}"/>
    <cellStyle name="Normal" xfId="0" builtinId="0"/>
    <cellStyle name="Normal 10" xfId="7" xr:uid="{F834CABC-99F4-4A42-9B0F-1504AE531D4C}"/>
    <cellStyle name="Normal 11" xfId="621" xr:uid="{20F9EED8-F6CD-43EB-A353-D50AD40E3F3E}"/>
    <cellStyle name="Normal 11 2" xfId="622" xr:uid="{BD09AC07-4906-4789-97C9-14530BCC0D98}"/>
    <cellStyle name="Normal 17" xfId="623" xr:uid="{147738A6-406A-465D-8A56-399E5685FB34}"/>
    <cellStyle name="Normal 2" xfId="4" xr:uid="{819DE980-DBD7-405C-8008-312BEDDB8736}"/>
    <cellStyle name="Normal 2 10" xfId="624" xr:uid="{D43DAC26-8587-4964-8C0D-FC9D3B3E2ACA}"/>
    <cellStyle name="Normal 2 10 2" xfId="625" xr:uid="{D97173F1-F351-4DED-9D9C-0FC2DB271D1B}"/>
    <cellStyle name="Normal 2 11" xfId="626" xr:uid="{2A29960E-CE2E-4EB5-AC92-CE869B30E9F4}"/>
    <cellStyle name="Normal 2 11 2" xfId="627" xr:uid="{B4C35E74-5906-47B6-9CA3-83957C02F32F}"/>
    <cellStyle name="Normal 2 12" xfId="628" xr:uid="{2548BFD1-CD6A-4DEE-A45F-274D5AB7AA65}"/>
    <cellStyle name="Normal 2 12 2" xfId="629" xr:uid="{D972A7D6-F0C6-452B-9087-F01FCAD23406}"/>
    <cellStyle name="Normal 2 13" xfId="630" xr:uid="{9FB4BEE9-3A2D-42AA-AF3F-85E87E921535}"/>
    <cellStyle name="Normal 2 13 2" xfId="631" xr:uid="{2FE9A45F-D03B-4E4F-AC13-89D49B99E4BD}"/>
    <cellStyle name="Normal 2 14" xfId="632" xr:uid="{7AD4C0F3-AF5E-4078-934A-0F2D566C4BFF}"/>
    <cellStyle name="Normal 2 15" xfId="633" xr:uid="{168F4016-339E-4D72-BDD7-6DB3B3E89C78}"/>
    <cellStyle name="Normal 2 16" xfId="634" xr:uid="{7DDEE948-20A6-4584-83FF-51E0C6D98F9C}"/>
    <cellStyle name="Normal 2 2" xfId="635" xr:uid="{E55A132A-7E42-475B-87AF-0D9C92F27439}"/>
    <cellStyle name="Normal 2 2 2" xfId="636" xr:uid="{419B43D4-6B86-4F80-BE50-FAF716D9E153}"/>
    <cellStyle name="Normal 2 2 2 2" xfId="637" xr:uid="{4849AF9B-1D5D-4CC6-B624-3F4257561C49}"/>
    <cellStyle name="Normal 2 2 2 2 2" xfId="638" xr:uid="{1A1A1ECB-B0FF-4C67-BE4C-9975F65CC1AC}"/>
    <cellStyle name="Normal 2 2 2 2 3" xfId="639" xr:uid="{90EC936E-373F-4467-9938-0DFFF06333EE}"/>
    <cellStyle name="Normal 2 2 2 2 4" xfId="640" xr:uid="{AD5E3B9A-9CE0-46A2-ADE3-F3257191E166}"/>
    <cellStyle name="Normal 2 2 2 3" xfId="641" xr:uid="{1CEB4022-C0D7-4997-BE20-4DECAF161BDA}"/>
    <cellStyle name="Normal 2 2 2 3 2" xfId="642" xr:uid="{9DD0F69B-BB33-48EA-BC91-EF1A0BDD68CC}"/>
    <cellStyle name="Normal 2 2 3" xfId="643" xr:uid="{11A14794-DB63-4BE7-A60B-21543085403D}"/>
    <cellStyle name="Normal 2 2 4" xfId="644" xr:uid="{AA931C0D-E690-45DE-A20D-0C15348A7B5F}"/>
    <cellStyle name="Normal 2 2 5" xfId="645" xr:uid="{33AABF51-FE93-4F89-B03D-A9BCC34F02AC}"/>
    <cellStyle name="Normal 2 2 6" xfId="646" xr:uid="{F397FC70-B3E9-4140-BF6A-D2B1F53C857A}"/>
    <cellStyle name="Normal 2 3" xfId="647" xr:uid="{B27390A8-1782-4306-97FE-D8A3689AE6B8}"/>
    <cellStyle name="Normal 2 3 2" xfId="648" xr:uid="{3BFF3486-9424-4D44-B6B3-943EE9C64742}"/>
    <cellStyle name="Normal 2 3 2 2" xfId="649" xr:uid="{27384CDF-8716-42A8-8152-73C3CD5A2C92}"/>
    <cellStyle name="Normal 2 3 2 2 2" xfId="650" xr:uid="{83336EB8-2310-40B6-8F74-D44EDF6EAF01}"/>
    <cellStyle name="Normal 2 3 2 3" xfId="651" xr:uid="{5A003B15-98A6-4CB0-B42E-4DE887F47F55}"/>
    <cellStyle name="Normal 2 3 2 3 2" xfId="652" xr:uid="{5AD6E57C-76E0-4D4A-8459-A38409EC6AA3}"/>
    <cellStyle name="Normal 2 3 2 4" xfId="653" xr:uid="{A78CFE7D-8CA9-40BC-9476-0F99C7B553A9}"/>
    <cellStyle name="Normal 2 3 3" xfId="654" xr:uid="{4ADCD29D-319D-4FDD-9574-A7CE89066B90}"/>
    <cellStyle name="Normal 2 3 3 2" xfId="655" xr:uid="{0AB2B082-4879-4A91-83BB-018DC714EAB5}"/>
    <cellStyle name="Normal 2 3 4" xfId="656" xr:uid="{4849DE01-E57C-4F11-A0DC-A45D907E2B6C}"/>
    <cellStyle name="Normal 2 4" xfId="657" xr:uid="{2AC930C3-F26B-4CD6-8DEA-842B1D628778}"/>
    <cellStyle name="Normal 2 4 2" xfId="658" xr:uid="{496FB9A2-88C9-4DD4-A2F2-7AA3A2BCB3CC}"/>
    <cellStyle name="Normal 2 5" xfId="659" xr:uid="{A8B068CE-7D19-4EDF-A807-92FA8AB0DF52}"/>
    <cellStyle name="Normal 2 5 2" xfId="660" xr:uid="{2ADF6758-8FB6-4147-8D6D-86CB6874533B}"/>
    <cellStyle name="Normal 2 6" xfId="661" xr:uid="{FDC37611-610F-40D1-9069-45D16225530E}"/>
    <cellStyle name="Normal 2 6 2" xfId="662" xr:uid="{96718D2D-55D1-4EF8-B4B2-E2FCB0CB1077}"/>
    <cellStyle name="Normal 2 7" xfId="663" xr:uid="{A0B8BDC1-C249-4D9D-9F18-8935F363E65D}"/>
    <cellStyle name="Normal 2 7 2" xfId="664" xr:uid="{FF579081-10B2-4126-8AB1-16FEDFAAD985}"/>
    <cellStyle name="Normal 2 8" xfId="665" xr:uid="{995B6AE4-E2AD-4F1D-9D16-31AD473E8728}"/>
    <cellStyle name="Normal 2 8 2" xfId="666" xr:uid="{DFDEB343-A1C0-4F2C-BD47-A583F4B10289}"/>
    <cellStyle name="Normal 2 9" xfId="667" xr:uid="{651559B9-DCE0-49DD-814A-9ABEB70EAD0E}"/>
    <cellStyle name="Normal 2 9 2" xfId="668" xr:uid="{5FC5158D-D200-44C0-AE40-A46F7A141C43}"/>
    <cellStyle name="Normal 3" xfId="669" xr:uid="{8BDF47C4-ABA0-4A66-8C64-EF853CD327CD}"/>
    <cellStyle name="Normal 3 2" xfId="670" xr:uid="{C6A1BE38-1A52-46EA-847A-37394FDD269F}"/>
    <cellStyle name="Normal 3 2 2" xfId="671" xr:uid="{2DF55B2D-D3ED-4346-A067-69EC855D9B71}"/>
    <cellStyle name="Normal 3 2 3" xfId="672" xr:uid="{157F2234-6848-43C4-B1E9-18C73450F582}"/>
    <cellStyle name="Normal 3 2 4" xfId="673" xr:uid="{6DE73AD0-C03F-400B-A0B4-A6104BD88268}"/>
    <cellStyle name="Normal 3 2 5" xfId="674" xr:uid="{C1C62632-FE4B-4239-88BF-BF812B7DF8F5}"/>
    <cellStyle name="Normal 3 2 5 2" xfId="675" xr:uid="{4C0069AE-FA6B-472A-AFD8-0852C71D2CFA}"/>
    <cellStyle name="Normal 3 2 6" xfId="5" xr:uid="{5E98E95B-9800-46CD-8209-D1F87F5FC24E}"/>
    <cellStyle name="Normal 3 2 7" xfId="676" xr:uid="{18735E5A-EDF0-4A17-81A1-D2C8BDD57809}"/>
    <cellStyle name="Normal 3 3" xfId="677" xr:uid="{C806D26A-CDE3-474D-94D9-F883B72F0CC4}"/>
    <cellStyle name="Normal 3 3 2" xfId="678" xr:uid="{32BD0FE2-22C6-4DF5-9D4F-20D13922A11F}"/>
    <cellStyle name="Normal 3 3 3" xfId="679" xr:uid="{24A76246-4441-4AED-AA38-F4FB67443521}"/>
    <cellStyle name="Normal 3 4" xfId="680" xr:uid="{C41D36E3-842B-4070-B867-C7558C935156}"/>
    <cellStyle name="Normal 3 4 2" xfId="681" xr:uid="{E407D9ED-80F8-43C1-8B9E-808B423035F8}"/>
    <cellStyle name="Normal 3 4 3" xfId="682" xr:uid="{7B3C5E47-8CBD-4D44-A0AF-DC0B22E63870}"/>
    <cellStyle name="Normal 3 5" xfId="683" xr:uid="{C72FF308-B729-4D8A-A70B-94EE367C83CD}"/>
    <cellStyle name="Normal 3 5 2" xfId="684" xr:uid="{B8A38CDA-AED5-4185-B2B4-E8CA3244AEE5}"/>
    <cellStyle name="Normal 3 6" xfId="685" xr:uid="{3C9F1107-C4E9-442E-B908-59D1CF42A81B}"/>
    <cellStyle name="Normal 3 7" xfId="686" xr:uid="{CB52D05B-3DCB-4557-8403-2A3B5B92D740}"/>
    <cellStyle name="Normal 3 8" xfId="687" xr:uid="{8B650F7D-4694-432B-B397-0A5E89B00165}"/>
    <cellStyle name="Normal 3 9" xfId="688" xr:uid="{A79697FD-D788-4985-888C-D895B2BBA1D7}"/>
    <cellStyle name="Normal 4" xfId="689" xr:uid="{D57B63D6-83A2-498C-991D-074E336B6BFC}"/>
    <cellStyle name="Normal 4 2" xfId="6" xr:uid="{00F37DDA-CFD4-4809-A544-56A5DC467FC9}"/>
    <cellStyle name="Normal 4 2 2" xfId="690" xr:uid="{C2ECF8F2-5752-498B-A139-2673643EEFA7}"/>
    <cellStyle name="Normal 4 2 3" xfId="691" xr:uid="{C45968BA-9AEC-41B5-AC8D-F31C83AFFC4D}"/>
    <cellStyle name="Normal 4 2 4" xfId="692" xr:uid="{703267D7-C597-46E2-BED8-450B3E9FCAC8}"/>
    <cellStyle name="Normal 4 2 5" xfId="693" xr:uid="{68F28A74-73A0-40FD-94FE-C423C0178955}"/>
    <cellStyle name="Normal 4 2 5 2" xfId="694" xr:uid="{D9506B5E-2164-48E0-AC3C-40F8266A1CBE}"/>
    <cellStyle name="Normal 4 2 6" xfId="695" xr:uid="{12CC74CD-ABE2-4925-85D5-B58A2B77E4F0}"/>
    <cellStyle name="Normal 4 2 7" xfId="696" xr:uid="{09D24FB2-F62F-4CAD-9133-61BAD06C27F9}"/>
    <cellStyle name="Normal 4 2 8" xfId="697" xr:uid="{74E03851-7E91-4962-A4A6-5CEB58195C78}"/>
    <cellStyle name="Normal 4 3" xfId="698" xr:uid="{89AF9193-5355-4261-B1E3-080755B9D480}"/>
    <cellStyle name="Normal 4 3 2" xfId="699" xr:uid="{1F88B090-2F8D-4590-A438-7A83FB103C4A}"/>
    <cellStyle name="Normal 4 3 3" xfId="700" xr:uid="{9DA10F9E-EB20-45F6-BCE7-F822B949D877}"/>
    <cellStyle name="Normal 4 4" xfId="701" xr:uid="{8FBFEA45-7BBF-4AAE-99B8-B3D284A3A60A}"/>
    <cellStyle name="Normal 4 4 2" xfId="702" xr:uid="{81311FB7-253C-453C-B54F-9453B66016F0}"/>
    <cellStyle name="Normal 4 4 3" xfId="703" xr:uid="{EA1DEE5E-4192-4B66-8373-455B46A26154}"/>
    <cellStyle name="Normal 4 5" xfId="704" xr:uid="{B45EEB33-364B-405F-95B6-1CA058898611}"/>
    <cellStyle name="Normal 4 5 2" xfId="705" xr:uid="{27C26DD8-FA35-40F6-9163-2332536FBF57}"/>
    <cellStyle name="Normal 4 6" xfId="706" xr:uid="{EF707EBF-D85B-4E33-A2E0-45A5434EE053}"/>
    <cellStyle name="Normal 4 7" xfId="707" xr:uid="{D0BB27B6-86F3-43CF-91D7-6E642382D2F6}"/>
    <cellStyle name="Normal 4 8" xfId="708" xr:uid="{A91755F2-A501-4FA6-8A7F-3BDACFCC2CD9}"/>
    <cellStyle name="Normal 5" xfId="709" xr:uid="{10D79AFD-E210-43C5-BF82-D559EB950FDF}"/>
    <cellStyle name="Normal 5 2" xfId="710" xr:uid="{21A9F784-6244-44F9-8ECE-DF4E9B39876C}"/>
    <cellStyle name="Normal 5 3" xfId="711" xr:uid="{6BE49C6C-CFE3-4DDA-93AF-5E414FEAC58F}"/>
    <cellStyle name="Normal 5 3 2" xfId="712" xr:uid="{E2078F04-C459-4931-B770-51EC08A22BFB}"/>
    <cellStyle name="Normal 5 4" xfId="713" xr:uid="{FACCCAB0-1AC8-4021-A17D-3F2D1AA7036C}"/>
    <cellStyle name="Normal 5 5" xfId="714" xr:uid="{3EF734C6-FCF8-4418-A809-935A794553AA}"/>
    <cellStyle name="Normal 5 6" xfId="715" xr:uid="{C03D2DA2-014A-44FD-8576-96E817EF81C7}"/>
    <cellStyle name="Normal 6 2" xfId="716" xr:uid="{5571CF7E-6D57-42D8-84C4-D5832D2A0CDF}"/>
    <cellStyle name="Normal 6 2 2" xfId="717" xr:uid="{76E0F33C-660F-47FB-8BD4-180F781153AD}"/>
    <cellStyle name="Normal 6 2 2 2" xfId="718" xr:uid="{A9466CF9-71EB-4B77-B624-35B8B25CCE3C}"/>
    <cellStyle name="Normal 6 2 3" xfId="719" xr:uid="{8F60B258-0DF3-4DD8-B2DC-0BD94DA95BDE}"/>
    <cellStyle name="Normal 6 2 4" xfId="720" xr:uid="{32FD5590-DE70-4ED5-8ABC-D224EFC03A7F}"/>
    <cellStyle name="Normal 6 3" xfId="721" xr:uid="{E2183847-FDE0-41CD-81BC-D49D29057E3F}"/>
    <cellStyle name="Normal 6 4" xfId="722" xr:uid="{7CD5FFAF-1DFC-4ABA-864C-9445F59399A4}"/>
    <cellStyle name="Normal 6 4 2" xfId="723" xr:uid="{97542BD7-99B5-4FAE-AFED-6A759288F39C}"/>
    <cellStyle name="Normal 6 5" xfId="724" xr:uid="{E31B98C5-876F-475F-A9EA-8B23B1BF76BF}"/>
    <cellStyle name="Normal 6 6" xfId="725" xr:uid="{F4857647-02F9-4FC0-9C9E-C8D2390347CE}"/>
    <cellStyle name="Normal 7 2" xfId="726" xr:uid="{F2EA6044-7018-451B-BA51-DDB78C7F3719}"/>
    <cellStyle name="Normal 7 3" xfId="727" xr:uid="{C93ABBFF-0550-4295-8DA2-BC0186522A00}"/>
    <cellStyle name="Normal 8" xfId="728" xr:uid="{C8399073-A9FF-4C8E-BB18-CCCFCAD15B0F}"/>
    <cellStyle name="Normal 8 2" xfId="729" xr:uid="{1718D586-8D4D-43C3-B4CE-48209A8F5437}"/>
    <cellStyle name="Normal 9" xfId="730" xr:uid="{4B278FAE-8D3B-47AD-991F-9E37ABADF8E7}"/>
    <cellStyle name="Normal 9 2" xfId="731" xr:uid="{95E21A93-0072-44AA-8EA6-7A83B8F4FBB5}"/>
    <cellStyle name="Normal_SUBRES_B-NTech-BE" xfId="3" xr:uid="{DB4EC265-D174-4127-B6A2-9D3AFBBD0592}"/>
    <cellStyle name="Normale_B2020" xfId="732" xr:uid="{76028131-E0F6-47C0-AE7C-26B7A3F0E7B4}"/>
    <cellStyle name="Not_Provided" xfId="733" xr:uid="{4CDD8625-BBA2-4BC6-8265-64B192C91713}"/>
    <cellStyle name="Note 2" xfId="734" xr:uid="{5E4B05B8-0458-4D6B-AF9D-94AA9B722151}"/>
    <cellStyle name="Note 2 10" xfId="735" xr:uid="{DBF99BDB-6ADE-410B-8EE0-A7ECF9D18123}"/>
    <cellStyle name="Note 2 10 2" xfId="1461" xr:uid="{34205EB8-882D-4DAC-8D0A-CBE5C0999AAC}"/>
    <cellStyle name="Note 2 11" xfId="736" xr:uid="{598A3A9D-B080-4C3B-A7C0-1862575E8402}"/>
    <cellStyle name="Note 2 11 2" xfId="1462" xr:uid="{2C526387-4CCF-4A50-8509-A4E7EAE465F2}"/>
    <cellStyle name="Note 2 12" xfId="737" xr:uid="{DC4B2B60-A12D-404D-8D60-8DEEFD842601}"/>
    <cellStyle name="Note 2 12 2" xfId="1463" xr:uid="{6D402340-58E4-448B-8071-D233C0E7D079}"/>
    <cellStyle name="Note 2 13" xfId="738" xr:uid="{7B0227B5-1C9E-4565-A639-5FE795F1F165}"/>
    <cellStyle name="Note 2 13 2" xfId="1464" xr:uid="{4AF218A6-0E23-413A-980C-265D80700E3D}"/>
    <cellStyle name="Note 2 14" xfId="739" xr:uid="{90850421-54F2-48EC-8000-A9EEF3CDFC19}"/>
    <cellStyle name="Note 2 14 2" xfId="1465" xr:uid="{9D2C252D-6ED8-4EC3-962B-8CEAA14570AB}"/>
    <cellStyle name="Note 2 15" xfId="740" xr:uid="{3A05A8D9-30DF-4676-8658-C7BC83EC0F8E}"/>
    <cellStyle name="Note 2 15 2" xfId="1466" xr:uid="{818292A4-0760-4337-844C-D0866107B5F7}"/>
    <cellStyle name="Note 2 16" xfId="1460" xr:uid="{2F2B6EAF-5834-48D0-87B5-D4D143C02320}"/>
    <cellStyle name="Note 2 2" xfId="741" xr:uid="{B9A28E6D-0843-4C90-A9F1-66EB3505D301}"/>
    <cellStyle name="Note 2 2 2" xfId="1467" xr:uid="{E9F9B43D-06EE-43A7-8AAC-86FF676564DF}"/>
    <cellStyle name="Note 2 3" xfId="742" xr:uid="{EA01C586-5C5D-4BB8-9AA6-BB6A430097C5}"/>
    <cellStyle name="Note 2 3 2" xfId="1468" xr:uid="{1A1E6B41-7DC8-4F18-9DE1-60503945BA8F}"/>
    <cellStyle name="Note 2 4" xfId="743" xr:uid="{C4FBCB05-FB91-4C31-B3C8-85A4000C6E24}"/>
    <cellStyle name="Note 2 4 2" xfId="1469" xr:uid="{B6EFE97F-F9AD-49EC-A01D-02EE0930A67F}"/>
    <cellStyle name="Note 2 5" xfId="744" xr:uid="{7476D0D8-5343-4137-BA09-CADA60C094D6}"/>
    <cellStyle name="Note 2 5 2" xfId="1470" xr:uid="{7CC6A091-6E4E-47CF-8669-2AF4EF575A32}"/>
    <cellStyle name="Note 2 6" xfId="745" xr:uid="{BC1EE43A-3C34-4118-9FB7-0543C2B7F141}"/>
    <cellStyle name="Note 2 6 2" xfId="1471" xr:uid="{B73B244E-BD86-4EB9-8326-7C761FFC84E6}"/>
    <cellStyle name="Note 2 7" xfId="746" xr:uid="{CC6A46B2-8497-414E-860B-15FD46E9331A}"/>
    <cellStyle name="Note 2 7 2" xfId="1472" xr:uid="{670D75E7-6DA2-47D0-9B3E-2309465B561A}"/>
    <cellStyle name="Note 2 8" xfId="747" xr:uid="{5DCC64DD-BF77-4FAF-84AA-07BE38C6E158}"/>
    <cellStyle name="Note 2 8 2" xfId="1473" xr:uid="{93B34CBF-1683-41AB-955B-4179CD2AD3DE}"/>
    <cellStyle name="Note 2 9" xfId="748" xr:uid="{5A409310-B634-46B8-A4B4-1C1065823632}"/>
    <cellStyle name="Note 2 9 2" xfId="1474" xr:uid="{A519EE6B-81D4-4E08-B5A3-AFFD36F9E414}"/>
    <cellStyle name="Notiz" xfId="749" xr:uid="{DE33DEEB-BB7D-4DBF-94AB-AEE45F61B5A8}"/>
    <cellStyle name="Notiz 2" xfId="750" xr:uid="{D0FA0919-2799-4EF8-BB98-CAE42699822C}"/>
    <cellStyle name="Notiz 2 2" xfId="1476" xr:uid="{FE9C8380-1612-4B0D-9C76-873E5A4F2AD2}"/>
    <cellStyle name="Notiz 3" xfId="751" xr:uid="{1AFE72A7-31D2-4F1E-A840-366F3EDB88B8}"/>
    <cellStyle name="Notiz 3 2" xfId="752" xr:uid="{0C4F599A-9E90-4D7B-A1AB-B7F6B80F721E}"/>
    <cellStyle name="Notiz 3 2 2" xfId="1478" xr:uid="{2CEB89F4-422A-4870-B200-55FB74110FB9}"/>
    <cellStyle name="Notiz 3 3" xfId="1477" xr:uid="{8868DBE4-1D01-475E-91EB-8560B5848549}"/>
    <cellStyle name="Notiz 4" xfId="753" xr:uid="{7B7183FC-8B4F-44F8-B7F2-98CA03BD3C8B}"/>
    <cellStyle name="Notiz 4 2" xfId="1479" xr:uid="{2957644A-824C-48C9-A0DF-706B3A3FF791}"/>
    <cellStyle name="Notiz 5" xfId="754" xr:uid="{7D7661EC-8756-4330-9911-D731B321708E}"/>
    <cellStyle name="Notiz 5 2" xfId="755" xr:uid="{EB9AA024-0A3F-426F-B7A7-59F76546F454}"/>
    <cellStyle name="Notiz 5 2 2" xfId="1481" xr:uid="{DB652AE9-2BBD-408C-81A7-49DC1E50773A}"/>
    <cellStyle name="Notiz 5 3" xfId="1480" xr:uid="{0223C47C-F3FA-4C8F-8675-7B788B21B02D}"/>
    <cellStyle name="Notiz 6" xfId="1475" xr:uid="{834F9690-B610-40A8-9C03-C71C3AF8F06F}"/>
    <cellStyle name="Output 2" xfId="756" xr:uid="{4E583694-42B2-4336-952B-CA426881846F}"/>
    <cellStyle name="Output 2 10" xfId="757" xr:uid="{A79CA2E3-A2EE-49E5-B21C-2543CC753F46}"/>
    <cellStyle name="Output 2 10 2" xfId="1483" xr:uid="{8AC3B5D7-9527-416C-93AE-8E40B4713105}"/>
    <cellStyle name="Output 2 11" xfId="758" xr:uid="{1A0C8175-A81F-42DD-B4D6-6E3A5EC404E4}"/>
    <cellStyle name="Output 2 11 2" xfId="1484" xr:uid="{1680C0C4-BAEB-4B95-9AAE-855C4776C0F0}"/>
    <cellStyle name="Output 2 12" xfId="759" xr:uid="{69ACA939-B80C-4610-BD50-057C2AD2579C}"/>
    <cellStyle name="Output 2 12 2" xfId="1485" xr:uid="{C705046F-A2AD-4CF8-B590-6D88501C0725}"/>
    <cellStyle name="Output 2 13" xfId="760" xr:uid="{E179B228-7078-43AE-A796-95CCAA6925CC}"/>
    <cellStyle name="Output 2 13 2" xfId="1486" xr:uid="{636BC370-D221-4C8F-8966-C945BA5A6280}"/>
    <cellStyle name="Output 2 14" xfId="761" xr:uid="{DB6836B8-9A6A-404E-B0D5-5131FE79CD84}"/>
    <cellStyle name="Output 2 14 2" xfId="1487" xr:uid="{E098F5D0-486D-4CF7-9149-4259763FDCC4}"/>
    <cellStyle name="Output 2 15" xfId="762" xr:uid="{C095A15A-B36A-4BDE-B331-94E7785C72F9}"/>
    <cellStyle name="Output 2 15 2" xfId="1488" xr:uid="{55B50A95-D6A3-4CDD-A4F0-C93EEAB55AAD}"/>
    <cellStyle name="Output 2 16" xfId="1482" xr:uid="{563A674B-8DC3-479C-876E-0691389A7B3F}"/>
    <cellStyle name="Output 2 2" xfId="763" xr:uid="{BF0EF612-C6A6-4D00-B2F2-F0E681387172}"/>
    <cellStyle name="Output 2 2 2" xfId="1489" xr:uid="{2A0734E5-0754-4CF5-8BD9-C80A1E85A47A}"/>
    <cellStyle name="Output 2 3" xfId="764" xr:uid="{C826464F-8A2B-4D41-ADD6-C68BDA975C44}"/>
    <cellStyle name="Output 2 3 2" xfId="1490" xr:uid="{5F0AEE1A-1A66-4CF5-AD14-F008416B5DEE}"/>
    <cellStyle name="Output 2 4" xfId="765" xr:uid="{E824EF89-3740-4DC9-B914-F42CDC944C25}"/>
    <cellStyle name="Output 2 4 2" xfId="1491" xr:uid="{4A086B8D-5E35-48BB-8740-4F8A8028FBA7}"/>
    <cellStyle name="Output 2 5" xfId="766" xr:uid="{22F3268D-1004-4560-A3DD-6B521C2DC30F}"/>
    <cellStyle name="Output 2 5 2" xfId="1492" xr:uid="{9997554E-DF1E-4D03-AE25-EE136616A909}"/>
    <cellStyle name="Output 2 6" xfId="767" xr:uid="{610B9FDF-69BE-4F03-9F87-6B9CA42CD93A}"/>
    <cellStyle name="Output 2 6 2" xfId="1493" xr:uid="{2F8D3150-BA2E-4CEE-9CE3-4749E16EC278}"/>
    <cellStyle name="Output 2 7" xfId="768" xr:uid="{E822E191-B184-47D3-BB47-0D3C054D93BE}"/>
    <cellStyle name="Output 2 7 2" xfId="1494" xr:uid="{66AF3E6D-0939-4702-8BF4-42B0CF0BD620}"/>
    <cellStyle name="Output 2 8" xfId="769" xr:uid="{F13A1CC8-4583-45AD-B2C9-235C4BEC24AF}"/>
    <cellStyle name="Output 2 8 2" xfId="1495" xr:uid="{8F0D2A54-C475-4546-91AF-AF141C844526}"/>
    <cellStyle name="Output 2 9" xfId="770" xr:uid="{3A54C93D-5BCE-4683-B144-5E39D64FF6C3}"/>
    <cellStyle name="Output 2 9 2" xfId="1496" xr:uid="{328ECFC3-3052-4296-9A24-D1C2BF436049}"/>
    <cellStyle name="Percent" xfId="1512" builtinId="5"/>
    <cellStyle name="Percent 2" xfId="772" xr:uid="{E5D380BE-7C8A-47B3-9548-5B9179B2DD28}"/>
    <cellStyle name="Percent 2 2" xfId="773" xr:uid="{54E442F0-53EE-4405-940B-61299C73B363}"/>
    <cellStyle name="Percent 2 2 2" xfId="774" xr:uid="{244928AB-9B95-4473-A1DE-8377CB46492C}"/>
    <cellStyle name="Percent 2 2 2 2" xfId="775" xr:uid="{8EC6FB12-4C2C-4596-A3F0-7154970EBADD}"/>
    <cellStyle name="Percent 2 2 2 3" xfId="776" xr:uid="{151C8469-735F-49A7-9144-22A3CC1A52CF}"/>
    <cellStyle name="Percent 2 2 3" xfId="777" xr:uid="{3CCFD090-027F-4898-9B59-F06DE981D2F8}"/>
    <cellStyle name="Percent 2 2 4" xfId="778" xr:uid="{6705D3A6-7D49-45F3-AC53-3B3B11132B42}"/>
    <cellStyle name="Percent 2 3" xfId="779" xr:uid="{93BFF586-89D6-44ED-B108-16104563FB44}"/>
    <cellStyle name="Percent 2 3 2" xfId="780" xr:uid="{20563B65-9A87-4D68-B079-A1AACCBB6EE8}"/>
    <cellStyle name="Percent 2 3 3" xfId="781" xr:uid="{087BAF4B-F846-4ACB-B94F-7174E6770E94}"/>
    <cellStyle name="Percent 2 3 3 2" xfId="782" xr:uid="{04995D11-372A-466F-83D6-D784CF44E7C0}"/>
    <cellStyle name="Percent 2 4" xfId="783" xr:uid="{A1E65604-0F74-472F-9FA4-FEEFE6961214}"/>
    <cellStyle name="Percent 3" xfId="784" xr:uid="{2DE8C03D-EA49-4EEE-BEEC-DB625CC91231}"/>
    <cellStyle name="Percent 3 2" xfId="785" xr:uid="{5180DD5F-024A-4775-A4B3-7984F948B647}"/>
    <cellStyle name="Percent 3 2 2" xfId="786" xr:uid="{1B715A98-9560-42D1-96FD-591788C0D830}"/>
    <cellStyle name="Percent 3 2 3" xfId="787" xr:uid="{8D745A96-0AE2-49AE-AECD-6CA52A9E2CFB}"/>
    <cellStyle name="Percent 3 2 4" xfId="788" xr:uid="{D1AD83D8-A480-4448-82C2-A9C844409DE0}"/>
    <cellStyle name="Percent 3 3" xfId="789" xr:uid="{08BFC0D4-58E7-436F-B042-70FCDE827634}"/>
    <cellStyle name="Percent 3 3 2" xfId="790" xr:uid="{08CFFED8-73BC-4D2E-A773-C7FB94C288B5}"/>
    <cellStyle name="Percent 3 3 3" xfId="791" xr:uid="{32DBB835-FEF7-40E3-98BB-77C03861F0A7}"/>
    <cellStyle name="Percent 3 4" xfId="792" xr:uid="{3DC69C6B-F010-47AD-88F7-373CAACBAC3C}"/>
    <cellStyle name="Percent 3 4 2" xfId="793" xr:uid="{B9E02E8E-2DB5-4BFD-A4BB-1FCFEADB3053}"/>
    <cellStyle name="Percent 3 4 3" xfId="794" xr:uid="{CEBD1DE7-899D-408D-815D-937A65379CC3}"/>
    <cellStyle name="Percent 3 4 3 2" xfId="795" xr:uid="{F51EDF09-D543-4FD4-9497-D81C4FC055E0}"/>
    <cellStyle name="Percent 3 5" xfId="796" xr:uid="{D165D852-E41B-4BB8-A2CD-8A69A3271A46}"/>
    <cellStyle name="Percent 3 6" xfId="797" xr:uid="{01321033-91F9-4AD0-8DEF-0375695E55FA}"/>
    <cellStyle name="Percent 3 6 2" xfId="798" xr:uid="{6572E96A-1EBF-4362-9C05-3FB945DAFC61}"/>
    <cellStyle name="Percent 4" xfId="799" xr:uid="{EC12326C-9105-4CD8-ADCD-92977A48DE73}"/>
    <cellStyle name="Percent 4 2" xfId="800" xr:uid="{8ABA6598-F687-4855-BE35-09821267C624}"/>
    <cellStyle name="Percent 4 3" xfId="801" xr:uid="{64122ACA-91D7-4788-9CC1-FA0D20FC0779}"/>
    <cellStyle name="Percent 4 4" xfId="802" xr:uid="{781D96A7-2532-4803-B0E0-BED733A0E35D}"/>
    <cellStyle name="Percent 5" xfId="803" xr:uid="{E5573A1A-3239-4148-BFCF-B9F31B26358E}"/>
    <cellStyle name="Percent 5 2" xfId="804" xr:uid="{39544D23-D3DD-4BEE-AC6A-F23C45E9EEEB}"/>
    <cellStyle name="Percent 6" xfId="805" xr:uid="{03814998-0971-44FE-A086-C734BA5238D5}"/>
    <cellStyle name="Percent 7" xfId="771" xr:uid="{3972D1CD-8ED8-47A3-9E66-3CF5E8844532}"/>
    <cellStyle name="Pilkku_Layo9704" xfId="806" xr:uid="{C778B2A9-7C93-461C-9DC3-701CE9F661F4}"/>
    <cellStyle name="Pyör. luku_Layo9704" xfId="807" xr:uid="{DA9AC4A0-B988-4AA5-AB7E-5FA48CF328CC}"/>
    <cellStyle name="Pyör. valuutta_Layo9704" xfId="808" xr:uid="{DC190C51-1413-41A2-AC6A-87DC8C72664D}"/>
    <cellStyle name="Schlecht" xfId="809" xr:uid="{8C311005-1FE5-4358-ACEF-F1EE00FEFD9E}"/>
    <cellStyle name="Standard_Sce_D_Extraction" xfId="810" xr:uid="{6AD2024F-622D-4958-8B1F-4ACF1163745C}"/>
    <cellStyle name="Style 103" xfId="811" xr:uid="{26052146-AD07-4AC3-82D8-27074745083F}"/>
    <cellStyle name="Style 103 2" xfId="812" xr:uid="{FA4BC7C1-2E56-4D8D-9C01-B4CC73363FFE}"/>
    <cellStyle name="Style 103 3" xfId="813" xr:uid="{6E8C18F7-2207-430C-B203-75482F9B4DE4}"/>
    <cellStyle name="Style 103 3 2" xfId="814" xr:uid="{87C5DBBB-D1D6-4924-8BF8-0391A7DF25B1}"/>
    <cellStyle name="Style 103 4" xfId="815" xr:uid="{51457732-8BC4-4972-A848-983E0089E6B3}"/>
    <cellStyle name="Style 103 5" xfId="816" xr:uid="{C7CDF0E7-A3C9-48E5-BBC2-CEA0A0AF584C}"/>
    <cellStyle name="Style 103 5 2" xfId="817" xr:uid="{5BECFDB7-2B2E-4E7C-AD19-7909F933988B}"/>
    <cellStyle name="Style 104" xfId="818" xr:uid="{C3CABA8E-D15E-4F9F-B623-C127C68545B0}"/>
    <cellStyle name="Style 104 2" xfId="819" xr:uid="{08E4E926-2EB2-4F99-9D5F-A09B481C9FB3}"/>
    <cellStyle name="Style 104 3" xfId="820" xr:uid="{7EDB666D-8C98-4412-AA78-783C63CCB1BC}"/>
    <cellStyle name="Style 104 3 2" xfId="821" xr:uid="{5EAB47BE-4C02-4031-887C-8D78BD0D1E35}"/>
    <cellStyle name="Style 104 4" xfId="822" xr:uid="{4AEE7888-7BEB-4FE6-AC4B-62287DC1F525}"/>
    <cellStyle name="Style 104 5" xfId="823" xr:uid="{CA864ECB-A38E-4369-A25E-53373D81D779}"/>
    <cellStyle name="Style 104 5 2" xfId="824" xr:uid="{F17867E2-E306-4EE1-A9E3-78ECB551BE24}"/>
    <cellStyle name="Style 105" xfId="825" xr:uid="{8140339C-80AF-4187-84AC-C09B123F3FB4}"/>
    <cellStyle name="Style 105 2" xfId="826" xr:uid="{F9DF238C-4E51-463C-895E-DC6C411B8C2F}"/>
    <cellStyle name="Style 105 3" xfId="827" xr:uid="{CDBBAB7D-7241-46E7-A1AA-1CD6713D8C06}"/>
    <cellStyle name="Style 105 4" xfId="828" xr:uid="{A8F952A4-3544-4BD0-A653-E6E3EFC4E65C}"/>
    <cellStyle name="Style 105 4 2" xfId="829" xr:uid="{41CFDF99-0C74-4D5C-8E21-FE3A7FA6A110}"/>
    <cellStyle name="Style 106" xfId="830" xr:uid="{0BD574EF-6832-40C4-A4C4-1941B49C8CF4}"/>
    <cellStyle name="Style 106 2" xfId="831" xr:uid="{0FF90380-398A-40E5-BDBA-438FC145DBC4}"/>
    <cellStyle name="Style 106 3" xfId="832" xr:uid="{DA6287D9-8BCA-46EF-AEE1-E00DA29AD743}"/>
    <cellStyle name="Style 106 4" xfId="833" xr:uid="{F7C8A73C-E149-45C3-B0D8-0E921A7927C5}"/>
    <cellStyle name="Style 106 4 2" xfId="834" xr:uid="{526D5BF4-9026-4A72-84C7-8DBDE6A86B54}"/>
    <cellStyle name="Style 107" xfId="835" xr:uid="{99229B38-FEF3-4543-AC46-68053D31701C}"/>
    <cellStyle name="Style 107 2" xfId="836" xr:uid="{396F24E7-3D71-46AE-8CAE-71DA360E176A}"/>
    <cellStyle name="Style 107 3" xfId="837" xr:uid="{163D05B8-37B0-4642-B3B5-16356F539C3D}"/>
    <cellStyle name="Style 107 4" xfId="838" xr:uid="{186E2ED6-1028-4380-B9AE-D74B4F655865}"/>
    <cellStyle name="Style 107 4 2" xfId="839" xr:uid="{B27B0A6E-0059-4B05-AEE7-93EEE7A80173}"/>
    <cellStyle name="Style 108" xfId="840" xr:uid="{93456864-61B4-4F8C-992F-FF0AAB44F8EE}"/>
    <cellStyle name="Style 108 2" xfId="841" xr:uid="{0E38CB3A-2406-4F6B-8026-F49E42C281D8}"/>
    <cellStyle name="Style 108 3" xfId="842" xr:uid="{693F1264-A3CA-4D16-BDEA-21E27C45F504}"/>
    <cellStyle name="Style 108 3 2" xfId="843" xr:uid="{515A3CA3-D29E-4EBD-B84A-08CD8B22C6E9}"/>
    <cellStyle name="Style 108 4" xfId="844" xr:uid="{58AC0A2F-9885-4750-AF4F-9B9446B9C766}"/>
    <cellStyle name="Style 108 5" xfId="845" xr:uid="{722DE6F6-8E65-477D-B08F-44BB42E843E0}"/>
    <cellStyle name="Style 108 5 2" xfId="846" xr:uid="{838A45E2-06D8-4993-9670-38645FC133B6}"/>
    <cellStyle name="Style 109" xfId="847" xr:uid="{4FD8068A-CFAA-4151-9018-85EC5187E70B}"/>
    <cellStyle name="Style 109 2" xfId="848" xr:uid="{39CE11F2-0781-460C-AF5B-24D92C336AF4}"/>
    <cellStyle name="Style 109 3" xfId="849" xr:uid="{2284ADA1-1B5E-4FBC-8DA2-94783CF41A91}"/>
    <cellStyle name="Style 109 4" xfId="850" xr:uid="{051A5403-278B-49A6-9A13-023C870BAC28}"/>
    <cellStyle name="Style 109 4 2" xfId="851" xr:uid="{4755422A-AAF8-42E6-828C-D9D3B8E9165E}"/>
    <cellStyle name="Style 110" xfId="852" xr:uid="{7A4F2681-F58B-42B8-A0D9-D938F00114C8}"/>
    <cellStyle name="Style 110 2" xfId="853" xr:uid="{54183D2A-6CA7-482D-B9EB-A523B22561E1}"/>
    <cellStyle name="Style 110 3" xfId="854" xr:uid="{B6EC5A39-0313-445F-8715-4D976F5EA0A3}"/>
    <cellStyle name="Style 110 4" xfId="855" xr:uid="{4D1B2664-EB6B-44DF-9174-4DD89A7BD731}"/>
    <cellStyle name="Style 110 4 2" xfId="856" xr:uid="{785AC60B-9481-4047-8A6B-3DA09DA9342A}"/>
    <cellStyle name="Style 114" xfId="857" xr:uid="{1D877495-1E29-4B29-8DE2-24F1E9DFEA82}"/>
    <cellStyle name="Style 114 2" xfId="858" xr:uid="{5B5D038F-6428-4D7C-AB9D-3BDF323D3B19}"/>
    <cellStyle name="Style 114 3" xfId="859" xr:uid="{D9CF036C-7EE7-4BD4-8E89-5DF6B8D8E723}"/>
    <cellStyle name="Style 114 3 2" xfId="860" xr:uid="{F19D9814-993E-49E1-9405-D92615F08347}"/>
    <cellStyle name="Style 114 4" xfId="861" xr:uid="{E171885C-7A82-4A9A-9D80-0B370F1D135B}"/>
    <cellStyle name="Style 114 5" xfId="862" xr:uid="{FFA02610-769A-4D73-946F-D5DD6D861D72}"/>
    <cellStyle name="Style 114 5 2" xfId="863" xr:uid="{E92FCC36-A78C-4FD0-AF60-27FCC346AAB7}"/>
    <cellStyle name="Style 115" xfId="864" xr:uid="{D3312CA0-CA7B-4EBE-B871-BB06CC9B2563}"/>
    <cellStyle name="Style 115 2" xfId="865" xr:uid="{40E33F99-3A85-460E-8F54-5DD85097C385}"/>
    <cellStyle name="Style 115 3" xfId="866" xr:uid="{21F3896E-EC26-4318-A780-572EAEBA12EC}"/>
    <cellStyle name="Style 115 3 2" xfId="867" xr:uid="{CFBDC917-F1CB-45E8-899C-8D0C658130BF}"/>
    <cellStyle name="Style 115 4" xfId="868" xr:uid="{4ED9A7C0-7665-4685-9A83-EEB50E7693B7}"/>
    <cellStyle name="Style 115 5" xfId="869" xr:uid="{BEF326A7-A65E-482A-949F-7EC9DA7B9209}"/>
    <cellStyle name="Style 115 5 2" xfId="870" xr:uid="{E98AC326-98D9-4C06-848C-937450692141}"/>
    <cellStyle name="Style 116" xfId="871" xr:uid="{C4E04418-8580-4314-8CA9-0B74E4215DC8}"/>
    <cellStyle name="Style 116 2" xfId="872" xr:uid="{F79A373C-45B9-4D4D-84CD-0CA281B66064}"/>
    <cellStyle name="Style 116 3" xfId="873" xr:uid="{D81D5531-F60C-4760-B340-0958FCB0AE85}"/>
    <cellStyle name="Style 116 4" xfId="874" xr:uid="{08BB60AC-4539-4CB9-A7EC-74238CA37AF4}"/>
    <cellStyle name="Style 116 4 2" xfId="875" xr:uid="{E33A99C9-D0FD-4945-A7B0-4AD7388F9A74}"/>
    <cellStyle name="Style 117" xfId="876" xr:uid="{E544CF97-0450-4297-B887-CE25EFEBCEED}"/>
    <cellStyle name="Style 117 2" xfId="877" xr:uid="{BDA38159-F4BF-4518-8CBD-AC1DCD9C85A8}"/>
    <cellStyle name="Style 117 3" xfId="878" xr:uid="{A5361007-9785-4DCE-AC99-D0EBF63D41BB}"/>
    <cellStyle name="Style 117 4" xfId="879" xr:uid="{CB4334E1-C565-469F-BA20-6C43D3C4ECD0}"/>
    <cellStyle name="Style 117 4 2" xfId="880" xr:uid="{8BED8D1E-86F5-460E-8D8E-D8A0448C5025}"/>
    <cellStyle name="Style 118" xfId="881" xr:uid="{2CB5302B-719D-4186-AA43-9210AB1F2705}"/>
    <cellStyle name="Style 118 2" xfId="882" xr:uid="{A1B4E73C-27FE-4920-B60D-BCF1EA8B0C42}"/>
    <cellStyle name="Style 118 3" xfId="883" xr:uid="{ECCF01EE-5271-4B64-920E-9DF15778C530}"/>
    <cellStyle name="Style 118 4" xfId="884" xr:uid="{5A5E0F44-8325-4AE5-B0DE-6DBC2569EDD2}"/>
    <cellStyle name="Style 118 4 2" xfId="885" xr:uid="{1D16E865-2EF8-4AC0-A115-DA8A489C4EEF}"/>
    <cellStyle name="Style 119" xfId="886" xr:uid="{3CEFE0F0-649F-4F34-8C51-B3386290E828}"/>
    <cellStyle name="Style 119 2" xfId="887" xr:uid="{F45CC246-A59A-4A56-825B-80629F5BED19}"/>
    <cellStyle name="Style 119 3" xfId="888" xr:uid="{536D0274-EF24-45C6-AA68-257E6B71101D}"/>
    <cellStyle name="Style 119 3 2" xfId="889" xr:uid="{8132B541-8D18-462E-B834-BAEBBECAB53D}"/>
    <cellStyle name="Style 119 4" xfId="890" xr:uid="{49350BBE-FB4F-455F-AA52-CD40FF9FCC9E}"/>
    <cellStyle name="Style 119 5" xfId="891" xr:uid="{1AAB4777-E482-4130-BED6-08CE847092AE}"/>
    <cellStyle name="Style 119 5 2" xfId="892" xr:uid="{BE51CA8E-853D-4D60-8B90-4E1FD5C11D32}"/>
    <cellStyle name="Style 120" xfId="893" xr:uid="{0A95E822-CA5B-4CBD-8C95-FE5ACE6445FC}"/>
    <cellStyle name="Style 120 2" xfId="894" xr:uid="{19CB12FD-26C3-483A-B0CF-27BE4C9DCE9A}"/>
    <cellStyle name="Style 120 3" xfId="895" xr:uid="{9BF277B2-1D5A-4472-9EC0-BF603D1CEE6E}"/>
    <cellStyle name="Style 120 4" xfId="896" xr:uid="{2C232036-0FE0-4A78-9706-4A41F86872E7}"/>
    <cellStyle name="Style 120 4 2" xfId="897" xr:uid="{5BB32826-1FE6-437E-9114-DF5BBB2AB82A}"/>
    <cellStyle name="Style 121" xfId="898" xr:uid="{59309F83-252D-404E-8A49-20A013173756}"/>
    <cellStyle name="Style 121 2" xfId="899" xr:uid="{65F7F64F-4A44-4AEC-B993-A80F52243670}"/>
    <cellStyle name="Style 121 3" xfId="900" xr:uid="{D111F311-ACDE-45D0-825C-A5772C387A4D}"/>
    <cellStyle name="Style 121 4" xfId="901" xr:uid="{2798BD5B-3A5D-4990-AFC2-5B3EB227C00A}"/>
    <cellStyle name="Style 121 4 2" xfId="902" xr:uid="{2FA9FA92-208F-4E25-B2CC-8B9399159DCC}"/>
    <cellStyle name="Style 126" xfId="903" xr:uid="{83871B29-C44C-40E7-9BB4-1DA49DDDC645}"/>
    <cellStyle name="Style 126 2" xfId="904" xr:uid="{E49E0BD6-F8D5-433B-9D4C-2B7DFA1F9755}"/>
    <cellStyle name="Style 126 3" xfId="905" xr:uid="{D55A8415-B401-4986-8BBE-8C9665DF08EE}"/>
    <cellStyle name="Style 126 3 2" xfId="906" xr:uid="{5EDD2268-2EF1-465C-B87E-B4FD28FA4B76}"/>
    <cellStyle name="Style 126 4" xfId="907" xr:uid="{CE4ACBD6-FD92-4B44-93BB-1DBE478D1355}"/>
    <cellStyle name="Style 126 5" xfId="908" xr:uid="{2B15B854-64C4-42EC-87E1-325EB5756604}"/>
    <cellStyle name="Style 126 5 2" xfId="909" xr:uid="{96094464-D4CD-439D-B851-A868395DDE91}"/>
    <cellStyle name="Style 127" xfId="910" xr:uid="{9B71E00D-45C9-44E9-A229-9E4A12070FAA}"/>
    <cellStyle name="Style 127 2" xfId="911" xr:uid="{050E8A91-6132-40EA-AABA-04AB09AC823F}"/>
    <cellStyle name="Style 127 3" xfId="912" xr:uid="{D83697FC-89E5-467F-B626-0119555E92AE}"/>
    <cellStyle name="Style 127 4" xfId="913" xr:uid="{A3A55817-76D7-4DC3-9E92-D64C845F9E95}"/>
    <cellStyle name="Style 127 4 2" xfId="914" xr:uid="{FF671542-F7CB-42E8-A9FF-B5D419012AFB}"/>
    <cellStyle name="Style 128" xfId="915" xr:uid="{D55F3592-4D5F-43F3-9841-766604293E5D}"/>
    <cellStyle name="Style 128 2" xfId="916" xr:uid="{B1FA8486-87B5-4524-8902-7193B3548B25}"/>
    <cellStyle name="Style 128 3" xfId="917" xr:uid="{C6C5FFE5-935E-4173-A5BD-AC78DB25CB53}"/>
    <cellStyle name="Style 128 4" xfId="918" xr:uid="{1C66B65B-FA3C-4EF5-9F5E-A90147A84210}"/>
    <cellStyle name="Style 128 4 2" xfId="919" xr:uid="{A463B151-78E3-434A-9A23-3173BA738CCC}"/>
    <cellStyle name="Style 129" xfId="920" xr:uid="{BE0CB789-9DF9-497A-930A-93AE952A3D31}"/>
    <cellStyle name="Style 129 2" xfId="921" xr:uid="{3D3A26CF-ACD2-49F0-BB26-B7570E26B4BA}"/>
    <cellStyle name="Style 129 3" xfId="922" xr:uid="{CB440D63-E701-480C-8FFD-4B0AA01A3A42}"/>
    <cellStyle name="Style 129 4" xfId="923" xr:uid="{83C29558-865C-4FDC-8009-B7627ED9CF22}"/>
    <cellStyle name="Style 129 4 2" xfId="924" xr:uid="{FD69A403-3734-428C-BE90-7CE36F92A04C}"/>
    <cellStyle name="Style 130" xfId="925" xr:uid="{E6D40D86-6518-4A01-BEDA-5395181F6F38}"/>
    <cellStyle name="Style 130 2" xfId="926" xr:uid="{C942892B-B752-4B96-990A-3359684390A2}"/>
    <cellStyle name="Style 130 3" xfId="927" xr:uid="{1A06BD15-422A-43CE-A808-6AA1DADE13FF}"/>
    <cellStyle name="Style 130 3 2" xfId="928" xr:uid="{C898562C-A2A4-4197-9904-A626C9176854}"/>
    <cellStyle name="Style 130 4" xfId="929" xr:uid="{890BCF83-6D3A-4577-A8B5-D6E3231FDEFE}"/>
    <cellStyle name="Style 130 5" xfId="930" xr:uid="{02218EB4-798B-414F-AF9A-0F16A961B0CF}"/>
    <cellStyle name="Style 130 5 2" xfId="931" xr:uid="{A788A448-0476-4386-8694-5E80EAFACC58}"/>
    <cellStyle name="Style 131" xfId="932" xr:uid="{79220653-949D-4DC5-BA92-EB752682B5F1}"/>
    <cellStyle name="Style 131 2" xfId="933" xr:uid="{0646A53B-DF66-4987-9015-2F9DE4DDB96D}"/>
    <cellStyle name="Style 131 3" xfId="934" xr:uid="{97575A0A-8D42-4AB6-A1AE-AAF0E75E35BB}"/>
    <cellStyle name="Style 131 4" xfId="935" xr:uid="{08C857C7-B732-4BD5-97B8-E16B0FE5417A}"/>
    <cellStyle name="Style 131 4 2" xfId="936" xr:uid="{114B3373-8B94-4A1C-B040-F99DBF49A3AD}"/>
    <cellStyle name="Style 132" xfId="937" xr:uid="{F33FA9DB-85D1-4CA0-BB53-4CE7299445F0}"/>
    <cellStyle name="Style 132 2" xfId="938" xr:uid="{52261ED6-3131-4361-B709-C46E958A6C56}"/>
    <cellStyle name="Style 132 3" xfId="939" xr:uid="{61A71586-BB58-4D55-82CA-15027920F755}"/>
    <cellStyle name="Style 132 4" xfId="940" xr:uid="{5C974A7D-E750-47C2-AE05-5F7744EDD5B6}"/>
    <cellStyle name="Style 132 4 2" xfId="941" xr:uid="{88CBCF80-8091-44CE-8A2F-7F6B067F2E9E}"/>
    <cellStyle name="Style 137" xfId="942" xr:uid="{58E38820-1A0B-4712-92A3-E5AFF7F7DF26}"/>
    <cellStyle name="Style 137 2" xfId="943" xr:uid="{09EDD876-DAC0-4F15-B25B-2BF50F5F03DF}"/>
    <cellStyle name="Style 137 3" xfId="944" xr:uid="{22AF66C1-4E7A-4E58-BDB5-052AE53F603F}"/>
    <cellStyle name="Style 137 3 2" xfId="945" xr:uid="{6C4624FF-66F1-4CA9-9EA3-B75E7504BAE4}"/>
    <cellStyle name="Style 137 4" xfId="946" xr:uid="{1BB73731-59AB-4DC7-80CE-F961468681AA}"/>
    <cellStyle name="Style 137 5" xfId="947" xr:uid="{02704FD5-E19D-4CC8-B500-EC0F21269C94}"/>
    <cellStyle name="Style 137 5 2" xfId="948" xr:uid="{1E037252-1CB1-4071-BBAB-B56085FFAFE0}"/>
    <cellStyle name="Style 138" xfId="949" xr:uid="{E0EFC27D-32D1-4B32-846F-90D6E86FE833}"/>
    <cellStyle name="Style 138 2" xfId="950" xr:uid="{8318EB5C-FC0F-4AE6-9DAA-20C7A1407DC8}"/>
    <cellStyle name="Style 138 3" xfId="951" xr:uid="{2299D460-10E2-4570-8D9D-95DE9F6B4225}"/>
    <cellStyle name="Style 138 4" xfId="952" xr:uid="{9DC6AD84-E98E-4A97-BB62-FF9327736BDA}"/>
    <cellStyle name="Style 138 4 2" xfId="953" xr:uid="{0FAC05D1-0BA9-474F-AD38-135B60F298A0}"/>
    <cellStyle name="Style 139" xfId="954" xr:uid="{83661E18-5CB6-4C87-8C5C-5DABEFFBC457}"/>
    <cellStyle name="Style 139 2" xfId="955" xr:uid="{261FA4E1-7269-4A9C-AE3B-AE9B201879F5}"/>
    <cellStyle name="Style 139 3" xfId="956" xr:uid="{9626CE75-08E3-40DC-BFEC-4A526D674B68}"/>
    <cellStyle name="Style 139 4" xfId="957" xr:uid="{9D111930-5932-4B45-9A72-7AE6186D8433}"/>
    <cellStyle name="Style 139 4 2" xfId="958" xr:uid="{087597EE-8328-49C8-8D06-915222C7D36B}"/>
    <cellStyle name="Style 140" xfId="959" xr:uid="{35F92D12-5A1A-4DC5-9433-782906E8A18E}"/>
    <cellStyle name="Style 140 2" xfId="960" xr:uid="{AE258639-A103-4027-8713-5310FDAE901C}"/>
    <cellStyle name="Style 140 3" xfId="961" xr:uid="{163DF21C-EB75-47F7-B9DD-2B6372969125}"/>
    <cellStyle name="Style 140 4" xfId="962" xr:uid="{D2162791-3F28-4065-B4C3-B5C659DD6E3E}"/>
    <cellStyle name="Style 140 4 2" xfId="963" xr:uid="{64EC73BC-5CCA-4ECC-83C5-D6AFB5E1FAB1}"/>
    <cellStyle name="Style 141" xfId="964" xr:uid="{19395983-D5B8-472F-A958-06307394E6D5}"/>
    <cellStyle name="Style 141 2" xfId="965" xr:uid="{2AB1F191-73D9-40F0-A827-707FA0AC0466}"/>
    <cellStyle name="Style 141 3" xfId="966" xr:uid="{A05E62FD-5D81-4EE3-B561-022349A27ECB}"/>
    <cellStyle name="Style 141 3 2" xfId="967" xr:uid="{C59B1361-AFA8-48D7-8CE7-297728BF8B64}"/>
    <cellStyle name="Style 141 4" xfId="968" xr:uid="{51EBCC74-4FD1-464E-8857-68549E7F3676}"/>
    <cellStyle name="Style 141 5" xfId="969" xr:uid="{E5E0EF42-BE09-4437-BACA-B0508B7D15C3}"/>
    <cellStyle name="Style 141 5 2" xfId="970" xr:uid="{FED1D1BE-7587-4152-AD53-7E8E66FD8BCE}"/>
    <cellStyle name="Style 142" xfId="971" xr:uid="{6427211B-DD86-4190-8EE9-8D339E5F71BF}"/>
    <cellStyle name="Style 142 2" xfId="972" xr:uid="{61C64D52-BE0F-40A5-8563-BE648D35B242}"/>
    <cellStyle name="Style 142 3" xfId="973" xr:uid="{38BC9508-7D7E-4A7C-B489-C647AC444B15}"/>
    <cellStyle name="Style 142 4" xfId="974" xr:uid="{418FDE1C-0064-4BB1-BC24-C719511CEB90}"/>
    <cellStyle name="Style 142 4 2" xfId="975" xr:uid="{E0A894C3-1B66-4217-8B9A-AFBA42D0F617}"/>
    <cellStyle name="Style 143" xfId="976" xr:uid="{BF90A3C2-1B52-4890-BF78-42103B8E2A88}"/>
    <cellStyle name="Style 143 2" xfId="977" xr:uid="{0060F6DA-46B5-447E-8061-A364B5427CFE}"/>
    <cellStyle name="Style 143 3" xfId="978" xr:uid="{6AA5139B-43F5-47B6-8C6A-B15087344A89}"/>
    <cellStyle name="Style 143 4" xfId="979" xr:uid="{EADAEF4A-CF8F-4509-9D71-593DA538162D}"/>
    <cellStyle name="Style 143 4 2" xfId="980" xr:uid="{FD447EA3-94FC-44F5-BBC1-A2A883CDD77E}"/>
    <cellStyle name="Style 148" xfId="981" xr:uid="{C58C6297-CD57-4AC6-A2F7-71779D2C326B}"/>
    <cellStyle name="Style 148 2" xfId="982" xr:uid="{618878E5-C477-4539-B714-8A3503E7C68C}"/>
    <cellStyle name="Style 148 3" xfId="983" xr:uid="{CBA09587-C7AC-4999-B1CE-F919C36F52F2}"/>
    <cellStyle name="Style 148 3 2" xfId="984" xr:uid="{36977BEF-478C-4E7E-A755-552CAF641126}"/>
    <cellStyle name="Style 148 4" xfId="985" xr:uid="{075EE36F-50AB-4EBF-AB1B-C1DFCE7B6741}"/>
    <cellStyle name="Style 148 5" xfId="986" xr:uid="{EE2F5F9C-CA7D-46C3-A14E-EC278B62DE40}"/>
    <cellStyle name="Style 148 5 2" xfId="987" xr:uid="{BE97A261-A20E-412F-B05B-B7931331A443}"/>
    <cellStyle name="Style 149" xfId="988" xr:uid="{ECF75296-6C21-44FA-A3A5-34FD9F8BE9AC}"/>
    <cellStyle name="Style 149 2" xfId="989" xr:uid="{A871E2BA-1EB3-45E2-9101-CE4810C80DD0}"/>
    <cellStyle name="Style 149 3" xfId="990" xr:uid="{FD9D247D-A816-4A10-828A-E83AA05508D5}"/>
    <cellStyle name="Style 149 4" xfId="991" xr:uid="{30B33358-6E7D-49D2-8A95-BA39FE9BABAE}"/>
    <cellStyle name="Style 149 4 2" xfId="992" xr:uid="{1074FD52-E77C-4424-B5A0-88FE8D0C8C97}"/>
    <cellStyle name="Style 150" xfId="993" xr:uid="{74E03FAA-C933-4286-9B34-65D448944C32}"/>
    <cellStyle name="Style 150 2" xfId="994" xr:uid="{480CDCEA-4861-42C9-AED8-453A42F3CB8A}"/>
    <cellStyle name="Style 150 3" xfId="995" xr:uid="{217F98FC-C4B6-4F46-9068-9744AC92BD2B}"/>
    <cellStyle name="Style 150 4" xfId="996" xr:uid="{C8E5FEEC-DA84-4378-B05F-2F5B1B9F7883}"/>
    <cellStyle name="Style 150 4 2" xfId="997" xr:uid="{30F4E7D7-01E4-4C68-B8FC-38037F8D6800}"/>
    <cellStyle name="Style 151" xfId="998" xr:uid="{26F04051-2071-44F2-8CC3-9B05C552AFB0}"/>
    <cellStyle name="Style 151 2" xfId="999" xr:uid="{7EFFF19E-E338-45F0-A64B-B840B232E368}"/>
    <cellStyle name="Style 151 3" xfId="1000" xr:uid="{08AFFC9F-DFDA-44D9-AA5E-665021646B48}"/>
    <cellStyle name="Style 151 4" xfId="1001" xr:uid="{D0C76745-E314-455D-8A29-473DB224D4F9}"/>
    <cellStyle name="Style 151 4 2" xfId="1002" xr:uid="{2FBAB879-2B11-483B-957B-D0E84C21BD53}"/>
    <cellStyle name="Style 152" xfId="1003" xr:uid="{3E5B076A-D605-44B7-8512-AB5C7163EE3A}"/>
    <cellStyle name="Style 152 2" xfId="1004" xr:uid="{8B937E98-56CF-4A95-97A8-F0E420C8AD17}"/>
    <cellStyle name="Style 152 3" xfId="1005" xr:uid="{E1182B0D-91DA-449A-9DA7-0BF8CBD9EAC2}"/>
    <cellStyle name="Style 152 3 2" xfId="1006" xr:uid="{FAAD8713-7F47-4AD5-8E7B-6BAB4D5EA6AB}"/>
    <cellStyle name="Style 152 4" xfId="1007" xr:uid="{6645DF9C-9977-46C5-AA49-490E720E05C5}"/>
    <cellStyle name="Style 152 5" xfId="1008" xr:uid="{FEFE84F9-15F5-4EED-BF85-7C34686EFC70}"/>
    <cellStyle name="Style 152 5 2" xfId="1009" xr:uid="{C1E2666C-7793-4ACF-910D-0FF80F920718}"/>
    <cellStyle name="Style 153" xfId="1010" xr:uid="{173DD040-A2C4-43E4-AAB4-4AF19226624B}"/>
    <cellStyle name="Style 153 2" xfId="1011" xr:uid="{736DD20C-C476-437A-9773-C5A8A0C81F36}"/>
    <cellStyle name="Style 153 3" xfId="1012" xr:uid="{1FC0F384-2981-4151-833F-39BB92CA5B00}"/>
    <cellStyle name="Style 153 4" xfId="1013" xr:uid="{B0022594-9553-42A7-AAE5-C0E3AA9F5E88}"/>
    <cellStyle name="Style 153 4 2" xfId="1014" xr:uid="{9E539B29-1980-492F-9997-11BEA7A70CE2}"/>
    <cellStyle name="Style 154" xfId="1015" xr:uid="{D1A1DF41-7DA3-4681-ACAE-DA4FAABC8D1E}"/>
    <cellStyle name="Style 154 2" xfId="1016" xr:uid="{4BACF23A-F46C-47A2-9AC8-D1CF91E0B63E}"/>
    <cellStyle name="Style 154 3" xfId="1017" xr:uid="{00F59CEB-6E4D-41C7-8F6A-82B4C768519E}"/>
    <cellStyle name="Style 154 4" xfId="1018" xr:uid="{E2746EBF-5EB8-411E-8A1D-603BA97E0482}"/>
    <cellStyle name="Style 154 4 2" xfId="1019" xr:uid="{B70DD90E-A53C-480F-A774-C49B32146EC8}"/>
    <cellStyle name="Style 159" xfId="1020" xr:uid="{0143A977-0337-487B-A6D0-7B77871CBEE0}"/>
    <cellStyle name="Style 159 2" xfId="1021" xr:uid="{9EAFF287-5EB7-4DCE-8AB6-04942C3BC6B1}"/>
    <cellStyle name="Style 159 3" xfId="1022" xr:uid="{14631250-5121-4377-9266-285B5F3231A6}"/>
    <cellStyle name="Style 159 3 2" xfId="1023" xr:uid="{E352AC24-8946-4049-B927-7734BC8DDBC7}"/>
    <cellStyle name="Style 159 4" xfId="1024" xr:uid="{1815DC55-9751-48AB-9097-5B1BE397C2E8}"/>
    <cellStyle name="Style 159 5" xfId="1025" xr:uid="{1862CB85-D273-4793-8C1B-F4245B6F371F}"/>
    <cellStyle name="Style 159 5 2" xfId="1026" xr:uid="{53C55B24-A859-4797-87C1-E7DCA0DF5C31}"/>
    <cellStyle name="Style 160" xfId="1027" xr:uid="{D5716304-DA4E-49C4-9120-82D9F960BEAB}"/>
    <cellStyle name="Style 160 2" xfId="1028" xr:uid="{05F41277-8044-419D-8A62-129D56B5E795}"/>
    <cellStyle name="Style 160 3" xfId="1029" xr:uid="{ADC82E22-0D36-462D-8818-772CE1DE1E0F}"/>
    <cellStyle name="Style 160 4" xfId="1030" xr:uid="{22F5C8AD-8FC0-4456-AEDE-F85151B97BEE}"/>
    <cellStyle name="Style 160 4 2" xfId="1031" xr:uid="{C7248BAB-68A5-48CD-9187-FC0FB3C730C9}"/>
    <cellStyle name="Style 161" xfId="1032" xr:uid="{BDC31139-321D-4B4C-9285-467FDAFF5BC4}"/>
    <cellStyle name="Style 161 2" xfId="1033" xr:uid="{44BC8F1D-7482-4E4E-9157-250F596BB182}"/>
    <cellStyle name="Style 161 3" xfId="1034" xr:uid="{EE9DF718-92D5-454A-BCE2-A754E1EE64E1}"/>
    <cellStyle name="Style 161 4" xfId="1035" xr:uid="{E944530E-D085-457C-A19A-F87D9A1FFC7A}"/>
    <cellStyle name="Style 161 4 2" xfId="1036" xr:uid="{A7D62ABE-A03B-4654-BDFB-E099C62D960A}"/>
    <cellStyle name="Style 162" xfId="1037" xr:uid="{0CDD31C6-7F58-4FC1-91CB-E71B72F6F0F7}"/>
    <cellStyle name="Style 162 2" xfId="1038" xr:uid="{2762A776-2E04-4BBF-B726-EF10C518DAFD}"/>
    <cellStyle name="Style 162 3" xfId="1039" xr:uid="{9011C5DE-E880-4839-9B93-BDA9A96A0AE0}"/>
    <cellStyle name="Style 162 4" xfId="1040" xr:uid="{9B13EB3F-1BEB-4752-A637-84BCC4E35712}"/>
    <cellStyle name="Style 162 4 2" xfId="1041" xr:uid="{319D1BA2-2840-4A3B-B8AB-DCEB21E2142E}"/>
    <cellStyle name="Style 163" xfId="1042" xr:uid="{90643E6A-9DEA-494F-99E2-92391880862D}"/>
    <cellStyle name="Style 163 2" xfId="1043" xr:uid="{606A03C6-D0B8-416A-95EE-63A120CBF8CA}"/>
    <cellStyle name="Style 163 3" xfId="1044" xr:uid="{915182BB-649F-4E67-9305-07D0F9CF9D35}"/>
    <cellStyle name="Style 163 3 2" xfId="1045" xr:uid="{C43A4588-73C3-4C07-9F95-09FC388CD376}"/>
    <cellStyle name="Style 163 4" xfId="1046" xr:uid="{093E2186-91A9-454A-98B6-253B6B87B033}"/>
    <cellStyle name="Style 163 5" xfId="1047" xr:uid="{17917040-43A5-4D29-BA1D-690F7F66A883}"/>
    <cellStyle name="Style 163 5 2" xfId="1048" xr:uid="{DE3560A9-D3E9-4ABA-84B9-103BAAB83653}"/>
    <cellStyle name="Style 164" xfId="1049" xr:uid="{28671BEA-3B34-4BA3-AA4A-6897E8C9F935}"/>
    <cellStyle name="Style 164 2" xfId="1050" xr:uid="{5ED98F14-F897-4ABA-BA81-C41468F758F0}"/>
    <cellStyle name="Style 164 3" xfId="1051" xr:uid="{151F050F-E622-4E46-9ED7-1330D3DD8B11}"/>
    <cellStyle name="Style 164 4" xfId="1052" xr:uid="{55A3FFD2-8883-42F5-98F2-45037C5A0BA3}"/>
    <cellStyle name="Style 164 4 2" xfId="1053" xr:uid="{D9F2BA1D-78D5-46D7-B334-7C33A2BEEFE3}"/>
    <cellStyle name="Style 165" xfId="1054" xr:uid="{58485674-F880-42B4-AB51-594BA0A2F928}"/>
    <cellStyle name="Style 165 2" xfId="1055" xr:uid="{215778BF-1CD3-41D3-8903-FEFF0FE404F8}"/>
    <cellStyle name="Style 165 3" xfId="1056" xr:uid="{54B3E1F5-E659-4691-BA15-D06E392BA450}"/>
    <cellStyle name="Style 165 4" xfId="1057" xr:uid="{B462AEFD-8B50-47A0-A444-F5F0DF5A92B8}"/>
    <cellStyle name="Style 165 4 2" xfId="1058" xr:uid="{9EF3E3C2-C6A0-4BF1-AF41-8E2A780B2784}"/>
    <cellStyle name="Style 21" xfId="1059" xr:uid="{81327441-A018-42D4-8EE7-0C8CD1991442}"/>
    <cellStyle name="Style 21 2" xfId="1060" xr:uid="{84C848DB-81A6-4D6A-B76C-0999D788DD0C}"/>
    <cellStyle name="Style 21 3" xfId="1061" xr:uid="{9F74BE9B-734F-4427-B93A-4AF6749EC7F2}"/>
    <cellStyle name="Style 21 3 2" xfId="1062" xr:uid="{C7A3F258-AA1F-4E64-A570-3166815FF719}"/>
    <cellStyle name="Style 21 4" xfId="1063" xr:uid="{DC4F11F2-1128-472D-A6C6-784B1125B98F}"/>
    <cellStyle name="Style 21 5" xfId="1064" xr:uid="{44832C4E-988E-4ECA-BDBA-C27C78594936}"/>
    <cellStyle name="Style 21 5 2" xfId="1065" xr:uid="{C52BCF1D-BB2C-42E0-9631-02E7DFBF02D5}"/>
    <cellStyle name="Style 21 6" xfId="1066" xr:uid="{0E6897CF-7414-412F-8789-64FA1466148C}"/>
    <cellStyle name="Style 21 7" xfId="1067" xr:uid="{B61C34C2-ED33-4AB3-9715-EB54B5E9FBD6}"/>
    <cellStyle name="Style 22" xfId="1068" xr:uid="{1A77F044-3308-4568-9697-55ACAB3C1E3A}"/>
    <cellStyle name="Style 22 2" xfId="1069" xr:uid="{0AEE3C94-B523-4634-AEF4-B2EB279B80A8}"/>
    <cellStyle name="Style 22 3" xfId="1070" xr:uid="{3D42894B-21BD-4BD1-9925-82BC547474C3}"/>
    <cellStyle name="Style 22 4" xfId="1071" xr:uid="{FEE4372E-7366-4F39-AB72-F817274A2934}"/>
    <cellStyle name="Style 22 4 2" xfId="1072" xr:uid="{AAAE98CF-7484-4D98-BAB5-C44811670F2F}"/>
    <cellStyle name="Style 22 5" xfId="1073" xr:uid="{0B2B56F8-399F-45E9-9BD7-78FF3311349B}"/>
    <cellStyle name="Style 23" xfId="1074" xr:uid="{4557082A-D72F-4F7D-BC26-9087CEBCF985}"/>
    <cellStyle name="Style 23 2" xfId="1075" xr:uid="{72DADA7A-97AF-463A-A3F2-FA7159C93DC4}"/>
    <cellStyle name="Style 23 3" xfId="1076" xr:uid="{A96C4BB7-84D8-4D29-AD33-20564BF0C365}"/>
    <cellStyle name="Style 23 4" xfId="1077" xr:uid="{CAED1AD9-430B-4F0E-B038-A9EA6DABF626}"/>
    <cellStyle name="Style 23 4 2" xfId="1078" xr:uid="{1440107B-210B-40EB-8863-4A4F33181BD9}"/>
    <cellStyle name="Style 23 5" xfId="1079" xr:uid="{21F0A7A3-6049-4847-89AE-DA1635B5201B}"/>
    <cellStyle name="Style 24" xfId="1080" xr:uid="{DD2BE85C-F66A-4618-89FA-8B3699D47F1F}"/>
    <cellStyle name="Style 24 2" xfId="1081" xr:uid="{2EB7F19E-D63D-4D17-8012-B367F6896A5D}"/>
    <cellStyle name="Style 24 3" xfId="1082" xr:uid="{839E183F-6937-4C8D-83AE-3C28A3F7BDC7}"/>
    <cellStyle name="Style 24 4" xfId="1083" xr:uid="{9D7493E9-0E43-476A-806A-DC5BCDE2B280}"/>
    <cellStyle name="Style 24 4 2" xfId="1084" xr:uid="{03002D83-C4D9-4169-B50C-05D115E285FC}"/>
    <cellStyle name="Style 24 5" xfId="1085" xr:uid="{414D74A6-6A11-447E-B383-47DB895C604C}"/>
    <cellStyle name="Style 25" xfId="1086" xr:uid="{CAB73167-B857-41AB-B439-C5704B50DAC8}"/>
    <cellStyle name="Style 25 2" xfId="1087" xr:uid="{E0450F1E-BEF7-43CA-97AA-83026E204AF9}"/>
    <cellStyle name="Style 25 3" xfId="1088" xr:uid="{D66AB7B5-419E-40E7-9383-7C413F8D8781}"/>
    <cellStyle name="Style 25 3 2" xfId="1089" xr:uid="{D44B7222-BFDF-49BF-AA10-0B7157514817}"/>
    <cellStyle name="Style 25 4" xfId="1090" xr:uid="{1DE6A6F4-4A7A-4A17-8932-3011DAB52094}"/>
    <cellStyle name="Style 25 5" xfId="1091" xr:uid="{A841B63D-887C-4E24-86F2-3E4DF6DDD072}"/>
    <cellStyle name="Style 25 5 2" xfId="1092" xr:uid="{B631CE12-8E2C-492F-B3DC-0D7EA466B198}"/>
    <cellStyle name="Style 25 6" xfId="1093" xr:uid="{1069C2FE-7004-489E-A904-5CD3AB23950A}"/>
    <cellStyle name="Style 26" xfId="1094" xr:uid="{3FAA7B64-1A6D-45D3-A013-EDAB4A07BB1A}"/>
    <cellStyle name="Style 26 2" xfId="1095" xr:uid="{E91C4670-4BC0-4C6C-886A-559C3243CBA7}"/>
    <cellStyle name="Style 26 3" xfId="1096" xr:uid="{42B38E58-30E4-4CF6-9C48-12EA99AC1538}"/>
    <cellStyle name="Style 26 4" xfId="1097" xr:uid="{BBAF254E-37E5-4914-A0EC-C2C20D3A6681}"/>
    <cellStyle name="Style 26 4 2" xfId="1098" xr:uid="{F028A3A0-26CB-4214-B707-2D2DC38599DC}"/>
    <cellStyle name="Style 26 5" xfId="1099" xr:uid="{79456E6E-76E5-4ABB-AA2A-7E9CB983C3F0}"/>
    <cellStyle name="Style 27" xfId="1100" xr:uid="{D67828E9-130A-44F4-BA31-1454711F43B3}"/>
    <cellStyle name="Style 27 2" xfId="1101" xr:uid="{0D80A4AE-44DB-4B45-893F-42B19DB5718F}"/>
    <cellStyle name="Style 27 3" xfId="1102" xr:uid="{0AA2B82E-500B-4F05-8FA8-165584FFDE95}"/>
    <cellStyle name="Style 27 4" xfId="1103" xr:uid="{AF2BB793-CFBA-4B33-970E-372062686CFD}"/>
    <cellStyle name="Style 27 4 2" xfId="1104" xr:uid="{C7EE9933-55FE-4B28-A7EC-2EFF83C69C8F}"/>
    <cellStyle name="Style 35" xfId="1105" xr:uid="{4BAF8CC5-5FA4-4CD6-9D19-062A1D1BC533}"/>
    <cellStyle name="Style 35 2" xfId="1106" xr:uid="{66660F47-192C-451A-8FB2-BE8DF13C1C3F}"/>
    <cellStyle name="Style 35 3" xfId="1107" xr:uid="{6B63437D-5B32-430C-9D7D-CEF452786E30}"/>
    <cellStyle name="Style 35 3 2" xfId="1108" xr:uid="{D7FED946-E1AD-49AD-8940-C68EEBF81B8C}"/>
    <cellStyle name="Style 35 4" xfId="1109" xr:uid="{1A6060AE-6423-413E-BA3C-D2AA93F87413}"/>
    <cellStyle name="Style 35 5" xfId="1110" xr:uid="{1A95CA41-C9BF-4853-A4F1-31C40661FED4}"/>
    <cellStyle name="Style 35 5 2" xfId="1111" xr:uid="{91352BD9-2385-4DBC-B23C-FC01DE6A1190}"/>
    <cellStyle name="Style 36" xfId="1112" xr:uid="{3410BD49-8848-4DB2-8495-4CDD69BE5599}"/>
    <cellStyle name="Style 36 2" xfId="1113" xr:uid="{47716F12-7525-4F41-AFE4-7F5CD717E9A1}"/>
    <cellStyle name="Style 36 3" xfId="1114" xr:uid="{FBEA48AF-9853-43FA-9007-03F423455070}"/>
    <cellStyle name="Style 36 4" xfId="1115" xr:uid="{459AFBBD-05EA-4C27-8E4F-04EC64FD7A2D}"/>
    <cellStyle name="Style 36 4 2" xfId="1116" xr:uid="{2ACBF648-374E-453A-B4E1-87DB42369B4F}"/>
    <cellStyle name="Style 37" xfId="1117" xr:uid="{02D546F7-DE3E-4718-B2D9-79DA71504010}"/>
    <cellStyle name="Style 37 2" xfId="1118" xr:uid="{9C113C1A-051F-4BC5-ABC8-95F8F050C15B}"/>
    <cellStyle name="Style 37 3" xfId="1119" xr:uid="{7D88A115-75F7-491A-9D11-0DECF5F8985F}"/>
    <cellStyle name="Style 37 4" xfId="1120" xr:uid="{5EA7915E-9037-4141-9838-494428E9094C}"/>
    <cellStyle name="Style 37 4 2" xfId="1121" xr:uid="{1934EC92-7CB7-453C-8F92-77AB8709B135}"/>
    <cellStyle name="Style 38" xfId="1122" xr:uid="{F5FE4916-75F8-450A-B167-EDC990B9051C}"/>
    <cellStyle name="Style 38 2" xfId="1123" xr:uid="{13E2DC7B-E043-41F9-B258-E4777ABA36D9}"/>
    <cellStyle name="Style 38 3" xfId="1124" xr:uid="{54B41FF8-B596-46F9-942C-C952870CC5A0}"/>
    <cellStyle name="Style 38 4" xfId="1125" xr:uid="{9F0397EC-03BC-4920-84F7-953AD6DE80E6}"/>
    <cellStyle name="Style 38 4 2" xfId="1126" xr:uid="{E8366C00-5B55-4B1A-A09D-8914D33064C0}"/>
    <cellStyle name="Style 39" xfId="1127" xr:uid="{0DFBF44E-5D9E-457B-BE92-A5B87C8D1830}"/>
    <cellStyle name="Style 39 2" xfId="1128" xr:uid="{4FF625DB-F4AF-45C1-BCB3-E3CF52778D3F}"/>
    <cellStyle name="Style 39 3" xfId="1129" xr:uid="{89022A87-63FF-4367-9EBA-6E4D9C84DB51}"/>
    <cellStyle name="Style 39 3 2" xfId="1130" xr:uid="{AD462D8F-174F-46A0-B3EB-ECDEF588886B}"/>
    <cellStyle name="Style 39 4" xfId="1131" xr:uid="{99DCA743-E33C-4338-A35C-89E5D372EB99}"/>
    <cellStyle name="Style 39 5" xfId="1132" xr:uid="{E49C8501-3514-43D1-86DB-CA9C17DA33F5}"/>
    <cellStyle name="Style 39 5 2" xfId="1133" xr:uid="{C50215CA-D750-41B4-BA52-4CBFFD0FCBC3}"/>
    <cellStyle name="Style 40" xfId="1134" xr:uid="{DE930B99-A908-4150-A5CE-631B4D4F9A41}"/>
    <cellStyle name="Style 40 2" xfId="1135" xr:uid="{E5FE7852-B70B-4CF0-BD57-5DC13CA41F31}"/>
    <cellStyle name="Style 40 3" xfId="1136" xr:uid="{D58EB7F8-80F8-4E82-878F-A05CDD6F2209}"/>
    <cellStyle name="Style 40 4" xfId="1137" xr:uid="{E6F20FF4-7537-4BC1-8EFD-EC4FA03F483D}"/>
    <cellStyle name="Style 40 4 2" xfId="1138" xr:uid="{A8C09C61-596B-4703-B91B-7A1E6134F308}"/>
    <cellStyle name="Style 41" xfId="1139" xr:uid="{C77251AF-5CB7-48C7-A621-1FBBD6335D17}"/>
    <cellStyle name="Style 41 2" xfId="1140" xr:uid="{0B478A2B-0D68-4830-B9C8-BF2ADA7ECCBF}"/>
    <cellStyle name="Style 41 3" xfId="1141" xr:uid="{F43C52A3-64D6-48D4-B058-C8CBBF8E98F4}"/>
    <cellStyle name="Style 41 4" xfId="1142" xr:uid="{A32E933F-77DB-4E87-96A7-E83D351E1EAD}"/>
    <cellStyle name="Style 41 4 2" xfId="1143" xr:uid="{A33EA17C-A2D3-4E8C-A691-F27B5EA9E472}"/>
    <cellStyle name="Style 46" xfId="1144" xr:uid="{91BD06B8-A69E-4BB9-B8C5-6DF92A3D70C5}"/>
    <cellStyle name="Style 46 2" xfId="1145" xr:uid="{5F1F3DCB-F7FC-4C95-9662-273FA787C52C}"/>
    <cellStyle name="Style 46 3" xfId="1146" xr:uid="{04179211-8BF2-417F-B5A4-6D9D2B8206EC}"/>
    <cellStyle name="Style 46 3 2" xfId="1147" xr:uid="{2988C4AF-A38D-4D21-A796-61EC6CD55325}"/>
    <cellStyle name="Style 46 4" xfId="1148" xr:uid="{ADD1235B-3EF5-4780-9A68-4111B5860C7F}"/>
    <cellStyle name="Style 46 5" xfId="1149" xr:uid="{60739E86-9348-456D-9126-BF91EBA8B105}"/>
    <cellStyle name="Style 46 5 2" xfId="1150" xr:uid="{CB75A9ED-6FCE-45F6-A7DF-E83633620C1A}"/>
    <cellStyle name="Style 47" xfId="1151" xr:uid="{BA9715E1-56E0-475B-9673-0AA9118382DA}"/>
    <cellStyle name="Style 47 2" xfId="1152" xr:uid="{EB89ADF2-C3F9-4D7A-93E8-FBA5C8E05A3F}"/>
    <cellStyle name="Style 47 3" xfId="1153" xr:uid="{63AE88D7-9E40-438D-9C8A-9D29A7820BA1}"/>
    <cellStyle name="Style 47 4" xfId="1154" xr:uid="{B98A4067-AEED-4EE0-8440-1EA32A0DDFFA}"/>
    <cellStyle name="Style 47 4 2" xfId="1155" xr:uid="{A7417AEB-9627-46B7-A721-577110C47434}"/>
    <cellStyle name="Style 48" xfId="1156" xr:uid="{BAA28014-564E-49A7-A0DB-0A21947A4AFC}"/>
    <cellStyle name="Style 48 2" xfId="1157" xr:uid="{4FA97D58-9E6F-4837-A9CD-2C9F451ACEBB}"/>
    <cellStyle name="Style 48 3" xfId="1158" xr:uid="{0DB46D64-A0DB-44A0-BBDF-66AF61654483}"/>
    <cellStyle name="Style 48 4" xfId="1159" xr:uid="{AA8065BA-C78B-4155-AF2D-E92F596260D2}"/>
    <cellStyle name="Style 48 4 2" xfId="1160" xr:uid="{6689505E-3D17-4EFC-8E6D-22F01FDBB640}"/>
    <cellStyle name="Style 49" xfId="1161" xr:uid="{085F5186-7208-404A-9F3D-E690E315070A}"/>
    <cellStyle name="Style 49 2" xfId="1162" xr:uid="{EC1BCA3F-2343-4092-9AB3-3FF9CB6D2935}"/>
    <cellStyle name="Style 49 3" xfId="1163" xr:uid="{3FAA2054-DD29-40E8-BC3C-AFD7900F2078}"/>
    <cellStyle name="Style 49 4" xfId="1164" xr:uid="{B7A8C922-4A50-4E8B-9021-E377578C24DD}"/>
    <cellStyle name="Style 49 4 2" xfId="1165" xr:uid="{DE7FAA9F-6B07-43A5-82F3-A23B8E7203D7}"/>
    <cellStyle name="Style 50" xfId="1166" xr:uid="{0BEE74A5-6F7D-4894-B8E8-27C72C831708}"/>
    <cellStyle name="Style 50 2" xfId="1167" xr:uid="{66A43DE3-8EE1-46B2-9D3F-4B35C1F3DFFF}"/>
    <cellStyle name="Style 50 3" xfId="1168" xr:uid="{22F92AA0-8AE7-491A-B205-95EB7FEE0916}"/>
    <cellStyle name="Style 50 3 2" xfId="1169" xr:uid="{BD369D65-750E-4C23-8404-B3565298E528}"/>
    <cellStyle name="Style 50 4" xfId="1170" xr:uid="{E5A3FA4D-6B85-4E34-9D11-6E686D180993}"/>
    <cellStyle name="Style 50 5" xfId="1171" xr:uid="{BAA90868-F0B8-45A7-B030-3006C59FD354}"/>
    <cellStyle name="Style 50 5 2" xfId="1172" xr:uid="{2B3ADB0C-830B-4F66-822B-761950AB7831}"/>
    <cellStyle name="Style 51" xfId="1173" xr:uid="{C7B857CF-31D9-4369-B255-8E8155A1033E}"/>
    <cellStyle name="Style 51 2" xfId="1174" xr:uid="{3FC1E6D2-EB94-4AE6-BE89-9D2009B88DEB}"/>
    <cellStyle name="Style 51 3" xfId="1175" xr:uid="{B6DD5E1F-CBCC-4A8A-9FF6-87FB0F2285A3}"/>
    <cellStyle name="Style 51 4" xfId="1176" xr:uid="{CEEF9C6A-FA9D-4714-97A3-01247DA30072}"/>
    <cellStyle name="Style 51 4 2" xfId="1177" xr:uid="{9BA93B89-2EDC-45AD-B5C5-54CD57D4ADF7}"/>
    <cellStyle name="Style 52" xfId="1178" xr:uid="{09BC61F1-1CE8-49A4-BCA9-5D6515D332FF}"/>
    <cellStyle name="Style 52 2" xfId="1179" xr:uid="{8CA13813-841F-4A45-BB4D-CE00B2314CC2}"/>
    <cellStyle name="Style 52 3" xfId="1180" xr:uid="{BA5609C2-3035-4847-87B0-593106ADAB62}"/>
    <cellStyle name="Style 52 4" xfId="1181" xr:uid="{0EB7287E-C61F-4510-B07C-4B002CCAF276}"/>
    <cellStyle name="Style 52 4 2" xfId="1182" xr:uid="{64F60575-9CF6-4DAB-8085-46438F4CCF9B}"/>
    <cellStyle name="Style 58" xfId="1183" xr:uid="{40A9462A-370F-4EE9-AB37-1E4511E7250B}"/>
    <cellStyle name="Style 58 2" xfId="1184" xr:uid="{189A9549-CB20-4F27-BE8E-4294BF800D7B}"/>
    <cellStyle name="Style 58 3" xfId="1185" xr:uid="{99EEAB34-2EDD-4A3E-A2F6-694DF8DCE3D9}"/>
    <cellStyle name="Style 58 3 2" xfId="1186" xr:uid="{9362E8AE-3654-4C06-B064-D9F671292485}"/>
    <cellStyle name="Style 58 4" xfId="1187" xr:uid="{191E0A94-6407-4616-88F3-1559FF973B3D}"/>
    <cellStyle name="Style 58 5" xfId="1188" xr:uid="{9B21046B-410A-4737-B292-4DC501EC335C}"/>
    <cellStyle name="Style 58 5 2" xfId="1189" xr:uid="{8FED457B-F69A-420A-B4B1-7B62C0810883}"/>
    <cellStyle name="Style 59" xfId="1190" xr:uid="{9C8CECF1-24D9-4DA7-A0DF-C2A996B73B2B}"/>
    <cellStyle name="Style 59 2" xfId="1191" xr:uid="{8DBE6B2A-BE92-4344-AC44-3C8FA21A92F6}"/>
    <cellStyle name="Style 59 3" xfId="1192" xr:uid="{D77BC9FE-87E4-431F-ADD9-F236D52C56CB}"/>
    <cellStyle name="Style 59 4" xfId="1193" xr:uid="{17AD4649-4887-4527-BF23-52CE0239F156}"/>
    <cellStyle name="Style 59 4 2" xfId="1194" xr:uid="{7C9549F6-8CAF-456B-97DC-406AC93EF38E}"/>
    <cellStyle name="Style 60" xfId="1195" xr:uid="{72DAA010-DD11-44AF-9F53-5565CAE0A38C}"/>
    <cellStyle name="Style 60 2" xfId="1196" xr:uid="{1B86E902-4A41-4EC5-8701-B1F8D48D96D8}"/>
    <cellStyle name="Style 60 3" xfId="1197" xr:uid="{C8384B44-43A3-4FC8-BA0E-605A2A2A0E5C}"/>
    <cellStyle name="Style 60 4" xfId="1198" xr:uid="{81AA593C-6220-42D7-9FDE-4ED88ADE1DC6}"/>
    <cellStyle name="Style 60 4 2" xfId="1199" xr:uid="{176F3777-C2A5-4F66-9F24-32AF4EE32516}"/>
    <cellStyle name="Style 61" xfId="1200" xr:uid="{EB0204C7-F391-4842-8ABE-DF5AD50FB8DE}"/>
    <cellStyle name="Style 61 2" xfId="1201" xr:uid="{56D192B6-A45F-4B7E-B0F0-E0061EBFA583}"/>
    <cellStyle name="Style 61 3" xfId="1202" xr:uid="{126D4D73-A796-4332-B465-AC075337EE43}"/>
    <cellStyle name="Style 61 4" xfId="1203" xr:uid="{971C642E-20F1-4824-9C55-73F4A5EA1B36}"/>
    <cellStyle name="Style 61 4 2" xfId="1204" xr:uid="{4ABDE9BE-DB0B-495B-80BD-25A68B86E886}"/>
    <cellStyle name="Style 62" xfId="1205" xr:uid="{7E3D17A9-809F-43DB-BEF0-C6AFEC4C4548}"/>
    <cellStyle name="Style 62 2" xfId="1206" xr:uid="{D32D9ADE-417B-4A36-80F2-EB2D9B132264}"/>
    <cellStyle name="Style 62 3" xfId="1207" xr:uid="{E03E13E8-0E0F-4905-8A83-24C4CF0F0DAD}"/>
    <cellStyle name="Style 62 3 2" xfId="1208" xr:uid="{8995FB71-AB7A-48A6-84F5-1F4764895C13}"/>
    <cellStyle name="Style 62 4" xfId="1209" xr:uid="{F8CFD7C1-CB5D-4836-B6D5-1F73ECD405B7}"/>
    <cellStyle name="Style 62 5" xfId="1210" xr:uid="{CDD1101F-0B32-4852-9901-14C6DC6343C0}"/>
    <cellStyle name="Style 62 5 2" xfId="1211" xr:uid="{12463B23-97C6-4B89-AA59-76D2332CADB1}"/>
    <cellStyle name="Style 63" xfId="1212" xr:uid="{BA684D8F-B69E-418B-B0A6-133ACF47A6B6}"/>
    <cellStyle name="Style 63 2" xfId="1213" xr:uid="{FA0D1C07-B9E3-47CB-97F1-594CA8EED632}"/>
    <cellStyle name="Style 63 3" xfId="1214" xr:uid="{16AC4EE7-3385-4D84-908F-15588843B178}"/>
    <cellStyle name="Style 63 4" xfId="1215" xr:uid="{FDB9B6BD-1E5A-454F-854D-A9D76B4758AD}"/>
    <cellStyle name="Style 63 4 2" xfId="1216" xr:uid="{0D501133-3578-4468-B8F5-D42EE8F3BCBA}"/>
    <cellStyle name="Style 64" xfId="1217" xr:uid="{E2E44ED5-CEC3-4165-A660-F04A1EB7923B}"/>
    <cellStyle name="Style 64 2" xfId="1218" xr:uid="{78D6D9F3-10AB-4858-8955-07F21B7E5096}"/>
    <cellStyle name="Style 64 3" xfId="1219" xr:uid="{493EAD35-4777-48C4-A405-2DECF0B3F514}"/>
    <cellStyle name="Style 64 4" xfId="1220" xr:uid="{0C4E0F04-BBED-469B-8E0E-8674C686324A}"/>
    <cellStyle name="Style 64 4 2" xfId="1221" xr:uid="{1FC0C122-F8D5-4F2D-B89E-2E3A7EA942A9}"/>
    <cellStyle name="Style 69" xfId="1222" xr:uid="{AD338468-3E54-4640-B287-B432ECCC2DFF}"/>
    <cellStyle name="Style 69 2" xfId="1223" xr:uid="{2DD14D4E-3CA0-4913-A8F4-EB5C6F547413}"/>
    <cellStyle name="Style 69 3" xfId="1224" xr:uid="{5B4264EE-7450-49D6-921B-247ED0173C55}"/>
    <cellStyle name="Style 69 3 2" xfId="1225" xr:uid="{4616F2B6-1285-4350-9CF4-EEE9596AFB19}"/>
    <cellStyle name="Style 69 4" xfId="1226" xr:uid="{5C5D8D70-7E6E-4B67-BA2C-8C3BDFB0DEFD}"/>
    <cellStyle name="Style 69 5" xfId="1227" xr:uid="{B2903367-188C-452F-BFE1-0FB41EF14137}"/>
    <cellStyle name="Style 69 5 2" xfId="1228" xr:uid="{0EDEC077-FC01-44E7-8C68-B355190952F1}"/>
    <cellStyle name="Style 70" xfId="1229" xr:uid="{D047F75A-584D-4BB3-866D-BDB3E54D449D}"/>
    <cellStyle name="Style 70 2" xfId="1230" xr:uid="{D5EE180E-B213-4DB7-AAF1-2B3FCC93F4BC}"/>
    <cellStyle name="Style 70 3" xfId="1231" xr:uid="{3B532367-99E0-45D5-AB07-2D2FB4AE6C6B}"/>
    <cellStyle name="Style 70 4" xfId="1232" xr:uid="{DB9E826B-3BB4-477E-83E3-87CDE8C05519}"/>
    <cellStyle name="Style 70 4 2" xfId="1233" xr:uid="{914A7386-9525-41BF-AB0A-4F8D35F4C7FB}"/>
    <cellStyle name="Style 71" xfId="1234" xr:uid="{145E0727-170F-4AEF-A09F-F4FF043B3D0F}"/>
    <cellStyle name="Style 71 2" xfId="1235" xr:uid="{8149EEA1-6819-454D-8AF1-D83A7991F70A}"/>
    <cellStyle name="Style 71 3" xfId="1236" xr:uid="{DB14E8A1-A2F0-4C28-B368-CCA6D5C80D5E}"/>
    <cellStyle name="Style 71 4" xfId="1237" xr:uid="{D3ED390F-CD3A-4ACE-A9C5-C4E280EC70D6}"/>
    <cellStyle name="Style 71 4 2" xfId="1238" xr:uid="{E50527B0-11EA-4F5D-B7F4-192FC92641D4}"/>
    <cellStyle name="Style 72" xfId="1239" xr:uid="{023B8239-4C43-4F62-A37C-7C27AC7616BD}"/>
    <cellStyle name="Style 72 2" xfId="1240" xr:uid="{D8FB4570-CD7A-41E2-AC1A-B29328DF7B58}"/>
    <cellStyle name="Style 72 3" xfId="1241" xr:uid="{99E53BF1-F85C-44A4-8709-94AA854E907F}"/>
    <cellStyle name="Style 72 4" xfId="1242" xr:uid="{4ED95BF0-9960-4BA1-9ACA-116C993451C5}"/>
    <cellStyle name="Style 72 4 2" xfId="1243" xr:uid="{6D4ACE77-3549-4E8D-A43D-A3D950EB66CA}"/>
    <cellStyle name="Style 73" xfId="1244" xr:uid="{BA0F2E5F-CEE0-4C02-BD2C-1C96727D3C81}"/>
    <cellStyle name="Style 73 2" xfId="1245" xr:uid="{7C5E9595-4DE3-4A35-8B44-732F327DAAC6}"/>
    <cellStyle name="Style 73 3" xfId="1246" xr:uid="{E8AD2F88-4E4F-4411-8C1F-10EA285D2B30}"/>
    <cellStyle name="Style 73 3 2" xfId="1247" xr:uid="{D6A581C7-2829-4117-ADC6-DE7229EC366C}"/>
    <cellStyle name="Style 73 4" xfId="1248" xr:uid="{8CEAC2C0-16EA-490E-8CE0-DBCF74854ED3}"/>
    <cellStyle name="Style 73 5" xfId="1249" xr:uid="{9CFD2DDF-3377-4119-9ED1-610C04AAAC3F}"/>
    <cellStyle name="Style 73 5 2" xfId="1250" xr:uid="{9EB73FFE-25C1-42C4-A7CA-976E79465A0C}"/>
    <cellStyle name="Style 74" xfId="1251" xr:uid="{1220FAA4-F9C5-4FBA-80F4-721F505CBD40}"/>
    <cellStyle name="Style 74 2" xfId="1252" xr:uid="{31199DF5-0CCA-4A85-AA86-14677B88276A}"/>
    <cellStyle name="Style 74 3" xfId="1253" xr:uid="{48748B64-FD52-4318-B6AF-113E71860058}"/>
    <cellStyle name="Style 74 4" xfId="1254" xr:uid="{DB19AADF-FE57-4D55-8224-93694F2BB986}"/>
    <cellStyle name="Style 74 4 2" xfId="1255" xr:uid="{6338B506-EB48-4B3F-8112-D58CC1596FEC}"/>
    <cellStyle name="Style 75" xfId="1256" xr:uid="{05C51E43-E5B8-423A-A47F-54D96E50E749}"/>
    <cellStyle name="Style 75 2" xfId="1257" xr:uid="{DFCE53CF-AC3F-45FC-8ED9-C6AA7037AD39}"/>
    <cellStyle name="Style 75 3" xfId="1258" xr:uid="{7CB42545-3B15-4C0B-886F-F58D930D942D}"/>
    <cellStyle name="Style 75 4" xfId="1259" xr:uid="{731342FF-1578-43E2-9E4B-82EA1B4BA816}"/>
    <cellStyle name="Style 75 4 2" xfId="1260" xr:uid="{00919D66-8060-4992-9903-B7F868F78D52}"/>
    <cellStyle name="Style 80" xfId="1261" xr:uid="{032AB70D-537F-4D8D-B0B5-5E35D05D6FF9}"/>
    <cellStyle name="Style 80 2" xfId="1262" xr:uid="{42376216-12CB-4AC3-9EC8-FC6385FC12F0}"/>
    <cellStyle name="Style 80 3" xfId="1263" xr:uid="{AE93EDD9-40A4-4F99-A298-2F92C5C8C750}"/>
    <cellStyle name="Style 80 3 2" xfId="1264" xr:uid="{BA50B778-FBA2-4378-BCD2-205281DF302C}"/>
    <cellStyle name="Style 80 4" xfId="1265" xr:uid="{76225976-C3B2-4A2B-97A4-911CD7E73B1E}"/>
    <cellStyle name="Style 80 5" xfId="1266" xr:uid="{91160857-B9D0-43E0-A5B9-966A3D6C4EFD}"/>
    <cellStyle name="Style 80 5 2" xfId="1267" xr:uid="{73FD461B-3666-4D1F-9F08-BA9B221CD38B}"/>
    <cellStyle name="Style 81" xfId="1268" xr:uid="{B156ACE6-8C03-42B9-A9FC-281F8F2ED8F4}"/>
    <cellStyle name="Style 81 2" xfId="1269" xr:uid="{735F778F-4B99-4B3D-9ED1-23401604B908}"/>
    <cellStyle name="Style 81 3" xfId="1270" xr:uid="{68AAAA98-1386-4834-8F52-7DDF4694D15A}"/>
    <cellStyle name="Style 81 3 2" xfId="1271" xr:uid="{1CE9F5D5-AB2F-4C55-BA25-E8DE40EBD98E}"/>
    <cellStyle name="Style 81 4" xfId="1272" xr:uid="{4B8BD6C2-A023-4EBB-BBF0-06138FFCC592}"/>
    <cellStyle name="Style 81 5" xfId="1273" xr:uid="{17749705-05B6-42E7-9680-E0136CB7196C}"/>
    <cellStyle name="Style 81 5 2" xfId="1274" xr:uid="{3DD11B4A-A1BE-492C-A36C-2ED1B1586754}"/>
    <cellStyle name="Style 82" xfId="1275" xr:uid="{12FA8EFB-2AD6-4DFD-8C79-D8690D086569}"/>
    <cellStyle name="Style 82 2" xfId="1276" xr:uid="{E1389E5C-D587-42D6-8281-D1F57F256C6B}"/>
    <cellStyle name="Style 82 3" xfId="1277" xr:uid="{134BB361-3313-4532-BA51-0B82942403BC}"/>
    <cellStyle name="Style 82 4" xfId="1278" xr:uid="{E0AE23D4-BE7D-4A4B-BAF5-3A1E1ECBF018}"/>
    <cellStyle name="Style 82 4 2" xfId="1279" xr:uid="{1669ADED-4C84-47F1-AF8D-4E68997991F6}"/>
    <cellStyle name="Style 83" xfId="1280" xr:uid="{00028551-9012-4865-8477-5AD332A7F668}"/>
    <cellStyle name="Style 83 2" xfId="1281" xr:uid="{B653A9E6-5731-4DD4-9641-90545BE954D2}"/>
    <cellStyle name="Style 83 3" xfId="1282" xr:uid="{B22B5D1D-32B0-43A5-A4C8-A56F2B88D969}"/>
    <cellStyle name="Style 83 4" xfId="1283" xr:uid="{69B395CC-DC45-400B-84F1-1D43F6A0B9D3}"/>
    <cellStyle name="Style 83 4 2" xfId="1284" xr:uid="{71582072-F7B2-4EDC-B144-5EA0D1B9B925}"/>
    <cellStyle name="Style 84" xfId="1285" xr:uid="{77CF297D-F139-45A9-8040-1A57451A9E1C}"/>
    <cellStyle name="Style 84 2" xfId="1286" xr:uid="{7128E647-CD1E-4C68-B908-B02A8E41B5C2}"/>
    <cellStyle name="Style 84 3" xfId="1287" xr:uid="{E39323CD-F205-4AE6-8A56-DCF768558C16}"/>
    <cellStyle name="Style 84 4" xfId="1288" xr:uid="{FB048332-D27E-4720-95D8-798A05E8A650}"/>
    <cellStyle name="Style 84 4 2" xfId="1289" xr:uid="{79817622-C26F-4004-AE06-68A1622C3B7D}"/>
    <cellStyle name="Style 85" xfId="1290" xr:uid="{7E4E6A40-AD92-42A6-BDFF-1D7F1D52FE5D}"/>
    <cellStyle name="Style 85 2" xfId="1291" xr:uid="{9AFC211D-8CB4-41AE-885C-EF22B00DE3B1}"/>
    <cellStyle name="Style 85 3" xfId="1292" xr:uid="{7C0C156B-0358-403C-8E5D-419F518083AB}"/>
    <cellStyle name="Style 85 3 2" xfId="1293" xr:uid="{E409453E-F861-4036-B8D9-8E60BE35A100}"/>
    <cellStyle name="Style 85 4" xfId="1294" xr:uid="{427D79E9-BC84-4260-9B5C-34961F810886}"/>
    <cellStyle name="Style 85 5" xfId="1295" xr:uid="{F9795660-20F3-4BAE-863A-D26CEA83AE98}"/>
    <cellStyle name="Style 85 5 2" xfId="1296" xr:uid="{BF597282-9382-4BF0-BD89-9A609083B7EA}"/>
    <cellStyle name="Style 86" xfId="1297" xr:uid="{C18E68ED-D2DB-4DFE-A0FF-8E8610E94AE1}"/>
    <cellStyle name="Style 86 2" xfId="1298" xr:uid="{775E4739-C86B-4F6E-BACF-8CFB372B99FB}"/>
    <cellStyle name="Style 86 3" xfId="1299" xr:uid="{C525CD0B-2341-4ECB-9C8D-FEEF3D242A14}"/>
    <cellStyle name="Style 86 4" xfId="1300" xr:uid="{FC750D2F-24FB-4056-9C13-3394450EAA3B}"/>
    <cellStyle name="Style 86 4 2" xfId="1301" xr:uid="{E30A849C-200D-4757-BC28-340ED4CD2F3D}"/>
    <cellStyle name="Style 87" xfId="1302" xr:uid="{9A6CBED6-D1CF-499A-AEBE-84587B2B694A}"/>
    <cellStyle name="Style 87 2" xfId="1303" xr:uid="{1E7404FD-6E0C-4F80-9806-0B4274166FA6}"/>
    <cellStyle name="Style 87 3" xfId="1304" xr:uid="{D37CB599-C1CE-442A-BED2-B4AC73C3D699}"/>
    <cellStyle name="Style 87 4" xfId="1305" xr:uid="{80827AF5-4644-4DBA-8CD8-102486B6C0D9}"/>
    <cellStyle name="Style 87 4 2" xfId="1306" xr:uid="{B9D7B223-28A0-442C-A8BF-4BF715DECF82}"/>
    <cellStyle name="Style 93" xfId="1307" xr:uid="{3BC08207-1CB0-4643-B591-B0715FA8EBEC}"/>
    <cellStyle name="Style 93 2" xfId="1308" xr:uid="{7E48B3EC-8ED1-40AA-9CC3-2518742268CA}"/>
    <cellStyle name="Style 93 3" xfId="1309" xr:uid="{C5A145B7-EA64-4F14-88B8-3B7EBCDFB46D}"/>
    <cellStyle name="Style 93 3 2" xfId="1310" xr:uid="{5FC37AEB-D9DA-45AB-8044-FCD825B19762}"/>
    <cellStyle name="Style 93 4" xfId="1311" xr:uid="{4799DCDF-03B0-4F77-A829-5745BBA05C5B}"/>
    <cellStyle name="Style 93 5" xfId="1312" xr:uid="{414ACE12-BC0E-463D-AEAB-9FF105092443}"/>
    <cellStyle name="Style 93 5 2" xfId="1313" xr:uid="{2D476F45-6E2A-4877-98C2-7DCF840AB3D5}"/>
    <cellStyle name="Style 94" xfId="1314" xr:uid="{62136CFE-AF3D-4D8D-91E0-19758FC69F26}"/>
    <cellStyle name="Style 94 2" xfId="1315" xr:uid="{6961E05C-D20E-47FF-A36D-86D923C265FB}"/>
    <cellStyle name="Style 94 3" xfId="1316" xr:uid="{2EF03EAC-9FE6-47BB-B476-6B4A6F9F7130}"/>
    <cellStyle name="Style 94 4" xfId="1317" xr:uid="{B69FE5E6-0E3A-4859-B803-459FC6377C5E}"/>
    <cellStyle name="Style 94 4 2" xfId="1318" xr:uid="{22F98D29-5F78-4310-B52F-0A9BD1C20AB6}"/>
    <cellStyle name="Style 95" xfId="1319" xr:uid="{CBDD48E2-50B1-4CE5-B55D-B740EFF3C334}"/>
    <cellStyle name="Style 95 2" xfId="1320" xr:uid="{15469F2C-C33A-413C-A6D8-370CDBCD9376}"/>
    <cellStyle name="Style 95 3" xfId="1321" xr:uid="{DFDDEC40-A54E-4212-B866-882A16617FD3}"/>
    <cellStyle name="Style 95 4" xfId="1322" xr:uid="{A7DA8E36-B832-4639-B391-F675E6C8D77F}"/>
    <cellStyle name="Style 95 4 2" xfId="1323" xr:uid="{DFCBB5B8-B822-4AE6-8AAB-C360EA918693}"/>
    <cellStyle name="Style 96" xfId="1324" xr:uid="{E719203E-6BCA-4754-A1F1-33ACF347A75C}"/>
    <cellStyle name="Style 96 2" xfId="1325" xr:uid="{78D7734F-7BE9-4822-852A-7CFA93085CC2}"/>
    <cellStyle name="Style 96 3" xfId="1326" xr:uid="{3AE4D456-11AD-4D76-8D20-5D7477CCB33E}"/>
    <cellStyle name="Style 96 4" xfId="1327" xr:uid="{044E9267-3939-43C1-99F9-75F221991945}"/>
    <cellStyle name="Style 96 4 2" xfId="1328" xr:uid="{B064A930-BAEA-4BF5-BB5E-CA94C2AF3B5D}"/>
    <cellStyle name="Style 97" xfId="1329" xr:uid="{1391069F-37A0-49F8-AD16-67B7FA925A8E}"/>
    <cellStyle name="Style 97 2" xfId="1330" xr:uid="{79DB2F16-A4F3-4413-BB86-E25141DD7827}"/>
    <cellStyle name="Style 97 3" xfId="1331" xr:uid="{339D1400-0612-4581-B9E5-47E367E49B2C}"/>
    <cellStyle name="Style 97 3 2" xfId="1332" xr:uid="{7031E6A3-EC0E-428F-928C-7FBE0543853A}"/>
    <cellStyle name="Style 97 4" xfId="1333" xr:uid="{FA8DA843-F55C-481E-94F5-F9667DEC8231}"/>
    <cellStyle name="Style 97 5" xfId="1334" xr:uid="{A4506241-7E64-4211-91F3-EBE0C969E05F}"/>
    <cellStyle name="Style 97 5 2" xfId="1335" xr:uid="{05D8F7AA-9936-42BC-884F-36A16D595BF3}"/>
    <cellStyle name="Style 98" xfId="1336" xr:uid="{B1E93268-12E9-4D36-8F65-1DAF93C02A39}"/>
    <cellStyle name="Style 98 2" xfId="1337" xr:uid="{42635221-50AA-4984-BE06-2109F9461901}"/>
    <cellStyle name="Style 98 3" xfId="1338" xr:uid="{8B199F1B-61BA-44A6-B018-713A09B27C95}"/>
    <cellStyle name="Style 98 4" xfId="1339" xr:uid="{66BE28BA-6AF9-4DAF-8EAB-2565E007C881}"/>
    <cellStyle name="Style 98 4 2" xfId="1340" xr:uid="{E351BAE2-B6C5-454C-9AF4-DB1F27C94E8C}"/>
    <cellStyle name="Style 99" xfId="1341" xr:uid="{3C292554-2F9B-4B29-8E75-364ECE1CEC88}"/>
    <cellStyle name="Style 99 2" xfId="1342" xr:uid="{EE58D462-DCA5-4FF0-9279-AA0E1ACA83E3}"/>
    <cellStyle name="Style 99 3" xfId="1343" xr:uid="{4210C983-8D1B-4AAE-9F6E-EE27B8E9E605}"/>
    <cellStyle name="Style 99 4" xfId="1344" xr:uid="{BCBB63AD-5C78-489D-BB6E-F8232CEED9B5}"/>
    <cellStyle name="Style 99 4 2" xfId="1345" xr:uid="{720A1FD6-B759-402C-86F9-13FF4034FAE8}"/>
    <cellStyle name="Title 2" xfId="1346" xr:uid="{3D4D7B99-5E81-4509-859F-0A414181A9C4}"/>
    <cellStyle name="Title 2 10" xfId="1347" xr:uid="{2541060A-9442-4F1F-BB99-ECC0486E0F20}"/>
    <cellStyle name="Title 2 11" xfId="1348" xr:uid="{CD421BB3-92B7-4F22-9213-9F56BB39A23F}"/>
    <cellStyle name="Title 2 12" xfId="1349" xr:uid="{DD84AFC5-4BCC-4A99-A7ED-7712AEAE3302}"/>
    <cellStyle name="Title 2 13" xfId="1350" xr:uid="{FE984681-3A5C-4AAF-AD09-AA920E3928A2}"/>
    <cellStyle name="Title 2 14" xfId="1351" xr:uid="{D8D192AF-FBBF-490B-9B50-F4CA5CDEE318}"/>
    <cellStyle name="Title 2 15" xfId="1352" xr:uid="{5E703A83-8D1C-4068-BB14-4C1B11D8AC93}"/>
    <cellStyle name="Title 2 2" xfId="1353" xr:uid="{0367432B-EC9F-4740-A015-6DE63D314BE0}"/>
    <cellStyle name="Title 2 3" xfId="1354" xr:uid="{45D05657-117C-48D4-8446-9922ECEC965E}"/>
    <cellStyle name="Title 2 4" xfId="1355" xr:uid="{5B6AE09F-198E-4250-A17B-F36860332306}"/>
    <cellStyle name="Title 2 5" xfId="1356" xr:uid="{35D281E3-7202-422B-86F1-27EA6A182EC0}"/>
    <cellStyle name="Title 2 6" xfId="1357" xr:uid="{98EF6704-FFD7-485B-9CAA-991ABB86F0A7}"/>
    <cellStyle name="Title 2 7" xfId="1358" xr:uid="{CF41DB68-54C2-467D-9C25-668F9C225921}"/>
    <cellStyle name="Title 2 8" xfId="1359" xr:uid="{A90BF20B-527C-469E-880F-3D3D47B62F6F}"/>
    <cellStyle name="Title 2 9" xfId="1360" xr:uid="{F0FC8A79-0BE0-4D47-BA9C-43182009FEE2}"/>
    <cellStyle name="Total 2" xfId="1361" xr:uid="{7577EFD9-9DB8-487F-BE02-DA14C3876892}"/>
    <cellStyle name="Total 2 10" xfId="1362" xr:uid="{E4486D67-F363-4DA2-A13E-65274F2CC315}"/>
    <cellStyle name="Total 2 10 2" xfId="1498" xr:uid="{0DF6A3EA-71DC-4BE9-8A05-C59ADB1939C9}"/>
    <cellStyle name="Total 2 11" xfId="1363" xr:uid="{33FF538A-C118-49A4-B208-AD83178A3B76}"/>
    <cellStyle name="Total 2 11 2" xfId="1499" xr:uid="{FC099715-4587-42DD-AAAC-378EA21AF9F4}"/>
    <cellStyle name="Total 2 12" xfId="1364" xr:uid="{40FED893-DB49-493E-B4D4-C417BC56AC2D}"/>
    <cellStyle name="Total 2 12 2" xfId="1500" xr:uid="{BB462940-DFFA-4998-860A-683635A5604C}"/>
    <cellStyle name="Total 2 13" xfId="1365" xr:uid="{0180724D-520B-4C1A-AD35-67259879FBD1}"/>
    <cellStyle name="Total 2 13 2" xfId="1501" xr:uid="{AE9905A2-9C6A-4993-9FA9-047FAB63F7CF}"/>
    <cellStyle name="Total 2 14" xfId="1366" xr:uid="{B4A2CCC2-D753-4BFC-825A-77C71AB0BF12}"/>
    <cellStyle name="Total 2 14 2" xfId="1502" xr:uid="{AA8F0970-11E1-44BA-B8F5-2D67DCDEED74}"/>
    <cellStyle name="Total 2 15" xfId="1367" xr:uid="{309D1732-711A-432D-A15E-308285E78698}"/>
    <cellStyle name="Total 2 15 2" xfId="1503" xr:uid="{B8D2A95E-1CDC-48B8-A964-E8264983D873}"/>
    <cellStyle name="Total 2 16" xfId="1497" xr:uid="{2E38AF18-E586-4D3F-8AAB-D602EA7B1282}"/>
    <cellStyle name="Total 2 2" xfId="1368" xr:uid="{B61B4940-3D0F-4135-9A27-398BBB234E49}"/>
    <cellStyle name="Total 2 2 2" xfId="1504" xr:uid="{DFA29C07-2874-43D2-8BDF-4B7FF6C56E6F}"/>
    <cellStyle name="Total 2 3" xfId="1369" xr:uid="{C4B82A50-2633-40CC-BE25-C9F4CD984B2F}"/>
    <cellStyle name="Total 2 3 2" xfId="1505" xr:uid="{9609EF43-9203-41EB-BBC5-064BFF278A3B}"/>
    <cellStyle name="Total 2 4" xfId="1370" xr:uid="{1734E788-806D-4F1E-AD83-82B0FA1580BC}"/>
    <cellStyle name="Total 2 4 2" xfId="1506" xr:uid="{FB24E993-D6DD-49A3-9C5D-28812CD736DC}"/>
    <cellStyle name="Total 2 5" xfId="1371" xr:uid="{EB84050E-9CF7-4179-8C0F-A438197A7FE0}"/>
    <cellStyle name="Total 2 5 2" xfId="1507" xr:uid="{4609C156-8233-4DF7-832C-C14456193BAC}"/>
    <cellStyle name="Total 2 6" xfId="1372" xr:uid="{E1F89F5D-AD42-4D0E-98EA-BBEDDD60B419}"/>
    <cellStyle name="Total 2 6 2" xfId="1508" xr:uid="{A1BDB5A0-8CB2-4719-8E55-D88458468AB3}"/>
    <cellStyle name="Total 2 7" xfId="1373" xr:uid="{FB5D6928-20C4-424A-9186-8958DB78389B}"/>
    <cellStyle name="Total 2 7 2" xfId="1509" xr:uid="{3E8E39ED-A89B-46E6-8F1D-BDDB9337DCB5}"/>
    <cellStyle name="Total 2 8" xfId="1374" xr:uid="{0C2D81C2-34BE-48A4-B3C1-B5C7A24C5C52}"/>
    <cellStyle name="Total 2 8 2" xfId="1510" xr:uid="{8F72ACCC-6742-459B-AF7D-3812CC7ADAE1}"/>
    <cellStyle name="Total 2 9" xfId="1375" xr:uid="{4CF4C21A-E5CE-4034-A722-89E7C5D7C273}"/>
    <cellStyle name="Total 2 9 2" xfId="1511" xr:uid="{BC4D03A5-1BDB-4D94-A5F1-7EBE46D19519}"/>
    <cellStyle name="Überschrift" xfId="1376" xr:uid="{7C05FCCE-548A-486C-BF28-0166C931FD1A}"/>
    <cellStyle name="Überschrift 1" xfId="1377" xr:uid="{8C007F0D-038D-4F26-B4D9-174D49110DC1}"/>
    <cellStyle name="Überschrift 2" xfId="1378" xr:uid="{975BA3AD-DAD3-4851-A64E-D8D896EED0C9}"/>
    <cellStyle name="Überschrift 3" xfId="1379" xr:uid="{F9ABA9A2-6943-4FB6-BEE6-E5A2400CD2C7}"/>
    <cellStyle name="Überschrift 4" xfId="1380" xr:uid="{709C91DD-545A-4832-B924-99D087CA5E32}"/>
    <cellStyle name="Valuutta_Layo9704" xfId="1381" xr:uid="{F6982F36-D198-492A-85F8-91A2A5129E3E}"/>
    <cellStyle name="Verknüpfte Zelle" xfId="1382" xr:uid="{09A3C64F-6251-40C1-8329-D827D1EEB1B9}"/>
    <cellStyle name="Warnender Text" xfId="1383" xr:uid="{EB3AD4D4-9469-4AD0-9FDC-670A6C504384}"/>
    <cellStyle name="Warning Text 2" xfId="1384" xr:uid="{3AA4E790-0EC5-4EF8-83CA-5119B1BB8611}"/>
    <cellStyle name="Warning Text 2 10" xfId="1385" xr:uid="{6C8FF0C5-93C7-4B3E-BC92-8D2A4B86A3AE}"/>
    <cellStyle name="Warning Text 2 11" xfId="1386" xr:uid="{1CEC5922-88B5-4CB1-9E41-EA7A90EA2399}"/>
    <cellStyle name="Warning Text 2 12" xfId="1387" xr:uid="{7247996A-36E7-42B2-90D2-99C6EAFDCCC4}"/>
    <cellStyle name="Warning Text 2 13" xfId="1388" xr:uid="{D8EF5110-20BE-40EE-815B-85F3C914EC2D}"/>
    <cellStyle name="Warning Text 2 14" xfId="1389" xr:uid="{857904A9-A2CD-45B4-940E-B314D22F5C15}"/>
    <cellStyle name="Warning Text 2 15" xfId="1390" xr:uid="{CB8DE59D-9C7D-4E53-AE88-CCE4D8547700}"/>
    <cellStyle name="Warning Text 2 2" xfId="1391" xr:uid="{43561B25-C7B3-4206-AEDB-DB0CB8E4223A}"/>
    <cellStyle name="Warning Text 2 3" xfId="1392" xr:uid="{08BDC85F-F70D-4BFA-80BE-E651D74349E3}"/>
    <cellStyle name="Warning Text 2 4" xfId="1393" xr:uid="{859F284A-4FE9-40D3-BD89-A0C4A64198BE}"/>
    <cellStyle name="Warning Text 2 5" xfId="1394" xr:uid="{9D8D258E-8033-4554-87D4-BE56CD079103}"/>
    <cellStyle name="Warning Text 2 6" xfId="1395" xr:uid="{FA9BC4C7-AD71-4C69-98C0-33D965118652}"/>
    <cellStyle name="Warning Text 2 7" xfId="1396" xr:uid="{656EB3DD-F9A8-4155-BE1B-CCF9BACF8E62}"/>
    <cellStyle name="Warning Text 2 8" xfId="1397" xr:uid="{048E44BD-BB2C-4AB9-A224-DDF4D2CB37B2}"/>
    <cellStyle name="Warning Text 2 9" xfId="1398" xr:uid="{642EAC77-5BEA-470D-BE77-DF725E13E194}"/>
    <cellStyle name="Zelle überprüfen" xfId="1399" xr:uid="{89C2EB1D-F83A-4270-9A39-FA881426C6B4}"/>
    <cellStyle name="Κανονικό 3" xfId="1400" xr:uid="{0A8A9B77-C956-4BAA-AACD-1B18F0E7FBCF}"/>
    <cellStyle name="Κανονικό 3 2" xfId="1401" xr:uid="{BE160117-36D3-44CF-8911-72A52BD0DB35}"/>
    <cellStyle name="Ουδέτερο 2 2" xfId="1402" xr:uid="{D0F97182-62AF-4E7C-9260-A2DE3C278719}"/>
    <cellStyle name="Ουδέτερο 2 3" xfId="1403" xr:uid="{9C824176-26E2-44BA-9642-5743BAF6AE30}"/>
    <cellStyle name="Ουδέτερο 2 4" xfId="1404" xr:uid="{B7A74283-59F7-4659-A99D-BDC6B66184AA}"/>
    <cellStyle name="Ουδέτερο 2 5" xfId="1405" xr:uid="{77BACEA9-605E-4CB5-85A5-4E9D50FDCF98}"/>
    <cellStyle name="Ουδέτερο 3 10" xfId="1406" xr:uid="{7551F6C2-C08E-4EFF-BBFB-6D54003914AE}"/>
    <cellStyle name="Ουδέτερο 3 11" xfId="1407" xr:uid="{971C1EA5-60E5-4EC4-BD3C-24AD36D3D3D0}"/>
    <cellStyle name="Ουδέτερο 3 2" xfId="1408" xr:uid="{39BD7ECD-6B1D-4F4B-829D-C63CBDF9A01E}"/>
    <cellStyle name="Ουδέτερο 3 3" xfId="1409" xr:uid="{D42DEF59-EB72-4951-A950-01A20F812539}"/>
    <cellStyle name="Ουδέτερο 3 4" xfId="1410" xr:uid="{FDDEFE4D-8679-49E2-A05C-DBD23FFA2454}"/>
    <cellStyle name="Ουδέτερο 3 5" xfId="1411" xr:uid="{AA236924-4449-40F2-A587-E6733E710B23}"/>
    <cellStyle name="Ουδέτερο 3 6" xfId="1412" xr:uid="{923B3E28-8BC0-4D79-96FC-7DCEFCF2E10F}"/>
    <cellStyle name="Ουδέτερο 3 7" xfId="1413" xr:uid="{85F234A3-867C-4AE4-8663-AA7C03E238AD}"/>
    <cellStyle name="Ουδέτερο 3 8" xfId="1414" xr:uid="{DBD999A1-5528-44BA-9BDC-5E4386AA552D}"/>
    <cellStyle name="Ουδέτερο 3 9" xfId="1415" xr:uid="{E281266E-A07C-4FB5-B153-9454C57518A5}"/>
    <cellStyle name="Ουδέτερο 4 10" xfId="1416" xr:uid="{23EA2343-FDA3-454A-99F8-18CB56313DD4}"/>
    <cellStyle name="Ουδέτερο 4 11" xfId="1417" xr:uid="{932A2CAD-2C39-4B80-BC72-1D557DD63805}"/>
    <cellStyle name="Ουδέτερο 4 2" xfId="1418" xr:uid="{F54A4117-F111-4EE4-9D82-1C8A3DC27623}"/>
    <cellStyle name="Ουδέτερο 4 3" xfId="1419" xr:uid="{1C52AA61-2D9B-4257-9CB6-F22EB52AA8C0}"/>
    <cellStyle name="Ουδέτερο 4 4" xfId="1420" xr:uid="{F4A3045E-F2D7-4451-98A1-07B265E5E7EA}"/>
    <cellStyle name="Ουδέτερο 4 5" xfId="1421" xr:uid="{532D8EC0-F6AF-4057-B686-044DC84E3C4B}"/>
    <cellStyle name="Ουδέτερο 4 6" xfId="1422" xr:uid="{8C6958F4-2C4D-45DD-B5D9-938DAEFB0805}"/>
    <cellStyle name="Ουδέτερο 4 7" xfId="1423" xr:uid="{F5E155FF-10C7-4D46-90BC-9275F4DC2D9B}"/>
    <cellStyle name="Ουδέτερο 4 8" xfId="1424" xr:uid="{06D1292C-B85F-47F7-83F2-24141C755E80}"/>
    <cellStyle name="Ουδέτερο 4 9" xfId="1425" xr:uid="{71C1FB4D-F235-4D32-AA80-D4D7B86316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ParisReinforse-H2020/WP6/MODELS/TIMES-CAC-2020/TIMES-CAC/SubRES_TMPL/SubRES_Industry_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stcurves"/>
      <sheetName val="Commodities"/>
      <sheetName val="IND_IST"/>
      <sheetName val="IND_NFM"/>
      <sheetName val="IND_NMM"/>
      <sheetName val="IND_FBT"/>
      <sheetName val="IND_TEQ"/>
      <sheetName val="IND_MCH"/>
      <sheetName val="IND_TXL"/>
      <sheetName val="IND_WWP"/>
      <sheetName val="IND_PPP"/>
      <sheetName val="IND_PCH"/>
      <sheetName val="IND_MIQ"/>
      <sheetName val="IND_CON"/>
      <sheetName val="IND_OTH"/>
      <sheetName val="IND_NED"/>
      <sheetName val="General"/>
      <sheetName val="Attributes_List"/>
    </sheetNames>
    <sheetDataSet>
      <sheetData sheetId="0"/>
      <sheetData sheetId="1">
        <row r="1">
          <cell r="J1"/>
        </row>
      </sheetData>
      <sheetData sheetId="2">
        <row r="21">
          <cell r="AD21" t="str">
            <v>INDFER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F1" t="str">
            <v>2016</v>
          </cell>
        </row>
        <row r="2">
          <cell r="F2">
            <v>2050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18B7-5E2B-466E-BCD2-2A2BAE1F8BD2}">
  <dimension ref="A2:AR212"/>
  <sheetViews>
    <sheetView tabSelected="1" zoomScale="60" zoomScaleNormal="60" workbookViewId="0">
      <selection activeCell="A18" sqref="A1:XFD1048576"/>
    </sheetView>
  </sheetViews>
  <sheetFormatPr defaultColWidth="9.109375" defaultRowHeight="13.2" x14ac:dyDescent="0.25"/>
  <cols>
    <col min="1" max="1" width="9.109375" style="353"/>
    <col min="2" max="2" width="31.6640625" style="353" customWidth="1"/>
    <col min="3" max="3" width="48.33203125" style="353" customWidth="1"/>
    <col min="4" max="4" width="16.88671875" style="353" bestFit="1" customWidth="1"/>
    <col min="5" max="5" width="18.88671875" style="353" bestFit="1" customWidth="1"/>
    <col min="6" max="6" width="25.109375" style="353" bestFit="1" customWidth="1"/>
    <col min="7" max="7" width="12.109375" style="353" bestFit="1" customWidth="1"/>
    <col min="8" max="11" width="20.5546875" style="353" customWidth="1"/>
    <col min="12" max="12" width="17.6640625" style="353" customWidth="1"/>
    <col min="13" max="13" width="19.44140625" style="353" bestFit="1" customWidth="1"/>
    <col min="14" max="15" width="19.88671875" style="353" customWidth="1"/>
    <col min="16" max="16" width="25" style="353" customWidth="1"/>
    <col min="17" max="17" width="27.88671875" style="353" bestFit="1" customWidth="1"/>
    <col min="18" max="18" width="14.109375" style="353" customWidth="1"/>
    <col min="19" max="19" width="27.5546875" style="353" customWidth="1"/>
    <col min="20" max="21" width="9.109375" style="353"/>
    <col min="22" max="22" width="15.109375" style="353" customWidth="1"/>
    <col min="23" max="23" width="13.88671875" style="353" bestFit="1" customWidth="1"/>
    <col min="24" max="24" width="40.44140625" style="353" customWidth="1"/>
    <col min="25" max="25" width="65.5546875" style="353" bestFit="1" customWidth="1"/>
    <col min="26" max="27" width="13.44140625" style="353" bestFit="1" customWidth="1"/>
    <col min="28" max="28" width="33.44140625" style="353" bestFit="1" customWidth="1"/>
    <col min="29" max="29" width="26.44140625" style="353" bestFit="1" customWidth="1"/>
    <col min="30" max="30" width="16.6640625" style="353" bestFit="1" customWidth="1"/>
    <col min="31" max="31" width="9.109375" style="353"/>
    <col min="32" max="32" width="40.109375" style="353" bestFit="1" customWidth="1"/>
    <col min="33" max="33" width="39.88671875" style="353" bestFit="1" customWidth="1"/>
    <col min="34" max="34" width="28.109375" style="353" bestFit="1" customWidth="1"/>
    <col min="35" max="35" width="17.109375" style="353" bestFit="1" customWidth="1"/>
    <col min="36" max="36" width="27.6640625" style="353" bestFit="1" customWidth="1"/>
    <col min="37" max="37" width="5.88671875" style="353" bestFit="1" customWidth="1"/>
    <col min="38" max="38" width="24.5546875" style="353" bestFit="1" customWidth="1"/>
    <col min="39" max="39" width="22.88671875" style="353" bestFit="1" customWidth="1"/>
    <col min="40" max="40" width="15.88671875" style="353" bestFit="1" customWidth="1"/>
    <col min="41" max="41" width="17.44140625" style="353" bestFit="1" customWidth="1"/>
    <col min="42" max="42" width="9.109375" style="353"/>
    <col min="43" max="43" width="22" style="353" bestFit="1" customWidth="1"/>
    <col min="44" max="16384" width="9.109375" style="353"/>
  </cols>
  <sheetData>
    <row r="2" spans="1:44" s="93" customFormat="1" ht="17.399999999999999" x14ac:dyDescent="0.3">
      <c r="A2" s="347"/>
      <c r="B2" s="347" t="s">
        <v>324</v>
      </c>
      <c r="C2" s="347"/>
      <c r="D2" s="347"/>
      <c r="E2" s="347"/>
      <c r="V2" s="177" t="s">
        <v>225</v>
      </c>
      <c r="W2" s="177"/>
      <c r="Z2" s="93" t="s">
        <v>325</v>
      </c>
    </row>
    <row r="3" spans="1:44" s="93" customFormat="1" ht="17.399999999999999" x14ac:dyDescent="0.3">
      <c r="B3" s="347" t="s">
        <v>326</v>
      </c>
    </row>
    <row r="4" spans="1:44" s="93" customFormat="1" ht="13.8" x14ac:dyDescent="0.25">
      <c r="B4" s="348"/>
      <c r="D4" s="349"/>
      <c r="E4" s="349"/>
      <c r="F4" s="349"/>
      <c r="G4" s="349"/>
      <c r="L4" s="350"/>
      <c r="M4" s="350"/>
      <c r="N4" s="350"/>
      <c r="O4" s="350"/>
      <c r="P4" s="351"/>
      <c r="V4" s="352" t="s">
        <v>226</v>
      </c>
      <c r="W4" s="352"/>
      <c r="X4" s="352" t="s">
        <v>232</v>
      </c>
      <c r="Y4" s="352"/>
      <c r="Z4" s="352"/>
      <c r="AA4" s="352"/>
      <c r="AB4" s="352"/>
      <c r="AC4" s="352"/>
      <c r="AD4" s="352"/>
      <c r="AR4" s="353"/>
    </row>
    <row r="5" spans="1:44" s="93" customFormat="1" ht="13.8" x14ac:dyDescent="0.25">
      <c r="V5" s="354" t="s">
        <v>17</v>
      </c>
      <c r="W5" s="354"/>
      <c r="X5" s="352"/>
      <c r="Y5" s="352"/>
      <c r="Z5" s="352"/>
      <c r="AA5" s="352"/>
      <c r="AB5" s="352"/>
      <c r="AC5" s="352"/>
      <c r="AD5" s="352"/>
      <c r="AH5" s="75" t="s">
        <v>308</v>
      </c>
      <c r="AI5" s="76"/>
      <c r="AJ5" s="76"/>
      <c r="AK5" s="77"/>
      <c r="AL5" s="77"/>
      <c r="AM5" s="76"/>
      <c r="AN5" s="76"/>
      <c r="AO5" s="76"/>
      <c r="AP5" s="353"/>
      <c r="AR5" s="355"/>
    </row>
    <row r="6" spans="1:44" s="93" customFormat="1" ht="13.8" x14ac:dyDescent="0.25">
      <c r="E6" s="197"/>
      <c r="F6" s="355" t="s">
        <v>0</v>
      </c>
      <c r="G6" s="355"/>
      <c r="H6" s="198"/>
      <c r="I6" s="198"/>
      <c r="J6" s="198"/>
      <c r="K6" s="199"/>
      <c r="L6" s="199"/>
      <c r="M6" s="199"/>
      <c r="V6" s="356" t="s">
        <v>15</v>
      </c>
      <c r="W6" s="356" t="s">
        <v>54</v>
      </c>
      <c r="X6" s="356" t="s">
        <v>1</v>
      </c>
      <c r="Y6" s="356" t="s">
        <v>2</v>
      </c>
      <c r="Z6" s="356" t="s">
        <v>18</v>
      </c>
      <c r="AA6" s="356" t="s">
        <v>19</v>
      </c>
      <c r="AB6" s="356" t="s">
        <v>20</v>
      </c>
      <c r="AC6" s="356" t="s">
        <v>21</v>
      </c>
      <c r="AD6" s="356" t="s">
        <v>22</v>
      </c>
      <c r="AH6" s="81" t="s">
        <v>7</v>
      </c>
      <c r="AI6" s="81" t="s">
        <v>6</v>
      </c>
      <c r="AJ6" s="81" t="s">
        <v>8</v>
      </c>
      <c r="AK6" s="82" t="s">
        <v>9</v>
      </c>
      <c r="AL6" s="82" t="s">
        <v>10</v>
      </c>
      <c r="AM6" s="83" t="s">
        <v>11</v>
      </c>
      <c r="AN6" s="83" t="s">
        <v>12</v>
      </c>
      <c r="AO6" s="83" t="s">
        <v>13</v>
      </c>
      <c r="AP6" s="353"/>
      <c r="AR6" s="193"/>
    </row>
    <row r="7" spans="1:44" s="93" customFormat="1" ht="20.25" customHeight="1" thickBot="1" x14ac:dyDescent="0.3">
      <c r="B7" s="200" t="s">
        <v>1</v>
      </c>
      <c r="C7" s="201" t="s">
        <v>227</v>
      </c>
      <c r="D7" s="200" t="s">
        <v>3</v>
      </c>
      <c r="E7" s="200" t="s">
        <v>4</v>
      </c>
      <c r="F7" s="202" t="s">
        <v>233</v>
      </c>
      <c r="G7" s="357" t="s">
        <v>14</v>
      </c>
      <c r="H7" s="204" t="s">
        <v>250</v>
      </c>
      <c r="I7" s="205" t="s">
        <v>273</v>
      </c>
      <c r="J7" s="204" t="s">
        <v>50</v>
      </c>
      <c r="K7" s="204" t="s">
        <v>36</v>
      </c>
      <c r="L7" s="204" t="s">
        <v>5</v>
      </c>
      <c r="M7" s="204" t="s">
        <v>34</v>
      </c>
      <c r="N7" s="204" t="s">
        <v>48</v>
      </c>
      <c r="O7" s="204" t="s">
        <v>297</v>
      </c>
      <c r="Q7" s="358" t="s">
        <v>328</v>
      </c>
      <c r="R7" s="358"/>
      <c r="V7" s="194" t="s">
        <v>228</v>
      </c>
      <c r="W7" s="194" t="s">
        <v>56</v>
      </c>
      <c r="X7" s="194" t="s">
        <v>27</v>
      </c>
      <c r="Y7" s="194" t="s">
        <v>28</v>
      </c>
      <c r="Z7" s="194" t="s">
        <v>29</v>
      </c>
      <c r="AA7" s="194" t="s">
        <v>30</v>
      </c>
      <c r="AB7" s="194" t="s">
        <v>229</v>
      </c>
      <c r="AC7" s="194" t="s">
        <v>230</v>
      </c>
      <c r="AD7" s="194" t="s">
        <v>31</v>
      </c>
      <c r="AE7" s="342"/>
      <c r="AH7" s="87" t="s">
        <v>309</v>
      </c>
      <c r="AI7" s="87" t="s">
        <v>23</v>
      </c>
      <c r="AJ7" s="87" t="s">
        <v>24</v>
      </c>
      <c r="AK7" s="88" t="s">
        <v>9</v>
      </c>
      <c r="AL7" s="88" t="s">
        <v>310</v>
      </c>
      <c r="AM7" s="87" t="s">
        <v>311</v>
      </c>
      <c r="AN7" s="87" t="s">
        <v>25</v>
      </c>
      <c r="AO7" s="87" t="s">
        <v>26</v>
      </c>
      <c r="AP7" s="353"/>
      <c r="AR7" s="353"/>
    </row>
    <row r="8" spans="1:44" s="93" customFormat="1" ht="17.25" customHeight="1" thickBot="1" x14ac:dyDescent="0.3">
      <c r="A8" s="353"/>
      <c r="B8" s="207" t="s">
        <v>234</v>
      </c>
      <c r="C8" s="207" t="s">
        <v>28</v>
      </c>
      <c r="D8" s="207" t="s">
        <v>32</v>
      </c>
      <c r="E8" s="207" t="s">
        <v>33</v>
      </c>
      <c r="F8" s="208"/>
      <c r="G8" s="209" t="s">
        <v>35</v>
      </c>
      <c r="H8" s="207" t="s">
        <v>251</v>
      </c>
      <c r="I8" s="207"/>
      <c r="J8" s="207" t="s">
        <v>329</v>
      </c>
      <c r="K8" s="207" t="s">
        <v>37</v>
      </c>
      <c r="L8" s="207" t="s">
        <v>38</v>
      </c>
      <c r="M8" s="207" t="s">
        <v>39</v>
      </c>
      <c r="N8" s="207" t="s">
        <v>218</v>
      </c>
      <c r="O8" s="207"/>
      <c r="Q8" s="93" t="s">
        <v>1001</v>
      </c>
      <c r="R8" s="93" t="s">
        <v>1040</v>
      </c>
      <c r="V8" s="359" t="s">
        <v>302</v>
      </c>
      <c r="X8" s="342" t="str">
        <f>$B$3&amp;"CHPAUT_"&amp;$X$4&amp;"_ST"</f>
        <v>INDISTCHPAUT_N_ST</v>
      </c>
      <c r="Y8" s="93" t="s">
        <v>330</v>
      </c>
      <c r="Z8" s="93" t="s">
        <v>206</v>
      </c>
      <c r="AA8" s="93" t="s">
        <v>224</v>
      </c>
      <c r="AB8" s="93" t="s">
        <v>42</v>
      </c>
      <c r="AC8" s="360"/>
      <c r="AD8" s="360"/>
      <c r="AH8" s="76"/>
      <c r="AI8" s="76"/>
      <c r="AJ8" s="76"/>
      <c r="AK8" s="77"/>
      <c r="AL8" s="92"/>
      <c r="AP8" s="353"/>
      <c r="AR8" s="353"/>
    </row>
    <row r="9" spans="1:44" s="93" customFormat="1" ht="15" x14ac:dyDescent="0.25">
      <c r="A9" s="353"/>
      <c r="B9" s="210"/>
      <c r="C9" s="211"/>
      <c r="D9" s="211"/>
      <c r="E9" s="211" t="s">
        <v>231</v>
      </c>
      <c r="F9" s="212"/>
      <c r="G9" s="211"/>
      <c r="H9" s="211" t="s">
        <v>993</v>
      </c>
      <c r="I9" s="213" t="s">
        <v>244</v>
      </c>
      <c r="J9" s="211"/>
      <c r="K9" s="211" t="str">
        <f>General!$D$26</f>
        <v>M$/Mt/a</v>
      </c>
      <c r="L9" s="211" t="str">
        <f>K9</f>
        <v>M$/Mt/a</v>
      </c>
      <c r="M9" s="211" t="str">
        <f>General!D22</f>
        <v>M$/Mt</v>
      </c>
      <c r="N9" s="211" t="str">
        <f>General!$D$20</f>
        <v>Years</v>
      </c>
      <c r="O9" s="211"/>
      <c r="X9" s="342" t="str">
        <f>$B$3&amp;"CHPAUT_"&amp;$X$4&amp;"_IM"</f>
        <v>INDISTCHPAUT_N_IM</v>
      </c>
      <c r="Y9" s="93" t="s">
        <v>331</v>
      </c>
      <c r="Z9" s="93" t="s">
        <v>206</v>
      </c>
      <c r="AA9" s="93" t="s">
        <v>224</v>
      </c>
      <c r="AB9" s="93" t="s">
        <v>42</v>
      </c>
      <c r="AC9" s="342"/>
      <c r="AD9" s="342"/>
      <c r="AI9" s="76"/>
      <c r="AJ9" s="76"/>
      <c r="AK9" s="77"/>
      <c r="AL9" s="92"/>
      <c r="AR9" s="353"/>
    </row>
    <row r="10" spans="1:44" s="93" customFormat="1" ht="13.8" x14ac:dyDescent="0.25">
      <c r="A10" s="353"/>
      <c r="B10" s="93" t="str">
        <f>X14</f>
        <v>INDISTSNT_N_ST</v>
      </c>
      <c r="C10" s="93" t="str">
        <f>Y14</f>
        <v>Iron&amp;Steel Sintering - Pelletisation Standard</v>
      </c>
      <c r="D10" s="361" t="s">
        <v>141</v>
      </c>
      <c r="F10" s="362">
        <f>G10</f>
        <v>2018</v>
      </c>
      <c r="G10" s="353">
        <v>2018</v>
      </c>
      <c r="H10" s="271">
        <v>0</v>
      </c>
      <c r="J10" s="353">
        <v>1</v>
      </c>
      <c r="K10" s="363">
        <v>55</v>
      </c>
      <c r="L10" s="363">
        <f>2.5*1.12</f>
        <v>2.8000000000000003</v>
      </c>
      <c r="M10" s="363">
        <f>K10*0.1</f>
        <v>5.5</v>
      </c>
      <c r="N10" s="353">
        <v>30</v>
      </c>
      <c r="O10" s="353">
        <v>0.9</v>
      </c>
      <c r="Q10" s="364"/>
      <c r="X10" s="342" t="str">
        <f>$B$3&amp;"CHPAUT_"&amp;$X$4&amp;"_AD"</f>
        <v>INDISTCHPAUT_N_AD</v>
      </c>
      <c r="Y10" s="93" t="s">
        <v>332</v>
      </c>
      <c r="Z10" s="93" t="s">
        <v>206</v>
      </c>
      <c r="AA10" s="93" t="s">
        <v>224</v>
      </c>
      <c r="AB10" s="93" t="s">
        <v>42</v>
      </c>
      <c r="AC10" s="342"/>
      <c r="AD10" s="342"/>
      <c r="AI10" s="76"/>
      <c r="AJ10" s="76"/>
      <c r="AK10" s="77"/>
      <c r="AR10" s="353"/>
    </row>
    <row r="11" spans="1:44" s="93" customFormat="1" ht="13.8" x14ac:dyDescent="0.25">
      <c r="A11" s="353"/>
      <c r="D11" s="93" t="s">
        <v>418</v>
      </c>
      <c r="F11" s="362">
        <f>F10</f>
        <v>2018</v>
      </c>
      <c r="G11" s="353"/>
      <c r="H11" s="271">
        <v>0</v>
      </c>
      <c r="I11" s="353"/>
      <c r="J11" s="353"/>
      <c r="K11" s="363"/>
      <c r="L11" s="363"/>
      <c r="M11" s="363"/>
      <c r="V11" s="93" t="s">
        <v>272</v>
      </c>
      <c r="X11" s="342" t="str">
        <f>$B$3&amp;"BOI_"&amp;$X$4&amp;"_ST"</f>
        <v>INDISTBOI_N_ST</v>
      </c>
      <c r="Y11" s="93" t="s">
        <v>333</v>
      </c>
      <c r="Z11" s="93" t="s">
        <v>206</v>
      </c>
      <c r="AA11" s="93" t="s">
        <v>242</v>
      </c>
      <c r="AC11" s="342"/>
      <c r="AD11" s="342"/>
      <c r="AR11" s="353"/>
    </row>
    <row r="12" spans="1:44" s="93" customFormat="1" ht="13.8" x14ac:dyDescent="0.25">
      <c r="A12" s="353"/>
      <c r="D12" s="93" t="s">
        <v>265</v>
      </c>
      <c r="F12" s="362">
        <f t="shared" ref="F12:F18" si="0">F11</f>
        <v>2018</v>
      </c>
      <c r="G12" s="353"/>
      <c r="H12" s="271">
        <v>0</v>
      </c>
      <c r="I12" s="353"/>
      <c r="J12" s="353"/>
      <c r="K12" s="363"/>
      <c r="L12" s="363"/>
      <c r="M12" s="363"/>
      <c r="N12" s="353"/>
      <c r="O12" s="353"/>
      <c r="X12" s="342" t="str">
        <f>$B$3&amp;"BOI_"&amp;$X$4&amp;"_IM"</f>
        <v>INDISTBOI_N_IM</v>
      </c>
      <c r="Y12" s="93" t="s">
        <v>334</v>
      </c>
      <c r="Z12" s="93" t="s">
        <v>206</v>
      </c>
      <c r="AA12" s="93" t="s">
        <v>242</v>
      </c>
      <c r="AC12" s="342"/>
      <c r="AD12" s="342"/>
      <c r="AH12" s="353"/>
      <c r="AI12" s="353"/>
      <c r="AJ12" s="353"/>
      <c r="AK12" s="353"/>
      <c r="AL12" s="353"/>
      <c r="AM12" s="353"/>
      <c r="AN12" s="353"/>
      <c r="AO12" s="353"/>
      <c r="AP12" s="353"/>
      <c r="AR12" s="353"/>
    </row>
    <row r="13" spans="1:44" ht="13.8" x14ac:dyDescent="0.25">
      <c r="B13" s="93"/>
      <c r="C13" s="93"/>
      <c r="D13" s="93" t="s">
        <v>164</v>
      </c>
      <c r="E13" s="93"/>
      <c r="F13" s="362">
        <f t="shared" si="0"/>
        <v>2018</v>
      </c>
      <c r="H13" s="271">
        <f>0+999</f>
        <v>999</v>
      </c>
      <c r="K13" s="363"/>
      <c r="L13" s="363"/>
      <c r="M13" s="363"/>
      <c r="V13" s="93"/>
      <c r="W13" s="93"/>
      <c r="X13" s="342" t="str">
        <f>$B$3&amp;"BOI_"&amp;$X$4&amp;"_AD"</f>
        <v>INDISTBOI_N_AD</v>
      </c>
      <c r="Y13" s="93" t="s">
        <v>335</v>
      </c>
      <c r="Z13" s="93" t="s">
        <v>206</v>
      </c>
      <c r="AA13" s="93" t="s">
        <v>242</v>
      </c>
      <c r="AB13" s="93"/>
      <c r="AC13" s="342"/>
      <c r="AD13" s="342"/>
      <c r="AE13" s="93"/>
      <c r="AF13" s="93"/>
      <c r="AG13" s="93"/>
      <c r="AQ13" s="93"/>
    </row>
    <row r="14" spans="1:44" ht="13.8" x14ac:dyDescent="0.25">
      <c r="B14" s="93"/>
      <c r="C14" s="93"/>
      <c r="D14" s="93" t="s">
        <v>199</v>
      </c>
      <c r="E14" s="93"/>
      <c r="F14" s="362">
        <f t="shared" si="0"/>
        <v>2018</v>
      </c>
      <c r="H14" s="271">
        <v>0.46400000000000002</v>
      </c>
      <c r="K14" s="363"/>
      <c r="L14" s="363"/>
      <c r="M14" s="363"/>
      <c r="V14" s="93"/>
      <c r="W14" s="93"/>
      <c r="X14" s="342" t="str">
        <f>$B$3&amp;"SNT_"&amp;$X$4&amp;"_ST"</f>
        <v>INDISTSNT_N_ST</v>
      </c>
      <c r="Y14" s="93" t="s">
        <v>996</v>
      </c>
      <c r="Z14" s="93" t="s">
        <v>244</v>
      </c>
      <c r="AA14" s="93" t="s">
        <v>255</v>
      </c>
      <c r="AB14" s="93"/>
      <c r="AC14" s="342"/>
      <c r="AD14" s="342"/>
      <c r="AE14" s="93"/>
      <c r="AF14" s="93"/>
      <c r="AG14" s="93"/>
      <c r="AQ14" s="93"/>
    </row>
    <row r="15" spans="1:44" ht="13.8" x14ac:dyDescent="0.25">
      <c r="B15" s="93"/>
      <c r="C15" s="93"/>
      <c r="D15" s="93" t="s">
        <v>166</v>
      </c>
      <c r="E15" s="93"/>
      <c r="F15" s="362">
        <f t="shared" si="0"/>
        <v>2018</v>
      </c>
      <c r="H15" s="271">
        <v>0</v>
      </c>
      <c r="K15" s="363"/>
      <c r="L15" s="363"/>
      <c r="M15" s="363"/>
      <c r="V15" s="93"/>
      <c r="W15" s="93"/>
      <c r="X15" s="342" t="str">
        <f>$B$3&amp;"SNT_"&amp;$X$4&amp;"_IM"</f>
        <v>INDISTSNT_N_IM</v>
      </c>
      <c r="Y15" s="93" t="s">
        <v>997</v>
      </c>
      <c r="Z15" s="93" t="s">
        <v>244</v>
      </c>
      <c r="AA15" s="93" t="s">
        <v>255</v>
      </c>
      <c r="AB15" s="93"/>
      <c r="AC15" s="342"/>
      <c r="AD15" s="342"/>
      <c r="AF15" s="93"/>
      <c r="AG15" s="93"/>
      <c r="AQ15" s="93"/>
    </row>
    <row r="16" spans="1:44" ht="15.75" customHeight="1" x14ac:dyDescent="0.25">
      <c r="B16" s="93"/>
      <c r="C16" s="93"/>
      <c r="D16" s="93" t="s">
        <v>144</v>
      </c>
      <c r="E16" s="93"/>
      <c r="F16" s="362">
        <f t="shared" si="0"/>
        <v>2018</v>
      </c>
      <c r="H16" s="271">
        <v>3.3039999999999998</v>
      </c>
      <c r="K16" s="363"/>
      <c r="L16" s="363"/>
      <c r="M16" s="363"/>
      <c r="V16" s="93"/>
      <c r="W16" s="93"/>
      <c r="X16" s="342" t="str">
        <f>$B$3&amp;"SNT_"&amp;$X$4&amp;"_AD"</f>
        <v>INDISTSNT_N_AD</v>
      </c>
      <c r="Y16" s="93" t="s">
        <v>998</v>
      </c>
      <c r="Z16" s="93" t="s">
        <v>244</v>
      </c>
      <c r="AA16" s="93" t="s">
        <v>255</v>
      </c>
      <c r="AB16" s="93"/>
      <c r="AC16" s="342"/>
      <c r="AD16" s="342"/>
      <c r="AF16" s="93"/>
      <c r="AG16" s="93"/>
      <c r="AQ16" s="93"/>
    </row>
    <row r="17" spans="2:33" ht="14.4" x14ac:dyDescent="0.3">
      <c r="B17" s="93"/>
      <c r="C17" s="93"/>
      <c r="D17" s="93" t="s">
        <v>431</v>
      </c>
      <c r="E17" s="93"/>
      <c r="F17" s="362">
        <f t="shared" si="0"/>
        <v>2018</v>
      </c>
      <c r="H17" s="365">
        <v>1</v>
      </c>
      <c r="K17" s="363"/>
      <c r="L17" s="363"/>
      <c r="M17" s="363"/>
      <c r="V17" s="93"/>
      <c r="W17" s="93"/>
      <c r="X17" s="342" t="str">
        <f>B$3&amp;"PIR_"&amp;$X$4&amp;"_ST"</f>
        <v>INDISTPIR_N_ST</v>
      </c>
      <c r="Y17" s="93" t="s">
        <v>1032</v>
      </c>
      <c r="Z17" s="93" t="s">
        <v>244</v>
      </c>
      <c r="AA17" s="93" t="s">
        <v>255</v>
      </c>
      <c r="AB17" s="93"/>
      <c r="AC17" s="342"/>
      <c r="AD17" s="342"/>
      <c r="AF17" s="93"/>
      <c r="AG17" s="93"/>
    </row>
    <row r="18" spans="2:33" ht="13.8" x14ac:dyDescent="0.25">
      <c r="B18" s="366"/>
      <c r="C18" s="366"/>
      <c r="D18" s="366"/>
      <c r="E18" s="366" t="s">
        <v>432</v>
      </c>
      <c r="F18" s="367">
        <f t="shared" si="0"/>
        <v>2018</v>
      </c>
      <c r="G18" s="368"/>
      <c r="H18" s="368"/>
      <c r="I18" s="368">
        <v>1</v>
      </c>
      <c r="J18" s="368"/>
      <c r="K18" s="369"/>
      <c r="L18" s="369"/>
      <c r="M18" s="369"/>
      <c r="N18" s="368"/>
      <c r="O18" s="368"/>
      <c r="V18" s="93"/>
      <c r="W18" s="93"/>
      <c r="X18" s="342" t="str">
        <f>B$3&amp;"PIR_"&amp;$X$4&amp;"_IM"</f>
        <v>INDISTPIR_N_IM</v>
      </c>
      <c r="Y18" s="93" t="s">
        <v>1033</v>
      </c>
      <c r="Z18" s="93" t="s">
        <v>244</v>
      </c>
      <c r="AA18" s="93" t="s">
        <v>255</v>
      </c>
      <c r="AB18" s="93"/>
      <c r="AC18" s="342"/>
      <c r="AD18" s="342"/>
      <c r="AF18" s="93"/>
      <c r="AG18" s="93"/>
    </row>
    <row r="19" spans="2:33" ht="13.8" x14ac:dyDescent="0.25">
      <c r="B19" s="93" t="str">
        <f>X15</f>
        <v>INDISTSNT_N_IM</v>
      </c>
      <c r="C19" s="93" t="str">
        <f>Y15</f>
        <v>Iron&amp;Steel Sintering - Pelletisation Improved</v>
      </c>
      <c r="D19" s="361" t="s">
        <v>265</v>
      </c>
      <c r="E19" s="93"/>
      <c r="F19" s="362">
        <f>G19</f>
        <v>2020</v>
      </c>
      <c r="G19" s="353">
        <v>2020</v>
      </c>
      <c r="H19" s="271">
        <f>H10*(1-0.1)</f>
        <v>0</v>
      </c>
      <c r="I19" s="93"/>
      <c r="J19" s="353">
        <v>1</v>
      </c>
      <c r="K19" s="363">
        <f>K10*1.5</f>
        <v>82.5</v>
      </c>
      <c r="L19" s="363">
        <f>2.5*1.12</f>
        <v>2.8000000000000003</v>
      </c>
      <c r="M19" s="363">
        <f>M10</f>
        <v>5.5</v>
      </c>
      <c r="N19" s="353">
        <v>30</v>
      </c>
      <c r="O19" s="353">
        <v>0.9</v>
      </c>
      <c r="Q19" s="353" t="s">
        <v>1031</v>
      </c>
      <c r="V19" s="93"/>
      <c r="W19" s="93"/>
      <c r="X19" s="342" t="str">
        <f>B$3&amp;"DRI_"&amp;$X$4&amp;"_AD"</f>
        <v>INDISTDRI_N_AD</v>
      </c>
      <c r="Y19" s="93" t="s">
        <v>1034</v>
      </c>
      <c r="Z19" s="93" t="s">
        <v>244</v>
      </c>
      <c r="AA19" s="93" t="s">
        <v>255</v>
      </c>
      <c r="AB19" s="93"/>
      <c r="AC19" s="342"/>
      <c r="AD19" s="342"/>
      <c r="AF19" s="93"/>
      <c r="AG19" s="93"/>
    </row>
    <row r="20" spans="2:33" ht="13.8" x14ac:dyDescent="0.25">
      <c r="B20" s="93"/>
      <c r="C20" s="93"/>
      <c r="D20" s="93" t="s">
        <v>418</v>
      </c>
      <c r="E20" s="93"/>
      <c r="F20" s="362">
        <f>F19</f>
        <v>2020</v>
      </c>
      <c r="H20" s="271">
        <f t="shared" ref="H20:H24" si="1">H11*(1-0.1)</f>
        <v>0</v>
      </c>
      <c r="K20" s="363"/>
      <c r="L20" s="363"/>
      <c r="M20" s="363"/>
      <c r="N20" s="93"/>
      <c r="O20" s="93"/>
      <c r="V20" s="93"/>
      <c r="W20" s="93"/>
      <c r="X20" s="342" t="str">
        <f>B$3&amp;"DRI_"&amp;$X$4&amp;"H2_AD"</f>
        <v>INDISTDRI_NH2_AD</v>
      </c>
      <c r="Y20" s="93" t="s">
        <v>1070</v>
      </c>
      <c r="Z20" s="93" t="s">
        <v>244</v>
      </c>
      <c r="AA20" s="93" t="s">
        <v>255</v>
      </c>
      <c r="AB20" s="93"/>
      <c r="AC20" s="342"/>
      <c r="AD20" s="342"/>
      <c r="AF20" s="93"/>
      <c r="AG20" s="93"/>
    </row>
    <row r="21" spans="2:33" ht="13.8" x14ac:dyDescent="0.25">
      <c r="B21" s="93"/>
      <c r="C21" s="93"/>
      <c r="D21" s="93" t="s">
        <v>141</v>
      </c>
      <c r="E21" s="93"/>
      <c r="F21" s="362">
        <f t="shared" ref="F21:F27" si="2">F20</f>
        <v>2020</v>
      </c>
      <c r="H21" s="271">
        <f t="shared" si="1"/>
        <v>0</v>
      </c>
      <c r="K21" s="363"/>
      <c r="L21" s="363"/>
      <c r="M21" s="363"/>
      <c r="V21" s="93"/>
      <c r="W21" s="93"/>
      <c r="X21" s="342" t="str">
        <f>B$3&amp;"CST_"&amp;$X$4&amp;"_ST"</f>
        <v>INDISTCST_N_ST</v>
      </c>
      <c r="Y21" s="93" t="s">
        <v>336</v>
      </c>
      <c r="Z21" s="93" t="s">
        <v>244</v>
      </c>
      <c r="AA21" s="93" t="s">
        <v>255</v>
      </c>
      <c r="AB21" s="93"/>
      <c r="AC21" s="342"/>
      <c r="AD21" s="342"/>
      <c r="AF21" s="93"/>
      <c r="AG21" s="93"/>
    </row>
    <row r="22" spans="2:33" ht="13.8" x14ac:dyDescent="0.25">
      <c r="B22" s="93"/>
      <c r="C22" s="93"/>
      <c r="D22" s="93" t="s">
        <v>164</v>
      </c>
      <c r="E22" s="93"/>
      <c r="F22" s="362">
        <f t="shared" si="2"/>
        <v>2020</v>
      </c>
      <c r="H22" s="271">
        <f t="shared" si="1"/>
        <v>899.1</v>
      </c>
      <c r="K22" s="363"/>
      <c r="L22" s="363"/>
      <c r="M22" s="363"/>
      <c r="V22" s="93"/>
      <c r="W22" s="93"/>
      <c r="X22" s="342" t="str">
        <f>B$3&amp;"CST_"&amp;$X$4&amp;"_IM"</f>
        <v>INDISTCST_N_IM</v>
      </c>
      <c r="Y22" s="93" t="s">
        <v>337</v>
      </c>
      <c r="Z22" s="93" t="s">
        <v>244</v>
      </c>
      <c r="AA22" s="93" t="s">
        <v>255</v>
      </c>
      <c r="AB22" s="93"/>
      <c r="AC22" s="342"/>
      <c r="AD22" s="342"/>
      <c r="AF22" s="93"/>
      <c r="AG22" s="93"/>
    </row>
    <row r="23" spans="2:33" ht="13.8" x14ac:dyDescent="0.25">
      <c r="B23" s="93"/>
      <c r="C23" s="93"/>
      <c r="D23" s="93" t="s">
        <v>199</v>
      </c>
      <c r="E23" s="93"/>
      <c r="F23" s="362">
        <f t="shared" si="2"/>
        <v>2020</v>
      </c>
      <c r="H23" s="271">
        <f>H14*(1-0.2)</f>
        <v>0.37120000000000003</v>
      </c>
      <c r="K23" s="363"/>
      <c r="L23" s="363"/>
      <c r="M23" s="363"/>
      <c r="V23" s="93"/>
      <c r="W23" s="93"/>
      <c r="X23" s="342" t="str">
        <f>B$3&amp;"CST_"&amp;$X$4&amp;"_EAF"</f>
        <v>INDISTCST_N_EAF</v>
      </c>
      <c r="Y23" s="93" t="s">
        <v>1038</v>
      </c>
      <c r="Z23" s="93" t="s">
        <v>244</v>
      </c>
      <c r="AA23" s="93" t="s">
        <v>255</v>
      </c>
      <c r="AB23" s="93"/>
      <c r="AC23" s="342"/>
      <c r="AD23" s="342"/>
      <c r="AF23" s="93"/>
      <c r="AG23" s="93"/>
    </row>
    <row r="24" spans="2:33" ht="13.8" x14ac:dyDescent="0.25">
      <c r="B24" s="93"/>
      <c r="C24" s="93"/>
      <c r="D24" s="93" t="s">
        <v>166</v>
      </c>
      <c r="E24" s="93"/>
      <c r="F24" s="362">
        <f t="shared" si="2"/>
        <v>2020</v>
      </c>
      <c r="H24" s="271">
        <f t="shared" si="1"/>
        <v>0</v>
      </c>
      <c r="K24" s="363"/>
      <c r="L24" s="363"/>
      <c r="M24" s="363"/>
      <c r="V24" s="93" t="s">
        <v>277</v>
      </c>
      <c r="W24" s="93"/>
      <c r="X24" s="342" t="str">
        <f>B$3&amp;"FST_"&amp;$X$4&amp;"_ST"</f>
        <v>INDISTFST_N_ST</v>
      </c>
      <c r="Y24" s="93" t="s">
        <v>338</v>
      </c>
      <c r="Z24" s="93" t="s">
        <v>244</v>
      </c>
      <c r="AA24" s="93" t="s">
        <v>255</v>
      </c>
      <c r="AB24" s="93"/>
      <c r="AC24" s="342"/>
      <c r="AD24" s="342"/>
      <c r="AF24" s="93"/>
      <c r="AG24" s="93"/>
    </row>
    <row r="25" spans="2:33" ht="13.8" x14ac:dyDescent="0.25">
      <c r="B25" s="93"/>
      <c r="C25" s="93"/>
      <c r="D25" s="93" t="s">
        <v>144</v>
      </c>
      <c r="E25" s="93"/>
      <c r="F25" s="362">
        <f t="shared" si="2"/>
        <v>2020</v>
      </c>
      <c r="H25" s="271">
        <f>H16*(1-0.2)</f>
        <v>2.6432000000000002</v>
      </c>
      <c r="K25" s="363"/>
      <c r="L25" s="363"/>
      <c r="M25" s="363"/>
      <c r="V25" s="93" t="s">
        <v>277</v>
      </c>
      <c r="W25" s="93"/>
      <c r="X25" s="342" t="str">
        <f>B$3&amp;"FST_"&amp;$X$4&amp;"_IM"</f>
        <v>INDISTFST_N_IM</v>
      </c>
      <c r="Y25" s="93" t="s">
        <v>339</v>
      </c>
      <c r="Z25" s="93" t="s">
        <v>244</v>
      </c>
      <c r="AA25" s="93" t="s">
        <v>255</v>
      </c>
      <c r="AB25" s="93"/>
      <c r="AC25" s="342"/>
      <c r="AD25" s="342"/>
      <c r="AF25" s="93"/>
      <c r="AG25" s="93"/>
    </row>
    <row r="26" spans="2:33" ht="14.4" x14ac:dyDescent="0.3">
      <c r="B26" s="93"/>
      <c r="C26" s="93"/>
      <c r="D26" s="93" t="s">
        <v>431</v>
      </c>
      <c r="E26" s="93"/>
      <c r="F26" s="362">
        <f t="shared" si="2"/>
        <v>2020</v>
      </c>
      <c r="H26" s="365">
        <f>H17*(1)</f>
        <v>1</v>
      </c>
      <c r="K26" s="363"/>
      <c r="L26" s="363"/>
      <c r="M26" s="363"/>
      <c r="V26" s="93" t="s">
        <v>277</v>
      </c>
      <c r="W26" s="93"/>
      <c r="X26" s="342" t="str">
        <f>B$3&amp;"FST_"&amp;$X$4&amp;"_AD"</f>
        <v>INDISTFST_N_AD</v>
      </c>
      <c r="Y26" s="93" t="s">
        <v>340</v>
      </c>
      <c r="Z26" s="93" t="s">
        <v>244</v>
      </c>
      <c r="AA26" s="93" t="s">
        <v>255</v>
      </c>
      <c r="AB26" s="93"/>
      <c r="AC26" s="342"/>
      <c r="AD26" s="342"/>
      <c r="AF26" s="93"/>
      <c r="AG26" s="93"/>
    </row>
    <row r="27" spans="2:33" ht="13.8" x14ac:dyDescent="0.25">
      <c r="B27" s="366"/>
      <c r="C27" s="366"/>
      <c r="D27" s="366"/>
      <c r="E27" s="366" t="s">
        <v>432</v>
      </c>
      <c r="F27" s="367">
        <f t="shared" si="2"/>
        <v>2020</v>
      </c>
      <c r="G27" s="368"/>
      <c r="H27" s="368"/>
      <c r="I27" s="368">
        <v>1</v>
      </c>
      <c r="J27" s="368"/>
      <c r="K27" s="369"/>
      <c r="L27" s="369"/>
      <c r="M27" s="369"/>
      <c r="N27" s="368"/>
      <c r="O27" s="368"/>
      <c r="AF27" s="93"/>
      <c r="AG27" s="93"/>
    </row>
    <row r="28" spans="2:33" ht="13.8" x14ac:dyDescent="0.25">
      <c r="B28" s="93" t="str">
        <f>X16</f>
        <v>INDISTSNT_N_AD</v>
      </c>
      <c r="C28" s="93" t="str">
        <f>Y16</f>
        <v>Iron&amp;Steel Sintering - Pelletisation Advanced</v>
      </c>
      <c r="D28" s="361" t="s">
        <v>265</v>
      </c>
      <c r="E28" s="93"/>
      <c r="F28" s="362">
        <f>G28</f>
        <v>2030</v>
      </c>
      <c r="G28" s="353">
        <v>2030</v>
      </c>
      <c r="H28" s="271">
        <f>H10*(1-0.1)</f>
        <v>0</v>
      </c>
      <c r="I28" s="93"/>
      <c r="J28" s="353">
        <v>1</v>
      </c>
      <c r="K28" s="363">
        <f>K10*2</f>
        <v>110</v>
      </c>
      <c r="L28" s="363">
        <f>2.5*1.12</f>
        <v>2.8000000000000003</v>
      </c>
      <c r="M28" s="363">
        <f>M19</f>
        <v>5.5</v>
      </c>
      <c r="N28" s="353">
        <v>30</v>
      </c>
      <c r="O28" s="353">
        <v>0.9</v>
      </c>
      <c r="Q28" s="353" t="s">
        <v>1030</v>
      </c>
      <c r="AF28" s="93"/>
      <c r="AG28" s="93"/>
    </row>
    <row r="29" spans="2:33" ht="13.8" x14ac:dyDescent="0.25">
      <c r="B29" s="93"/>
      <c r="C29" s="93"/>
      <c r="D29" s="93" t="s">
        <v>418</v>
      </c>
      <c r="E29" s="93"/>
      <c r="F29" s="362">
        <f>F28</f>
        <v>2030</v>
      </c>
      <c r="H29" s="271">
        <f t="shared" ref="H29:H33" si="3">H11*(1-0.1)</f>
        <v>0</v>
      </c>
      <c r="N29" s="93"/>
      <c r="O29" s="93"/>
      <c r="AF29" s="93"/>
      <c r="AG29" s="93"/>
    </row>
    <row r="30" spans="2:33" ht="13.8" x14ac:dyDescent="0.25">
      <c r="B30" s="93"/>
      <c r="C30" s="93"/>
      <c r="D30" s="93" t="s">
        <v>141</v>
      </c>
      <c r="E30" s="93"/>
      <c r="F30" s="362">
        <f t="shared" ref="F30:F36" si="4">F29</f>
        <v>2030</v>
      </c>
      <c r="H30" s="271">
        <f t="shared" si="3"/>
        <v>0</v>
      </c>
      <c r="AF30" s="93"/>
      <c r="AG30" s="93"/>
    </row>
    <row r="31" spans="2:33" ht="13.8" x14ac:dyDescent="0.25">
      <c r="B31" s="93"/>
      <c r="C31" s="93"/>
      <c r="D31" s="93" t="s">
        <v>164</v>
      </c>
      <c r="E31" s="93"/>
      <c r="F31" s="362">
        <f t="shared" si="4"/>
        <v>2030</v>
      </c>
      <c r="H31" s="271">
        <v>0</v>
      </c>
    </row>
    <row r="32" spans="2:33" ht="13.8" x14ac:dyDescent="0.25">
      <c r="B32" s="93"/>
      <c r="C32" s="93"/>
      <c r="D32" s="93" t="s">
        <v>199</v>
      </c>
      <c r="E32" s="93"/>
      <c r="F32" s="362">
        <f t="shared" si="4"/>
        <v>2030</v>
      </c>
      <c r="H32" s="271">
        <v>1.1499999999999999</v>
      </c>
    </row>
    <row r="33" spans="2:24" ht="13.8" x14ac:dyDescent="0.25">
      <c r="B33" s="93"/>
      <c r="C33" s="93"/>
      <c r="D33" s="93" t="s">
        <v>166</v>
      </c>
      <c r="E33" s="93"/>
      <c r="F33" s="362">
        <f t="shared" si="4"/>
        <v>2030</v>
      </c>
      <c r="H33" s="271">
        <f t="shared" si="3"/>
        <v>0</v>
      </c>
    </row>
    <row r="34" spans="2:24" ht="13.8" x14ac:dyDescent="0.25">
      <c r="B34" s="93"/>
      <c r="C34" s="93"/>
      <c r="D34" s="93" t="s">
        <v>144</v>
      </c>
      <c r="E34" s="93"/>
      <c r="F34" s="362">
        <f t="shared" si="4"/>
        <v>2030</v>
      </c>
      <c r="H34" s="271">
        <v>1</v>
      </c>
    </row>
    <row r="35" spans="2:24" ht="14.4" x14ac:dyDescent="0.3">
      <c r="B35" s="93"/>
      <c r="C35" s="93"/>
      <c r="D35" s="93" t="s">
        <v>431</v>
      </c>
      <c r="E35" s="93"/>
      <c r="F35" s="362">
        <f t="shared" si="4"/>
        <v>2030</v>
      </c>
      <c r="H35" s="365">
        <v>1</v>
      </c>
      <c r="V35" s="93"/>
      <c r="W35" s="93"/>
      <c r="X35" s="342"/>
    </row>
    <row r="36" spans="2:24" ht="13.8" x14ac:dyDescent="0.25">
      <c r="B36" s="366"/>
      <c r="C36" s="366"/>
      <c r="D36" s="366"/>
      <c r="E36" s="366" t="s">
        <v>432</v>
      </c>
      <c r="F36" s="367">
        <f t="shared" si="4"/>
        <v>2030</v>
      </c>
      <c r="G36" s="368"/>
      <c r="H36" s="368"/>
      <c r="I36" s="368">
        <v>1</v>
      </c>
      <c r="J36" s="368"/>
      <c r="K36" s="368"/>
      <c r="L36" s="368"/>
      <c r="M36" s="368"/>
      <c r="N36" s="368"/>
      <c r="O36" s="368"/>
      <c r="V36" s="93"/>
      <c r="W36" s="93"/>
      <c r="X36" s="342"/>
    </row>
    <row r="37" spans="2:24" ht="13.8" x14ac:dyDescent="0.25">
      <c r="V37" s="93"/>
      <c r="W37" s="93"/>
      <c r="X37" s="342"/>
    </row>
    <row r="38" spans="2:24" ht="13.8" x14ac:dyDescent="0.25">
      <c r="V38" s="93"/>
      <c r="W38" s="93"/>
      <c r="X38" s="342"/>
    </row>
    <row r="39" spans="2:24" ht="13.8" x14ac:dyDescent="0.25">
      <c r="V39" s="93"/>
      <c r="W39" s="93"/>
      <c r="X39" s="342"/>
    </row>
    <row r="40" spans="2:24" ht="13.8" x14ac:dyDescent="0.25">
      <c r="B40" s="93"/>
      <c r="C40" s="93"/>
      <c r="D40" s="93"/>
      <c r="E40" s="197"/>
      <c r="F40" s="355" t="s">
        <v>0</v>
      </c>
      <c r="G40" s="355"/>
      <c r="H40" s="198"/>
      <c r="I40" s="198"/>
      <c r="J40" s="198"/>
      <c r="K40" s="199"/>
      <c r="L40" s="199"/>
      <c r="M40" s="199"/>
      <c r="N40" s="93"/>
      <c r="O40" s="93"/>
      <c r="V40" s="93"/>
      <c r="W40" s="93"/>
      <c r="X40" s="342"/>
    </row>
    <row r="41" spans="2:24" ht="13.8" x14ac:dyDescent="0.25">
      <c r="B41" s="200" t="s">
        <v>1</v>
      </c>
      <c r="C41" s="201" t="s">
        <v>227</v>
      </c>
      <c r="D41" s="200" t="s">
        <v>3</v>
      </c>
      <c r="E41" s="200" t="s">
        <v>4</v>
      </c>
      <c r="F41" s="202" t="s">
        <v>233</v>
      </c>
      <c r="G41" s="357" t="s">
        <v>14</v>
      </c>
      <c r="H41" s="204" t="s">
        <v>250</v>
      </c>
      <c r="I41" s="205" t="s">
        <v>273</v>
      </c>
      <c r="J41" s="204" t="s">
        <v>50</v>
      </c>
      <c r="K41" s="204" t="s">
        <v>36</v>
      </c>
      <c r="L41" s="204" t="s">
        <v>5</v>
      </c>
      <c r="M41" s="204" t="s">
        <v>34</v>
      </c>
      <c r="N41" s="204" t="s">
        <v>48</v>
      </c>
      <c r="O41" s="204" t="s">
        <v>297</v>
      </c>
      <c r="V41" s="93"/>
      <c r="W41" s="93"/>
      <c r="X41" s="342"/>
    </row>
    <row r="42" spans="2:24" ht="28.2" thickBot="1" x14ac:dyDescent="0.3">
      <c r="B42" s="207" t="s">
        <v>234</v>
      </c>
      <c r="C42" s="207" t="s">
        <v>28</v>
      </c>
      <c r="D42" s="207" t="s">
        <v>32</v>
      </c>
      <c r="E42" s="207" t="s">
        <v>33</v>
      </c>
      <c r="F42" s="208"/>
      <c r="G42" s="209" t="s">
        <v>35</v>
      </c>
      <c r="H42" s="207" t="s">
        <v>251</v>
      </c>
      <c r="I42" s="207"/>
      <c r="J42" s="207" t="s">
        <v>329</v>
      </c>
      <c r="K42" s="207" t="s">
        <v>37</v>
      </c>
      <c r="L42" s="207" t="s">
        <v>38</v>
      </c>
      <c r="M42" s="207" t="s">
        <v>39</v>
      </c>
      <c r="N42" s="207" t="s">
        <v>218</v>
      </c>
      <c r="O42" s="207"/>
      <c r="V42" s="93"/>
      <c r="W42" s="93"/>
      <c r="X42" s="342"/>
    </row>
    <row r="43" spans="2:24" ht="15" x14ac:dyDescent="0.25">
      <c r="B43" s="210"/>
      <c r="C43" s="211"/>
      <c r="D43" s="211"/>
      <c r="E43" s="211" t="s">
        <v>231</v>
      </c>
      <c r="F43" s="212"/>
      <c r="G43" s="211"/>
      <c r="H43" s="211" t="s">
        <v>993</v>
      </c>
      <c r="I43" s="213" t="s">
        <v>244</v>
      </c>
      <c r="J43" s="211"/>
      <c r="K43" s="211" t="str">
        <f>K9</f>
        <v>M$/Mt/a</v>
      </c>
      <c r="L43" s="211" t="str">
        <f>L9</f>
        <v>M$/Mt/a</v>
      </c>
      <c r="M43" s="211" t="str">
        <f>M9</f>
        <v>M$/Mt</v>
      </c>
      <c r="N43" s="211" t="str">
        <f>General!$D$20</f>
        <v>Years</v>
      </c>
      <c r="O43" s="211"/>
      <c r="V43" s="93"/>
      <c r="W43" s="93"/>
      <c r="X43" s="342"/>
    </row>
    <row r="44" spans="2:24" ht="13.8" x14ac:dyDescent="0.25">
      <c r="B44" s="93" t="str">
        <f>X17</f>
        <v>INDISTPIR_N_ST</v>
      </c>
      <c r="C44" s="93" t="str">
        <f>Y17</f>
        <v>Pig Iron Production Standard (and ferrochrome smelting)</v>
      </c>
      <c r="D44" s="361" t="s">
        <v>141</v>
      </c>
      <c r="E44" s="93"/>
      <c r="F44" s="362">
        <f>G44</f>
        <v>2018</v>
      </c>
      <c r="G44" s="353">
        <v>2018</v>
      </c>
      <c r="H44" s="346">
        <f>R44*$Q$44</f>
        <v>1.5019499999999999</v>
      </c>
      <c r="I44" s="93"/>
      <c r="J44" s="353">
        <v>1</v>
      </c>
      <c r="K44" s="353">
        <f>150*1.12</f>
        <v>168.00000000000003</v>
      </c>
      <c r="L44" s="353">
        <f>10*1.12</f>
        <v>11.200000000000001</v>
      </c>
      <c r="M44" s="370">
        <f>2*1.12</f>
        <v>2.2400000000000002</v>
      </c>
      <c r="N44" s="353">
        <v>50</v>
      </c>
      <c r="O44" s="353">
        <v>0.9</v>
      </c>
      <c r="Q44" s="371">
        <v>0.95</v>
      </c>
      <c r="R44" s="346">
        <v>1.581</v>
      </c>
      <c r="V44" s="93"/>
      <c r="W44" s="93"/>
      <c r="X44" s="342"/>
    </row>
    <row r="45" spans="2:24" ht="13.8" x14ac:dyDescent="0.25">
      <c r="B45" s="93"/>
      <c r="C45" s="93"/>
      <c r="D45" s="93" t="s">
        <v>418</v>
      </c>
      <c r="E45" s="93"/>
      <c r="F45" s="362">
        <f>F44</f>
        <v>2018</v>
      </c>
      <c r="H45" s="346">
        <f t="shared" ref="H45:H50" si="5">R45*$Q$44</f>
        <v>0</v>
      </c>
      <c r="N45" s="93"/>
      <c r="O45" s="93"/>
      <c r="R45" s="346">
        <v>0</v>
      </c>
      <c r="V45" s="93"/>
      <c r="W45" s="93"/>
      <c r="X45" s="342"/>
    </row>
    <row r="46" spans="2:24" ht="13.8" x14ac:dyDescent="0.25">
      <c r="B46" s="93"/>
      <c r="C46" s="93"/>
      <c r="D46" s="93" t="s">
        <v>265</v>
      </c>
      <c r="E46" s="93"/>
      <c r="F46" s="362">
        <f t="shared" ref="F46:F52" si="6">F45</f>
        <v>2018</v>
      </c>
      <c r="H46" s="346">
        <f t="shared" si="5"/>
        <v>0</v>
      </c>
      <c r="R46" s="346">
        <v>0</v>
      </c>
      <c r="V46" s="93"/>
      <c r="W46" s="93"/>
      <c r="X46" s="342"/>
    </row>
    <row r="47" spans="2:24" ht="13.8" x14ac:dyDescent="0.25">
      <c r="B47" s="93"/>
      <c r="C47" s="93"/>
      <c r="D47" s="93" t="s">
        <v>164</v>
      </c>
      <c r="E47" s="93"/>
      <c r="F47" s="362">
        <f t="shared" si="6"/>
        <v>2018</v>
      </c>
      <c r="H47" s="346">
        <f>R47*$Q$44+999</f>
        <v>999</v>
      </c>
      <c r="Q47" s="353" t="s">
        <v>994</v>
      </c>
      <c r="R47" s="346">
        <v>0</v>
      </c>
      <c r="V47" s="93"/>
      <c r="W47" s="93"/>
      <c r="X47" s="342"/>
    </row>
    <row r="48" spans="2:24" ht="13.8" x14ac:dyDescent="0.25">
      <c r="B48" s="93"/>
      <c r="C48" s="93"/>
      <c r="D48" s="93" t="s">
        <v>199</v>
      </c>
      <c r="E48" s="93"/>
      <c r="F48" s="362">
        <f t="shared" si="6"/>
        <v>2018</v>
      </c>
      <c r="H48" s="346">
        <f>R48*$Q$44+999</f>
        <v>999</v>
      </c>
      <c r="R48" s="346">
        <v>0</v>
      </c>
      <c r="V48" s="93"/>
      <c r="W48" s="93"/>
      <c r="X48" s="342"/>
    </row>
    <row r="49" spans="2:24" ht="13.8" x14ac:dyDescent="0.25">
      <c r="B49" s="93"/>
      <c r="C49" s="93"/>
      <c r="D49" s="93" t="s">
        <v>166</v>
      </c>
      <c r="E49" s="93"/>
      <c r="F49" s="362">
        <f t="shared" si="6"/>
        <v>2018</v>
      </c>
      <c r="H49" s="346">
        <f t="shared" si="5"/>
        <v>3.9225499999999993</v>
      </c>
      <c r="R49" s="346">
        <v>4.1289999999999996</v>
      </c>
      <c r="V49" s="93"/>
      <c r="W49" s="93"/>
      <c r="X49" s="342"/>
    </row>
    <row r="50" spans="2:24" ht="13.8" x14ac:dyDescent="0.25">
      <c r="B50" s="93"/>
      <c r="C50" s="93"/>
      <c r="D50" s="93" t="s">
        <v>144</v>
      </c>
      <c r="E50" s="93"/>
      <c r="F50" s="362">
        <f t="shared" si="6"/>
        <v>2018</v>
      </c>
      <c r="H50" s="346">
        <f t="shared" si="5"/>
        <v>10.34835</v>
      </c>
      <c r="R50" s="346">
        <v>10.893000000000001</v>
      </c>
      <c r="V50" s="93"/>
      <c r="W50" s="93"/>
      <c r="X50" s="342"/>
    </row>
    <row r="51" spans="2:24" ht="14.4" x14ac:dyDescent="0.3">
      <c r="B51" s="93"/>
      <c r="C51" s="93"/>
      <c r="D51" s="93" t="s">
        <v>432</v>
      </c>
      <c r="E51" s="93"/>
      <c r="F51" s="362">
        <f t="shared" si="6"/>
        <v>2018</v>
      </c>
      <c r="H51" s="372">
        <v>0.70599999999999996</v>
      </c>
      <c r="V51" s="93"/>
      <c r="W51" s="93"/>
      <c r="X51" s="342"/>
    </row>
    <row r="52" spans="2:24" ht="13.8" x14ac:dyDescent="0.25">
      <c r="B52" s="366"/>
      <c r="C52" s="366"/>
      <c r="D52" s="366"/>
      <c r="E52" s="366" t="s">
        <v>433</v>
      </c>
      <c r="F52" s="367">
        <f t="shared" si="6"/>
        <v>2018</v>
      </c>
      <c r="G52" s="368"/>
      <c r="H52" s="368"/>
      <c r="I52" s="368">
        <v>1</v>
      </c>
      <c r="J52" s="368"/>
      <c r="K52" s="368"/>
      <c r="L52" s="368"/>
      <c r="M52" s="368"/>
      <c r="N52" s="368"/>
      <c r="O52" s="368"/>
      <c r="V52" s="93"/>
      <c r="W52" s="93"/>
      <c r="X52" s="342"/>
    </row>
    <row r="53" spans="2:24" ht="13.8" x14ac:dyDescent="0.25">
      <c r="B53" s="93" t="str">
        <f>X18</f>
        <v>INDISTPIR_N_IM</v>
      </c>
      <c r="C53" s="93" t="str">
        <f>Y18</f>
        <v>Pig Iron Production Improved (and ferrochrome smelting)</v>
      </c>
      <c r="D53" s="361" t="s">
        <v>265</v>
      </c>
      <c r="E53" s="93"/>
      <c r="F53" s="362">
        <f>G53</f>
        <v>2020</v>
      </c>
      <c r="G53" s="353">
        <v>2020</v>
      </c>
      <c r="H53" s="346">
        <v>0</v>
      </c>
      <c r="I53" s="93"/>
      <c r="J53" s="353">
        <v>1</v>
      </c>
      <c r="K53" s="373">
        <f>K44*1.35</f>
        <v>226.80000000000004</v>
      </c>
      <c r="L53" s="373">
        <f>L44</f>
        <v>11.200000000000001</v>
      </c>
      <c r="M53" s="373">
        <f>M44</f>
        <v>2.2400000000000002</v>
      </c>
      <c r="N53" s="353">
        <v>50</v>
      </c>
      <c r="O53" s="353">
        <v>0.9</v>
      </c>
      <c r="Q53" s="371">
        <v>0.85</v>
      </c>
      <c r="R53" s="346">
        <v>1.581</v>
      </c>
      <c r="V53" s="93"/>
      <c r="W53" s="93"/>
      <c r="X53" s="342"/>
    </row>
    <row r="54" spans="2:24" ht="13.8" x14ac:dyDescent="0.25">
      <c r="B54" s="93"/>
      <c r="C54" s="93"/>
      <c r="D54" s="93" t="s">
        <v>418</v>
      </c>
      <c r="E54" s="93"/>
      <c r="F54" s="362">
        <f>F53</f>
        <v>2020</v>
      </c>
      <c r="H54" s="346">
        <f>R54*$Q$53</f>
        <v>0</v>
      </c>
      <c r="N54" s="93"/>
      <c r="O54" s="93"/>
      <c r="R54" s="346">
        <v>0</v>
      </c>
      <c r="V54" s="93"/>
      <c r="W54" s="93"/>
      <c r="X54" s="342"/>
    </row>
    <row r="55" spans="2:24" ht="13.8" x14ac:dyDescent="0.25">
      <c r="B55" s="93"/>
      <c r="C55" s="93"/>
      <c r="D55" s="93" t="s">
        <v>141</v>
      </c>
      <c r="E55" s="93"/>
      <c r="F55" s="362">
        <f t="shared" ref="F55:F61" si="7">F54</f>
        <v>2020</v>
      </c>
      <c r="H55" s="346">
        <f>R55*$Q$53</f>
        <v>0</v>
      </c>
      <c r="R55" s="346">
        <v>0</v>
      </c>
      <c r="V55" s="93"/>
      <c r="W55" s="93"/>
      <c r="X55" s="342"/>
    </row>
    <row r="56" spans="2:24" ht="13.8" x14ac:dyDescent="0.25">
      <c r="B56" s="93"/>
      <c r="C56" s="93"/>
      <c r="D56" s="93" t="s">
        <v>164</v>
      </c>
      <c r="E56" s="93"/>
      <c r="F56" s="362">
        <f t="shared" si="7"/>
        <v>2020</v>
      </c>
      <c r="H56" s="346">
        <f>H44*Q53</f>
        <v>1.2766574999999998</v>
      </c>
      <c r="R56" s="346">
        <v>0</v>
      </c>
      <c r="S56" s="374" t="s">
        <v>1035</v>
      </c>
      <c r="V56" s="93"/>
      <c r="W56" s="93"/>
      <c r="X56" s="342"/>
    </row>
    <row r="57" spans="2:24" ht="13.8" x14ac:dyDescent="0.25">
      <c r="B57" s="93"/>
      <c r="C57" s="93"/>
      <c r="D57" s="93" t="s">
        <v>199</v>
      </c>
      <c r="E57" s="93"/>
      <c r="F57" s="362">
        <f t="shared" si="7"/>
        <v>2020</v>
      </c>
      <c r="H57" s="346">
        <f>R57*$Q$53+999</f>
        <v>999</v>
      </c>
      <c r="R57" s="346">
        <v>0</v>
      </c>
      <c r="V57" s="93"/>
      <c r="W57" s="93"/>
      <c r="X57" s="342"/>
    </row>
    <row r="58" spans="2:24" ht="13.8" x14ac:dyDescent="0.25">
      <c r="B58" s="93"/>
      <c r="C58" s="93"/>
      <c r="D58" s="93" t="s">
        <v>166</v>
      </c>
      <c r="E58" s="93"/>
      <c r="F58" s="362">
        <f t="shared" si="7"/>
        <v>2020</v>
      </c>
      <c r="H58" s="346">
        <f>R58*$Q$53</f>
        <v>3.5096499999999997</v>
      </c>
      <c r="R58" s="346">
        <v>4.1289999999999996</v>
      </c>
      <c r="V58" s="93"/>
      <c r="W58" s="93"/>
      <c r="X58" s="342"/>
    </row>
    <row r="59" spans="2:24" ht="13.8" x14ac:dyDescent="0.25">
      <c r="B59" s="93"/>
      <c r="C59" s="93"/>
      <c r="D59" s="93" t="s">
        <v>144</v>
      </c>
      <c r="E59" s="93"/>
      <c r="F59" s="362">
        <f t="shared" si="7"/>
        <v>2020</v>
      </c>
      <c r="H59" s="346">
        <f>R59*$Q$53</f>
        <v>9.2590500000000002</v>
      </c>
      <c r="R59" s="346">
        <v>10.893000000000001</v>
      </c>
      <c r="V59" s="93"/>
      <c r="W59" s="93"/>
      <c r="X59" s="342"/>
    </row>
    <row r="60" spans="2:24" ht="14.4" x14ac:dyDescent="0.3">
      <c r="B60" s="93"/>
      <c r="C60" s="93"/>
      <c r="D60" s="93" t="s">
        <v>432</v>
      </c>
      <c r="E60" s="93"/>
      <c r="F60" s="362">
        <f t="shared" si="7"/>
        <v>2020</v>
      </c>
      <c r="H60" s="372">
        <f>H51</f>
        <v>0.70599999999999996</v>
      </c>
      <c r="V60" s="93"/>
      <c r="W60" s="93"/>
      <c r="X60" s="342"/>
    </row>
    <row r="61" spans="2:24" ht="13.8" x14ac:dyDescent="0.25">
      <c r="B61" s="366"/>
      <c r="C61" s="366"/>
      <c r="D61" s="366"/>
      <c r="E61" s="366" t="s">
        <v>433</v>
      </c>
      <c r="F61" s="367">
        <f t="shared" si="7"/>
        <v>2020</v>
      </c>
      <c r="G61" s="368"/>
      <c r="H61" s="368"/>
      <c r="I61" s="368">
        <v>1</v>
      </c>
      <c r="J61" s="368"/>
      <c r="K61" s="368"/>
      <c r="L61" s="368"/>
      <c r="M61" s="368"/>
      <c r="N61" s="368"/>
      <c r="O61" s="368"/>
      <c r="V61" s="93"/>
      <c r="W61" s="93"/>
      <c r="X61" s="342"/>
    </row>
    <row r="62" spans="2:24" ht="13.8" x14ac:dyDescent="0.25">
      <c r="B62" s="93" t="str">
        <f>X19</f>
        <v>INDISTDRI_N_AD</v>
      </c>
      <c r="C62" s="93" t="str">
        <f>Y19</f>
        <v>DRI Production Advanced (and ferrochrome smelting)</v>
      </c>
      <c r="D62" s="361" t="s">
        <v>265</v>
      </c>
      <c r="E62" s="93"/>
      <c r="F62" s="362">
        <f>G62</f>
        <v>2025</v>
      </c>
      <c r="G62" s="353">
        <v>2025</v>
      </c>
      <c r="H62" s="271">
        <v>0</v>
      </c>
      <c r="I62" s="93"/>
      <c r="J62" s="353">
        <v>1</v>
      </c>
      <c r="K62" s="370">
        <f>100*1.12*2</f>
        <v>224.00000000000003</v>
      </c>
      <c r="L62" s="373">
        <f>2*1.12</f>
        <v>2.2400000000000002</v>
      </c>
      <c r="M62" s="363">
        <f>1*1.12</f>
        <v>1.1200000000000001</v>
      </c>
      <c r="N62" s="363">
        <v>40</v>
      </c>
      <c r="O62" s="353">
        <v>0.9</v>
      </c>
      <c r="Q62" s="353" t="s">
        <v>1037</v>
      </c>
      <c r="V62" s="93"/>
      <c r="W62" s="93"/>
      <c r="X62" s="342"/>
    </row>
    <row r="63" spans="2:24" ht="13.8" x14ac:dyDescent="0.25">
      <c r="B63" s="93"/>
      <c r="C63" s="93"/>
      <c r="D63" s="93" t="s">
        <v>418</v>
      </c>
      <c r="E63" s="93"/>
      <c r="F63" s="362">
        <f>F62</f>
        <v>2025</v>
      </c>
      <c r="H63" s="271">
        <v>0</v>
      </c>
      <c r="N63" s="93"/>
      <c r="O63" s="93"/>
      <c r="V63" s="93"/>
      <c r="W63" s="93"/>
      <c r="X63" s="342"/>
    </row>
    <row r="64" spans="2:24" ht="13.8" x14ac:dyDescent="0.25">
      <c r="B64" s="93"/>
      <c r="C64" s="93"/>
      <c r="D64" s="93" t="s">
        <v>141</v>
      </c>
      <c r="E64" s="93"/>
      <c r="F64" s="362">
        <f t="shared" ref="F64:F71" si="8">F63</f>
        <v>2025</v>
      </c>
      <c r="H64" s="271">
        <v>0</v>
      </c>
      <c r="V64" s="93"/>
      <c r="W64" s="93"/>
      <c r="X64" s="342"/>
    </row>
    <row r="65" spans="2:24" ht="13.8" x14ac:dyDescent="0.25">
      <c r="B65" s="93"/>
      <c r="C65" s="93"/>
      <c r="D65" s="93" t="s">
        <v>164</v>
      </c>
      <c r="E65" s="93"/>
      <c r="F65" s="362">
        <f t="shared" si="8"/>
        <v>2025</v>
      </c>
      <c r="H65" s="271">
        <v>14</v>
      </c>
      <c r="V65" s="93"/>
      <c r="W65" s="93"/>
      <c r="X65" s="342"/>
    </row>
    <row r="66" spans="2:24" ht="13.8" x14ac:dyDescent="0.25">
      <c r="B66" s="93"/>
      <c r="C66" s="93"/>
      <c r="D66" s="93" t="s">
        <v>199</v>
      </c>
      <c r="E66" s="93"/>
      <c r="F66" s="362">
        <f t="shared" si="8"/>
        <v>2025</v>
      </c>
      <c r="H66" s="271">
        <v>3</v>
      </c>
      <c r="V66" s="93"/>
      <c r="W66" s="93"/>
      <c r="X66" s="342"/>
    </row>
    <row r="67" spans="2:24" ht="13.8" x14ac:dyDescent="0.25">
      <c r="B67" s="93"/>
      <c r="C67" s="93"/>
      <c r="D67" s="93" t="s">
        <v>166</v>
      </c>
      <c r="E67" s="93"/>
      <c r="F67" s="362">
        <f t="shared" si="8"/>
        <v>2025</v>
      </c>
      <c r="H67" s="271">
        <v>0</v>
      </c>
      <c r="V67" s="93"/>
      <c r="W67" s="93"/>
      <c r="X67" s="342"/>
    </row>
    <row r="68" spans="2:24" ht="13.8" x14ac:dyDescent="0.25">
      <c r="B68" s="93"/>
      <c r="C68" s="93"/>
      <c r="D68" s="93" t="s">
        <v>144</v>
      </c>
      <c r="E68" s="93"/>
      <c r="F68" s="362">
        <f t="shared" si="8"/>
        <v>2025</v>
      </c>
      <c r="H68" s="271">
        <v>0</v>
      </c>
      <c r="V68" s="93"/>
      <c r="W68" s="93"/>
      <c r="X68" s="342"/>
    </row>
    <row r="69" spans="2:24" ht="13.8" x14ac:dyDescent="0.25">
      <c r="B69" s="93"/>
      <c r="C69" s="93"/>
      <c r="D69" s="93" t="str">
        <f>D112</f>
        <v>MATFSC</v>
      </c>
      <c r="E69" s="93"/>
      <c r="F69" s="362">
        <f t="shared" si="8"/>
        <v>2025</v>
      </c>
      <c r="H69" s="271">
        <v>0.03</v>
      </c>
      <c r="V69" s="93"/>
      <c r="W69" s="93"/>
      <c r="X69" s="342"/>
    </row>
    <row r="70" spans="2:24" ht="14.4" x14ac:dyDescent="0.3">
      <c r="B70" s="93"/>
      <c r="C70" s="93"/>
      <c r="D70" s="375" t="s">
        <v>431</v>
      </c>
      <c r="E70" s="93"/>
      <c r="F70" s="362">
        <f t="shared" si="8"/>
        <v>2025</v>
      </c>
      <c r="H70" s="271">
        <v>1.3</v>
      </c>
      <c r="V70" s="93"/>
      <c r="W70" s="93"/>
      <c r="X70" s="342"/>
    </row>
    <row r="71" spans="2:24" ht="13.8" x14ac:dyDescent="0.25">
      <c r="B71" s="366"/>
      <c r="C71" s="366"/>
      <c r="D71" s="366"/>
      <c r="E71" s="366" t="str">
        <f>E96</f>
        <v>MATCST</v>
      </c>
      <c r="F71" s="367">
        <f t="shared" si="8"/>
        <v>2025</v>
      </c>
      <c r="G71" s="368"/>
      <c r="H71" s="368"/>
      <c r="I71" s="368">
        <v>1</v>
      </c>
      <c r="J71" s="368"/>
      <c r="K71" s="368"/>
      <c r="L71" s="368"/>
      <c r="M71" s="368"/>
      <c r="N71" s="368"/>
      <c r="O71" s="368"/>
      <c r="V71" s="93"/>
      <c r="W71" s="93"/>
      <c r="X71" s="342"/>
    </row>
    <row r="72" spans="2:24" ht="13.8" x14ac:dyDescent="0.25">
      <c r="B72" s="93" t="str">
        <f>X20</f>
        <v>INDISTDRI_NH2_AD</v>
      </c>
      <c r="C72" s="93" t="str">
        <f>Y20</f>
        <v>DRI Production Advanced (and ferrochrome smelting) - H2</v>
      </c>
      <c r="D72" s="361" t="str">
        <f>IND_OTH!D111</f>
        <v>INDH2G</v>
      </c>
      <c r="E72" s="93"/>
      <c r="F72" s="362">
        <f>G72</f>
        <v>2035</v>
      </c>
      <c r="G72" s="353">
        <v>2035</v>
      </c>
      <c r="H72" s="271">
        <f>H65</f>
        <v>14</v>
      </c>
      <c r="I72" s="93"/>
      <c r="J72" s="353">
        <f>J62</f>
        <v>1</v>
      </c>
      <c r="K72" s="370">
        <f>K62*2</f>
        <v>448.00000000000006</v>
      </c>
      <c r="L72" s="373">
        <f>L62</f>
        <v>2.2400000000000002</v>
      </c>
      <c r="M72" s="363">
        <f t="shared" ref="M72:N72" si="9">M62</f>
        <v>1.1200000000000001</v>
      </c>
      <c r="N72" s="363">
        <f t="shared" si="9"/>
        <v>40</v>
      </c>
      <c r="O72" s="353">
        <v>0.75</v>
      </c>
      <c r="V72" s="93"/>
      <c r="W72" s="93"/>
      <c r="X72" s="342"/>
    </row>
    <row r="73" spans="2:24" ht="13.8" x14ac:dyDescent="0.25">
      <c r="B73" s="93"/>
      <c r="C73" s="93"/>
      <c r="D73" s="93" t="str">
        <f>D66</f>
        <v>INDELC</v>
      </c>
      <c r="E73" s="93"/>
      <c r="F73" s="362">
        <f>F72</f>
        <v>2035</v>
      </c>
      <c r="H73" s="271">
        <f>H66</f>
        <v>3</v>
      </c>
      <c r="N73" s="93"/>
      <c r="O73" s="93"/>
      <c r="V73" s="93"/>
      <c r="W73" s="93"/>
      <c r="X73" s="342"/>
    </row>
    <row r="74" spans="2:24" ht="13.8" x14ac:dyDescent="0.25">
      <c r="B74" s="93"/>
      <c r="C74" s="93"/>
      <c r="D74" s="93" t="str">
        <f>D69</f>
        <v>MATFSC</v>
      </c>
      <c r="E74" s="93"/>
      <c r="F74" s="362">
        <f>F73</f>
        <v>2035</v>
      </c>
      <c r="H74" s="271">
        <f>H69</f>
        <v>0.03</v>
      </c>
      <c r="V74" s="93"/>
      <c r="W74" s="93"/>
      <c r="X74" s="342"/>
    </row>
    <row r="75" spans="2:24" ht="14.4" x14ac:dyDescent="0.3">
      <c r="B75" s="93"/>
      <c r="C75" s="93"/>
      <c r="D75" s="375" t="s">
        <v>431</v>
      </c>
      <c r="E75" s="93"/>
      <c r="F75" s="362">
        <f>F74</f>
        <v>2035</v>
      </c>
      <c r="H75" s="271">
        <v>1.3</v>
      </c>
      <c r="V75" s="93"/>
      <c r="W75" s="93"/>
      <c r="X75" s="342"/>
    </row>
    <row r="76" spans="2:24" ht="13.8" x14ac:dyDescent="0.25">
      <c r="B76" s="376"/>
      <c r="C76" s="376"/>
      <c r="D76" s="376"/>
      <c r="E76" s="376" t="str">
        <f>E71</f>
        <v>MATCST</v>
      </c>
      <c r="F76" s="367">
        <f>F75</f>
        <v>2035</v>
      </c>
      <c r="G76" s="377"/>
      <c r="H76" s="378"/>
      <c r="I76" s="376">
        <f>I71</f>
        <v>1</v>
      </c>
      <c r="J76" s="377"/>
      <c r="K76" s="379"/>
      <c r="L76" s="380"/>
      <c r="M76" s="381"/>
      <c r="N76" s="381"/>
      <c r="O76" s="377"/>
      <c r="V76" s="93"/>
      <c r="W76" s="93"/>
      <c r="X76" s="342"/>
    </row>
    <row r="77" spans="2:24" ht="13.8" x14ac:dyDescent="0.25">
      <c r="V77" s="93"/>
      <c r="W77" s="93"/>
      <c r="X77" s="342"/>
    </row>
    <row r="78" spans="2:24" ht="13.8" x14ac:dyDescent="0.25">
      <c r="V78" s="93"/>
      <c r="W78" s="93"/>
      <c r="X78" s="342"/>
    </row>
    <row r="79" spans="2:24" ht="13.8" x14ac:dyDescent="0.25">
      <c r="V79" s="93"/>
      <c r="W79" s="93"/>
      <c r="X79" s="342"/>
    </row>
    <row r="80" spans="2:24" ht="13.8" x14ac:dyDescent="0.25">
      <c r="V80" s="93"/>
      <c r="W80" s="93"/>
      <c r="X80" s="342"/>
    </row>
    <row r="81" spans="2:24" ht="13.8" x14ac:dyDescent="0.25">
      <c r="V81" s="93"/>
      <c r="W81" s="93"/>
      <c r="X81" s="342"/>
    </row>
    <row r="82" spans="2:24" ht="13.8" x14ac:dyDescent="0.25">
      <c r="V82" s="93"/>
      <c r="W82" s="93"/>
      <c r="X82" s="342"/>
    </row>
    <row r="83" spans="2:24" ht="13.8" x14ac:dyDescent="0.25">
      <c r="V83" s="93"/>
      <c r="W83" s="93"/>
      <c r="X83" s="342"/>
    </row>
    <row r="84" spans="2:24" ht="13.8" x14ac:dyDescent="0.25">
      <c r="B84" s="93"/>
      <c r="C84" s="93"/>
      <c r="D84" s="93"/>
      <c r="E84" s="197"/>
      <c r="F84" s="355" t="s">
        <v>0</v>
      </c>
      <c r="G84" s="355"/>
      <c r="H84" s="198"/>
      <c r="I84" s="198"/>
      <c r="J84" s="198"/>
      <c r="K84" s="199"/>
      <c r="L84" s="199"/>
      <c r="M84" s="199"/>
      <c r="N84" s="93"/>
      <c r="O84" s="93"/>
      <c r="V84" s="93"/>
      <c r="W84" s="93"/>
      <c r="X84" s="342"/>
    </row>
    <row r="85" spans="2:24" ht="13.8" x14ac:dyDescent="0.25">
      <c r="B85" s="200" t="s">
        <v>1</v>
      </c>
      <c r="C85" s="201" t="s">
        <v>227</v>
      </c>
      <c r="D85" s="200" t="s">
        <v>3</v>
      </c>
      <c r="E85" s="200" t="s">
        <v>4</v>
      </c>
      <c r="F85" s="202" t="s">
        <v>233</v>
      </c>
      <c r="G85" s="357" t="s">
        <v>14</v>
      </c>
      <c r="H85" s="204" t="s">
        <v>250</v>
      </c>
      <c r="I85" s="205" t="s">
        <v>273</v>
      </c>
      <c r="J85" s="204" t="s">
        <v>50</v>
      </c>
      <c r="K85" s="204" t="s">
        <v>36</v>
      </c>
      <c r="L85" s="204" t="s">
        <v>5</v>
      </c>
      <c r="M85" s="204" t="s">
        <v>34</v>
      </c>
      <c r="N85" s="204" t="s">
        <v>48</v>
      </c>
      <c r="O85" s="204" t="s">
        <v>297</v>
      </c>
      <c r="V85" s="93"/>
      <c r="W85" s="93"/>
      <c r="X85" s="342"/>
    </row>
    <row r="86" spans="2:24" ht="28.2" thickBot="1" x14ac:dyDescent="0.3">
      <c r="B86" s="207" t="s">
        <v>234</v>
      </c>
      <c r="C86" s="207" t="s">
        <v>28</v>
      </c>
      <c r="D86" s="207" t="s">
        <v>32</v>
      </c>
      <c r="E86" s="207" t="s">
        <v>33</v>
      </c>
      <c r="F86" s="208"/>
      <c r="G86" s="209" t="s">
        <v>35</v>
      </c>
      <c r="H86" s="207" t="s">
        <v>251</v>
      </c>
      <c r="I86" s="207"/>
      <c r="J86" s="207" t="s">
        <v>329</v>
      </c>
      <c r="K86" s="207" t="s">
        <v>37</v>
      </c>
      <c r="L86" s="207" t="s">
        <v>38</v>
      </c>
      <c r="M86" s="207" t="s">
        <v>39</v>
      </c>
      <c r="N86" s="207" t="s">
        <v>218</v>
      </c>
      <c r="O86" s="207"/>
      <c r="V86" s="93"/>
      <c r="W86" s="93"/>
      <c r="X86" s="342"/>
    </row>
    <row r="87" spans="2:24" ht="15" x14ac:dyDescent="0.25">
      <c r="B87" s="210"/>
      <c r="C87" s="211"/>
      <c r="D87" s="211"/>
      <c r="E87" s="211" t="s">
        <v>231</v>
      </c>
      <c r="F87" s="212"/>
      <c r="G87" s="211"/>
      <c r="H87" s="211" t="s">
        <v>993</v>
      </c>
      <c r="I87" s="213" t="s">
        <v>244</v>
      </c>
      <c r="J87" s="211"/>
      <c r="K87" s="211" t="str">
        <f>K43</f>
        <v>M$/Mt/a</v>
      </c>
      <c r="L87" s="211" t="str">
        <f t="shared" ref="L87:M87" si="10">L43</f>
        <v>M$/Mt/a</v>
      </c>
      <c r="M87" s="211" t="str">
        <f t="shared" si="10"/>
        <v>M$/Mt</v>
      </c>
      <c r="N87" s="211" t="str">
        <f>General!$D$20</f>
        <v>Years</v>
      </c>
      <c r="O87" s="211"/>
      <c r="V87" s="93"/>
      <c r="W87" s="93"/>
      <c r="X87" s="342"/>
    </row>
    <row r="88" spans="2:24" ht="13.8" x14ac:dyDescent="0.25">
      <c r="B88" s="93" t="str">
        <f>X21</f>
        <v>INDISTCST_N_ST</v>
      </c>
      <c r="C88" s="93" t="str">
        <f>Y21</f>
        <v>Crude Steel Production Standard</v>
      </c>
      <c r="D88" s="361" t="s">
        <v>265</v>
      </c>
      <c r="E88" s="93"/>
      <c r="F88" s="362">
        <f>G88</f>
        <v>2018</v>
      </c>
      <c r="G88" s="353">
        <v>2018</v>
      </c>
      <c r="H88" s="346">
        <v>0</v>
      </c>
      <c r="I88" s="93"/>
      <c r="J88" s="353">
        <v>1</v>
      </c>
      <c r="K88" s="382">
        <f>100*1.12</f>
        <v>112.00000000000001</v>
      </c>
      <c r="L88" s="370">
        <f>4*1.12</f>
        <v>4.4800000000000004</v>
      </c>
      <c r="M88" s="370">
        <f>50*1.12</f>
        <v>56.000000000000007</v>
      </c>
      <c r="N88" s="353">
        <v>50</v>
      </c>
      <c r="O88" s="353">
        <v>0.9</v>
      </c>
      <c r="V88" s="93"/>
      <c r="W88" s="93"/>
      <c r="X88" s="342"/>
    </row>
    <row r="89" spans="2:24" ht="13.8" x14ac:dyDescent="0.25">
      <c r="B89" s="93"/>
      <c r="C89" s="93"/>
      <c r="D89" s="93" t="s">
        <v>418</v>
      </c>
      <c r="E89" s="93"/>
      <c r="F89" s="362">
        <f>F88</f>
        <v>2018</v>
      </c>
      <c r="H89" s="346">
        <v>0.67</v>
      </c>
      <c r="K89" s="383"/>
      <c r="L89" s="370"/>
      <c r="M89" s="370"/>
      <c r="N89" s="93"/>
      <c r="O89" s="93"/>
      <c r="Q89" s="353" t="s">
        <v>995</v>
      </c>
      <c r="V89" s="93"/>
      <c r="W89" s="93"/>
      <c r="X89" s="342"/>
    </row>
    <row r="90" spans="2:24" ht="13.8" x14ac:dyDescent="0.25">
      <c r="B90" s="93"/>
      <c r="C90" s="93"/>
      <c r="D90" s="93" t="s">
        <v>141</v>
      </c>
      <c r="E90" s="93"/>
      <c r="F90" s="362">
        <f t="shared" ref="F90:F96" si="11">F89</f>
        <v>2018</v>
      </c>
      <c r="H90" s="346">
        <v>0</v>
      </c>
      <c r="K90" s="383"/>
      <c r="L90" s="370"/>
      <c r="M90" s="370"/>
      <c r="V90" s="93"/>
      <c r="W90" s="93"/>
      <c r="X90" s="342"/>
    </row>
    <row r="91" spans="2:24" ht="13.8" x14ac:dyDescent="0.25">
      <c r="B91" s="93"/>
      <c r="C91" s="93"/>
      <c r="D91" s="93" t="s">
        <v>164</v>
      </c>
      <c r="E91" s="93"/>
      <c r="F91" s="362">
        <f t="shared" si="11"/>
        <v>2018</v>
      </c>
      <c r="H91" s="346">
        <v>0.17799999999999999</v>
      </c>
      <c r="K91" s="383"/>
      <c r="L91" s="370"/>
      <c r="M91" s="370"/>
      <c r="V91" s="93"/>
      <c r="W91" s="93"/>
      <c r="X91" s="342"/>
    </row>
    <row r="92" spans="2:24" ht="13.8" x14ac:dyDescent="0.25">
      <c r="B92" s="93"/>
      <c r="C92" s="93"/>
      <c r="D92" s="93" t="s">
        <v>199</v>
      </c>
      <c r="E92" s="93"/>
      <c r="F92" s="362">
        <f t="shared" si="11"/>
        <v>2018</v>
      </c>
      <c r="H92" s="346">
        <v>0.92900000000000005</v>
      </c>
      <c r="K92" s="383"/>
      <c r="L92" s="370"/>
      <c r="M92" s="370"/>
      <c r="V92" s="93"/>
      <c r="W92" s="93"/>
      <c r="X92" s="342"/>
    </row>
    <row r="93" spans="2:24" ht="13.8" x14ac:dyDescent="0.25">
      <c r="B93" s="93"/>
      <c r="C93" s="93"/>
      <c r="D93" s="93" t="s">
        <v>166</v>
      </c>
      <c r="E93" s="93"/>
      <c r="F93" s="362">
        <f t="shared" si="11"/>
        <v>2018</v>
      </c>
      <c r="H93" s="346">
        <v>0.80800000000000005</v>
      </c>
      <c r="K93" s="383"/>
      <c r="L93" s="370"/>
      <c r="M93" s="370"/>
      <c r="V93" s="93"/>
      <c r="W93" s="93"/>
      <c r="X93" s="342"/>
    </row>
    <row r="94" spans="2:24" ht="13.8" x14ac:dyDescent="0.25">
      <c r="B94" s="93"/>
      <c r="C94" s="93"/>
      <c r="D94" s="93" t="s">
        <v>144</v>
      </c>
      <c r="E94" s="93"/>
      <c r="F94" s="362">
        <f t="shared" si="11"/>
        <v>2018</v>
      </c>
      <c r="H94" s="346">
        <v>0.72899999999999998</v>
      </c>
      <c r="K94" s="383"/>
      <c r="L94" s="370"/>
      <c r="M94" s="370"/>
      <c r="V94" s="93"/>
      <c r="W94" s="93"/>
      <c r="X94" s="342"/>
    </row>
    <row r="95" spans="2:24" ht="14.4" x14ac:dyDescent="0.3">
      <c r="B95" s="93"/>
      <c r="C95" s="93"/>
      <c r="D95" s="93" t="s">
        <v>433</v>
      </c>
      <c r="E95" s="93"/>
      <c r="F95" s="362">
        <f t="shared" si="11"/>
        <v>2018</v>
      </c>
      <c r="H95" s="372">
        <v>1.415</v>
      </c>
      <c r="K95" s="383"/>
      <c r="L95" s="370"/>
      <c r="M95" s="370"/>
      <c r="V95" s="93"/>
      <c r="W95" s="93"/>
      <c r="X95" s="342"/>
    </row>
    <row r="96" spans="2:24" ht="13.8" x14ac:dyDescent="0.25">
      <c r="B96" s="366"/>
      <c r="C96" s="366"/>
      <c r="D96" s="366"/>
      <c r="E96" s="366" t="s">
        <v>434</v>
      </c>
      <c r="F96" s="367">
        <f t="shared" si="11"/>
        <v>2018</v>
      </c>
      <c r="G96" s="368"/>
      <c r="H96" s="368"/>
      <c r="I96" s="368">
        <v>1</v>
      </c>
      <c r="J96" s="368"/>
      <c r="K96" s="384"/>
      <c r="L96" s="385"/>
      <c r="M96" s="385"/>
      <c r="N96" s="368"/>
      <c r="O96" s="368"/>
      <c r="V96" s="93"/>
      <c r="W96" s="93"/>
      <c r="X96" s="342"/>
    </row>
    <row r="97" spans="2:24" ht="13.8" x14ac:dyDescent="0.25">
      <c r="B97" s="93" t="str">
        <f>X22</f>
        <v>INDISTCST_N_IM</v>
      </c>
      <c r="C97" s="93" t="str">
        <f>Y22</f>
        <v>Crude Steel Production Improved</v>
      </c>
      <c r="D97" s="361" t="s">
        <v>265</v>
      </c>
      <c r="E97" s="93"/>
      <c r="F97" s="362">
        <f>G97</f>
        <v>2020</v>
      </c>
      <c r="G97" s="353">
        <v>2020</v>
      </c>
      <c r="H97" s="386">
        <f>R97*$Q$98</f>
        <v>0</v>
      </c>
      <c r="I97" s="93"/>
      <c r="J97" s="353">
        <v>1</v>
      </c>
      <c r="K97" s="382">
        <f>K88*1.3</f>
        <v>145.60000000000002</v>
      </c>
      <c r="L97" s="370">
        <f>L88</f>
        <v>4.4800000000000004</v>
      </c>
      <c r="M97" s="370">
        <f>M88</f>
        <v>56.000000000000007</v>
      </c>
      <c r="N97" s="353">
        <v>50</v>
      </c>
      <c r="O97" s="353">
        <v>0.9</v>
      </c>
      <c r="Q97" s="353" t="s">
        <v>1039</v>
      </c>
      <c r="R97" s="346">
        <v>0</v>
      </c>
      <c r="V97" s="93"/>
      <c r="W97" s="93"/>
      <c r="X97" s="342"/>
    </row>
    <row r="98" spans="2:24" ht="13.8" x14ac:dyDescent="0.25">
      <c r="B98" s="93"/>
      <c r="C98" s="93"/>
      <c r="D98" s="93" t="s">
        <v>418</v>
      </c>
      <c r="E98" s="93"/>
      <c r="F98" s="362">
        <f>F97</f>
        <v>2020</v>
      </c>
      <c r="H98" s="386">
        <f t="shared" ref="H98:H103" si="12">R98*$Q$98</f>
        <v>0.60300000000000009</v>
      </c>
      <c r="K98" s="383"/>
      <c r="L98" s="370"/>
      <c r="M98" s="370"/>
      <c r="N98" s="93"/>
      <c r="O98" s="93"/>
      <c r="Q98" s="371">
        <f>1-10%</f>
        <v>0.9</v>
      </c>
      <c r="R98" s="346">
        <v>0.67</v>
      </c>
      <c r="V98" s="93"/>
      <c r="W98" s="93"/>
      <c r="X98" s="342"/>
    </row>
    <row r="99" spans="2:24" ht="13.8" x14ac:dyDescent="0.25">
      <c r="B99" s="93"/>
      <c r="C99" s="93"/>
      <c r="D99" s="93" t="s">
        <v>141</v>
      </c>
      <c r="E99" s="93"/>
      <c r="F99" s="362">
        <f t="shared" ref="F99:F105" si="13">F98</f>
        <v>2020</v>
      </c>
      <c r="H99" s="386">
        <f t="shared" si="12"/>
        <v>0</v>
      </c>
      <c r="K99" s="383"/>
      <c r="L99" s="370"/>
      <c r="M99" s="370"/>
      <c r="R99" s="346">
        <v>0</v>
      </c>
      <c r="V99" s="93"/>
      <c r="W99" s="93"/>
      <c r="X99" s="342"/>
    </row>
    <row r="100" spans="2:24" ht="13.8" x14ac:dyDescent="0.25">
      <c r="B100" s="93"/>
      <c r="C100" s="93"/>
      <c r="D100" s="93" t="s">
        <v>164</v>
      </c>
      <c r="E100" s="93"/>
      <c r="F100" s="362">
        <f t="shared" si="13"/>
        <v>2020</v>
      </c>
      <c r="H100" s="386">
        <f t="shared" si="12"/>
        <v>0.16020000000000001</v>
      </c>
      <c r="K100" s="383"/>
      <c r="L100" s="370"/>
      <c r="M100" s="370"/>
      <c r="R100" s="346">
        <v>0.17799999999999999</v>
      </c>
      <c r="V100" s="93"/>
      <c r="W100" s="93"/>
      <c r="X100" s="342"/>
    </row>
    <row r="101" spans="2:24" ht="13.8" x14ac:dyDescent="0.25">
      <c r="B101" s="93"/>
      <c r="C101" s="93"/>
      <c r="D101" s="93" t="s">
        <v>199</v>
      </c>
      <c r="E101" s="93"/>
      <c r="F101" s="362">
        <f t="shared" si="13"/>
        <v>2020</v>
      </c>
      <c r="H101" s="386">
        <f t="shared" si="12"/>
        <v>0.83610000000000007</v>
      </c>
      <c r="K101" s="383"/>
      <c r="L101" s="370"/>
      <c r="M101" s="370"/>
      <c r="R101" s="346">
        <v>0.92900000000000005</v>
      </c>
      <c r="V101" s="93"/>
      <c r="W101" s="93"/>
      <c r="X101" s="342"/>
    </row>
    <row r="102" spans="2:24" ht="13.8" x14ac:dyDescent="0.25">
      <c r="B102" s="93"/>
      <c r="C102" s="93"/>
      <c r="D102" s="93" t="s">
        <v>166</v>
      </c>
      <c r="E102" s="93"/>
      <c r="F102" s="362">
        <f t="shared" si="13"/>
        <v>2020</v>
      </c>
      <c r="H102" s="386">
        <f t="shared" si="12"/>
        <v>0.72720000000000007</v>
      </c>
      <c r="K102" s="383"/>
      <c r="L102" s="370"/>
      <c r="M102" s="370"/>
      <c r="R102" s="346">
        <v>0.80800000000000005</v>
      </c>
      <c r="V102" s="93"/>
      <c r="W102" s="93"/>
      <c r="X102" s="342"/>
    </row>
    <row r="103" spans="2:24" ht="13.8" x14ac:dyDescent="0.25">
      <c r="B103" s="93"/>
      <c r="C103" s="93"/>
      <c r="D103" s="93" t="s">
        <v>144</v>
      </c>
      <c r="E103" s="93"/>
      <c r="F103" s="362">
        <f t="shared" si="13"/>
        <v>2020</v>
      </c>
      <c r="H103" s="386">
        <f t="shared" si="12"/>
        <v>0.65610000000000002</v>
      </c>
      <c r="K103" s="383"/>
      <c r="L103" s="370"/>
      <c r="M103" s="370"/>
      <c r="R103" s="346">
        <v>0.72899999999999998</v>
      </c>
      <c r="V103" s="93"/>
      <c r="W103" s="93"/>
      <c r="X103" s="342"/>
    </row>
    <row r="104" spans="2:24" ht="14.4" x14ac:dyDescent="0.3">
      <c r="B104" s="93"/>
      <c r="C104" s="93"/>
      <c r="D104" s="93" t="s">
        <v>433</v>
      </c>
      <c r="E104" s="93"/>
      <c r="F104" s="362">
        <f t="shared" si="13"/>
        <v>2020</v>
      </c>
      <c r="H104" s="387">
        <f>H95</f>
        <v>1.415</v>
      </c>
      <c r="K104" s="383"/>
      <c r="L104" s="370"/>
      <c r="M104" s="370"/>
      <c r="R104" s="346">
        <v>1.415</v>
      </c>
      <c r="V104" s="93"/>
      <c r="W104" s="93"/>
      <c r="X104" s="342"/>
    </row>
    <row r="105" spans="2:24" ht="13.8" x14ac:dyDescent="0.25">
      <c r="B105" s="366"/>
      <c r="C105" s="366"/>
      <c r="D105" s="366"/>
      <c r="E105" s="366" t="s">
        <v>434</v>
      </c>
      <c r="F105" s="367">
        <f t="shared" si="13"/>
        <v>2020</v>
      </c>
      <c r="G105" s="368"/>
      <c r="H105" s="368"/>
      <c r="I105" s="368">
        <v>1</v>
      </c>
      <c r="J105" s="368"/>
      <c r="K105" s="384"/>
      <c r="L105" s="385"/>
      <c r="M105" s="385"/>
      <c r="N105" s="368"/>
      <c r="O105" s="368"/>
      <c r="V105" s="93"/>
      <c r="W105" s="93"/>
      <c r="X105" s="342"/>
    </row>
    <row r="106" spans="2:24" ht="13.8" x14ac:dyDescent="0.25">
      <c r="B106" s="93" t="str">
        <f>X23</f>
        <v>INDISTCST_N_EAF</v>
      </c>
      <c r="C106" s="93" t="str">
        <f>Y23</f>
        <v>Crude Steel Production_EAF</v>
      </c>
      <c r="D106" s="361" t="s">
        <v>265</v>
      </c>
      <c r="E106" s="93"/>
      <c r="F106" s="362">
        <f>G106</f>
        <v>2030</v>
      </c>
      <c r="G106" s="353">
        <v>2030</v>
      </c>
      <c r="H106" s="346">
        <v>0</v>
      </c>
      <c r="I106" s="93"/>
      <c r="J106" s="353">
        <v>1</v>
      </c>
      <c r="K106" s="382">
        <f>150*1.12</f>
        <v>168.00000000000003</v>
      </c>
      <c r="L106" s="370">
        <f>4*1.12</f>
        <v>4.4800000000000004</v>
      </c>
      <c r="M106" s="370">
        <f>25*1.12</f>
        <v>28.000000000000004</v>
      </c>
      <c r="N106" s="363">
        <v>40</v>
      </c>
      <c r="O106" s="370">
        <v>0.9</v>
      </c>
      <c r="V106" s="93"/>
      <c r="W106" s="93"/>
      <c r="X106" s="342"/>
    </row>
    <row r="107" spans="2:24" ht="13.8" x14ac:dyDescent="0.25">
      <c r="B107" s="93"/>
      <c r="C107" s="93"/>
      <c r="D107" s="93" t="s">
        <v>418</v>
      </c>
      <c r="E107" s="93"/>
      <c r="F107" s="362">
        <f>F106</f>
        <v>2030</v>
      </c>
      <c r="H107" s="346">
        <v>0</v>
      </c>
      <c r="N107" s="93"/>
      <c r="O107" s="93"/>
      <c r="Q107" s="353" t="s">
        <v>1036</v>
      </c>
      <c r="V107" s="93"/>
      <c r="W107" s="93"/>
      <c r="X107" s="342"/>
    </row>
    <row r="108" spans="2:24" ht="13.8" x14ac:dyDescent="0.25">
      <c r="B108" s="93"/>
      <c r="C108" s="93"/>
      <c r="D108" s="93" t="s">
        <v>141</v>
      </c>
      <c r="E108" s="93"/>
      <c r="F108" s="362">
        <f t="shared" ref="F108:F114" si="14">F107</f>
        <v>2030</v>
      </c>
      <c r="H108" s="346">
        <v>0</v>
      </c>
      <c r="V108" s="93"/>
      <c r="W108" s="93"/>
      <c r="X108" s="342"/>
    </row>
    <row r="109" spans="2:24" ht="13.8" x14ac:dyDescent="0.25">
      <c r="B109" s="93"/>
      <c r="C109" s="93"/>
      <c r="D109" s="93" t="s">
        <v>164</v>
      </c>
      <c r="E109" s="93"/>
      <c r="F109" s="362">
        <f t="shared" si="14"/>
        <v>2030</v>
      </c>
      <c r="H109" s="346">
        <v>0.5</v>
      </c>
      <c r="V109" s="93"/>
      <c r="W109" s="93"/>
      <c r="X109" s="342"/>
    </row>
    <row r="110" spans="2:24" ht="13.8" x14ac:dyDescent="0.25">
      <c r="B110" s="93"/>
      <c r="C110" s="93"/>
      <c r="D110" s="93" t="s">
        <v>199</v>
      </c>
      <c r="E110" s="93"/>
      <c r="F110" s="362">
        <f t="shared" si="14"/>
        <v>2030</v>
      </c>
      <c r="H110" s="346">
        <v>2</v>
      </c>
      <c r="V110" s="93"/>
      <c r="W110" s="93"/>
      <c r="X110" s="342"/>
    </row>
    <row r="111" spans="2:24" ht="13.8" x14ac:dyDescent="0.25">
      <c r="B111" s="93"/>
      <c r="C111" s="93"/>
      <c r="D111" s="93" t="s">
        <v>166</v>
      </c>
      <c r="E111" s="93"/>
      <c r="F111" s="362">
        <f t="shared" si="14"/>
        <v>2030</v>
      </c>
      <c r="H111" s="346">
        <v>0</v>
      </c>
      <c r="V111" s="93"/>
      <c r="W111" s="93"/>
      <c r="X111" s="342"/>
    </row>
    <row r="112" spans="2:24" ht="13.8" x14ac:dyDescent="0.25">
      <c r="B112" s="93"/>
      <c r="C112" s="93"/>
      <c r="D112" s="93" t="s">
        <v>1000</v>
      </c>
      <c r="E112" s="93"/>
      <c r="F112" s="362">
        <f t="shared" si="14"/>
        <v>2030</v>
      </c>
      <c r="H112" s="346">
        <v>1.5</v>
      </c>
      <c r="V112" s="93"/>
      <c r="W112" s="93"/>
      <c r="X112" s="342"/>
    </row>
    <row r="113" spans="2:24" ht="13.8" x14ac:dyDescent="0.25">
      <c r="B113" s="93"/>
      <c r="C113" s="93"/>
      <c r="D113" s="93" t="s">
        <v>999</v>
      </c>
      <c r="E113" s="93"/>
      <c r="F113" s="362">
        <f t="shared" si="14"/>
        <v>2030</v>
      </c>
      <c r="H113" s="346">
        <v>0</v>
      </c>
      <c r="V113" s="93"/>
      <c r="W113" s="93"/>
      <c r="X113" s="342"/>
    </row>
    <row r="114" spans="2:24" ht="13.8" x14ac:dyDescent="0.25">
      <c r="B114" s="366"/>
      <c r="C114" s="366"/>
      <c r="D114" s="366"/>
      <c r="E114" s="366" t="s">
        <v>434</v>
      </c>
      <c r="F114" s="367">
        <f t="shared" si="14"/>
        <v>2030</v>
      </c>
      <c r="G114" s="368"/>
      <c r="H114" s="368"/>
      <c r="I114" s="368">
        <v>1</v>
      </c>
      <c r="J114" s="368"/>
      <c r="K114" s="368"/>
      <c r="L114" s="368"/>
      <c r="M114" s="368"/>
      <c r="N114" s="368"/>
      <c r="O114" s="368"/>
      <c r="V114" s="93"/>
      <c r="W114" s="93"/>
      <c r="X114" s="342"/>
    </row>
    <row r="115" spans="2:24" ht="13.8" x14ac:dyDescent="0.25">
      <c r="V115" s="93"/>
      <c r="W115" s="93"/>
      <c r="X115" s="342"/>
    </row>
    <row r="116" spans="2:24" ht="13.8" x14ac:dyDescent="0.25">
      <c r="V116" s="93"/>
      <c r="W116" s="93"/>
      <c r="X116" s="342"/>
    </row>
    <row r="117" spans="2:24" ht="13.8" x14ac:dyDescent="0.25">
      <c r="V117" s="93"/>
      <c r="W117" s="93"/>
      <c r="X117" s="342"/>
    </row>
    <row r="118" spans="2:24" ht="13.8" x14ac:dyDescent="0.25">
      <c r="B118" s="93"/>
      <c r="C118" s="93"/>
      <c r="D118" s="93"/>
      <c r="E118" s="197"/>
      <c r="F118" s="355" t="s">
        <v>0</v>
      </c>
      <c r="G118" s="355"/>
      <c r="H118" s="198"/>
      <c r="I118" s="198"/>
      <c r="J118" s="198"/>
      <c r="K118" s="199"/>
      <c r="L118" s="199"/>
      <c r="M118" s="199"/>
      <c r="N118" s="93"/>
      <c r="O118" s="93"/>
      <c r="V118" s="93"/>
      <c r="W118" s="93"/>
      <c r="X118" s="342"/>
    </row>
    <row r="119" spans="2:24" ht="13.8" x14ac:dyDescent="0.25">
      <c r="B119" s="200" t="s">
        <v>1</v>
      </c>
      <c r="C119" s="201" t="s">
        <v>227</v>
      </c>
      <c r="D119" s="200" t="s">
        <v>3</v>
      </c>
      <c r="E119" s="200" t="s">
        <v>4</v>
      </c>
      <c r="F119" s="202" t="s">
        <v>233</v>
      </c>
      <c r="G119" s="357" t="s">
        <v>14</v>
      </c>
      <c r="H119" s="204" t="s">
        <v>250</v>
      </c>
      <c r="I119" s="205" t="s">
        <v>273</v>
      </c>
      <c r="J119" s="204" t="s">
        <v>50</v>
      </c>
      <c r="K119" s="204" t="s">
        <v>36</v>
      </c>
      <c r="L119" s="204" t="s">
        <v>5</v>
      </c>
      <c r="M119" s="204" t="s">
        <v>34</v>
      </c>
      <c r="N119" s="204" t="s">
        <v>48</v>
      </c>
      <c r="O119" s="388"/>
      <c r="V119" s="93"/>
      <c r="W119" s="93"/>
      <c r="X119" s="342"/>
    </row>
    <row r="120" spans="2:24" ht="28.2" thickBot="1" x14ac:dyDescent="0.3">
      <c r="B120" s="207" t="s">
        <v>234</v>
      </c>
      <c r="C120" s="207" t="s">
        <v>28</v>
      </c>
      <c r="D120" s="207" t="s">
        <v>32</v>
      </c>
      <c r="E120" s="207" t="s">
        <v>33</v>
      </c>
      <c r="F120" s="208"/>
      <c r="G120" s="209" t="s">
        <v>35</v>
      </c>
      <c r="H120" s="207" t="s">
        <v>251</v>
      </c>
      <c r="I120" s="207"/>
      <c r="J120" s="207" t="s">
        <v>329</v>
      </c>
      <c r="K120" s="207" t="s">
        <v>37</v>
      </c>
      <c r="L120" s="207" t="s">
        <v>38</v>
      </c>
      <c r="M120" s="207" t="s">
        <v>39</v>
      </c>
      <c r="N120" s="207" t="s">
        <v>218</v>
      </c>
      <c r="O120" s="389"/>
      <c r="V120" s="93"/>
      <c r="W120" s="93"/>
      <c r="X120" s="342"/>
    </row>
    <row r="121" spans="2:24" ht="15" x14ac:dyDescent="0.25">
      <c r="B121" s="210"/>
      <c r="C121" s="211"/>
      <c r="D121" s="211"/>
      <c r="E121" s="211" t="s">
        <v>231</v>
      </c>
      <c r="F121" s="212"/>
      <c r="G121" s="211"/>
      <c r="H121" s="211" t="s">
        <v>993</v>
      </c>
      <c r="I121" s="213" t="s">
        <v>244</v>
      </c>
      <c r="J121" s="211"/>
      <c r="K121" s="211" t="str">
        <f>K87</f>
        <v>M$/Mt/a</v>
      </c>
      <c r="L121" s="211" t="str">
        <f t="shared" ref="L121:M121" si="15">L87</f>
        <v>M$/Mt/a</v>
      </c>
      <c r="M121" s="211" t="str">
        <f t="shared" si="15"/>
        <v>M$/Mt</v>
      </c>
      <c r="N121" s="211" t="str">
        <f>General!$D$20</f>
        <v>Years</v>
      </c>
      <c r="O121" s="389"/>
      <c r="V121" s="93"/>
      <c r="W121" s="93"/>
      <c r="X121" s="342"/>
    </row>
    <row r="122" spans="2:24" ht="13.8" x14ac:dyDescent="0.25">
      <c r="B122" s="93" t="str">
        <f>X24</f>
        <v>INDISTFST_N_ST</v>
      </c>
      <c r="C122" s="93" t="str">
        <f>Y24</f>
        <v>Finishing Steel Production Standard</v>
      </c>
      <c r="D122" s="361" t="s">
        <v>141</v>
      </c>
      <c r="E122" s="93"/>
      <c r="F122" s="362">
        <f>G122</f>
        <v>2018</v>
      </c>
      <c r="G122" s="353">
        <v>2018</v>
      </c>
      <c r="H122" s="322">
        <f>R122*$Q$123</f>
        <v>0.30304999999999999</v>
      </c>
      <c r="I122" s="37"/>
      <c r="J122" s="36">
        <v>1</v>
      </c>
      <c r="K122" s="390">
        <v>150</v>
      </c>
      <c r="L122" s="390"/>
      <c r="M122" s="390">
        <f>K122*0.1</f>
        <v>15</v>
      </c>
      <c r="N122" s="36">
        <v>30</v>
      </c>
      <c r="O122" s="36"/>
      <c r="P122" s="36"/>
      <c r="Q122" s="36" t="s">
        <v>1025</v>
      </c>
      <c r="R122" s="346">
        <v>0.31900000000000001</v>
      </c>
      <c r="V122" s="93"/>
      <c r="W122" s="93"/>
      <c r="X122" s="342"/>
    </row>
    <row r="123" spans="2:24" ht="13.8" x14ac:dyDescent="0.25">
      <c r="B123" s="93"/>
      <c r="C123" s="93"/>
      <c r="D123" s="93" t="s">
        <v>418</v>
      </c>
      <c r="E123" s="93"/>
      <c r="F123" s="362">
        <f>F122</f>
        <v>2018</v>
      </c>
      <c r="H123" s="322">
        <f t="shared" ref="H123:H128" si="16">R123*$Q$123</f>
        <v>7.3558500000000002</v>
      </c>
      <c r="I123" s="36"/>
      <c r="J123" s="36"/>
      <c r="K123" s="390"/>
      <c r="L123" s="390"/>
      <c r="M123" s="390"/>
      <c r="N123" s="37"/>
      <c r="O123" s="37"/>
      <c r="P123" s="36"/>
      <c r="Q123" s="391">
        <v>0.95</v>
      </c>
      <c r="R123" s="346">
        <v>7.7430000000000003</v>
      </c>
      <c r="V123" s="93"/>
      <c r="W123" s="93"/>
      <c r="X123" s="342"/>
    </row>
    <row r="124" spans="2:24" ht="13.8" x14ac:dyDescent="0.25">
      <c r="B124" s="93"/>
      <c r="C124" s="93"/>
      <c r="D124" s="93" t="s">
        <v>265</v>
      </c>
      <c r="E124" s="93"/>
      <c r="F124" s="362">
        <f t="shared" ref="F124:F130" si="17">F123</f>
        <v>2018</v>
      </c>
      <c r="H124" s="322">
        <f t="shared" si="16"/>
        <v>0</v>
      </c>
      <c r="I124" s="36"/>
      <c r="J124" s="36"/>
      <c r="K124" s="390"/>
      <c r="L124" s="390"/>
      <c r="M124" s="390"/>
      <c r="N124" s="36"/>
      <c r="O124" s="36"/>
      <c r="P124" s="36"/>
      <c r="Q124" s="36"/>
      <c r="R124" s="346">
        <v>0</v>
      </c>
      <c r="V124" s="93"/>
      <c r="W124" s="93"/>
      <c r="X124" s="342"/>
    </row>
    <row r="125" spans="2:24" ht="13.8" x14ac:dyDescent="0.25">
      <c r="B125" s="93"/>
      <c r="C125" s="93"/>
      <c r="D125" s="93" t="s">
        <v>164</v>
      </c>
      <c r="E125" s="93"/>
      <c r="F125" s="362">
        <f t="shared" si="17"/>
        <v>2018</v>
      </c>
      <c r="H125" s="322">
        <f>R125*$Q$123+999</f>
        <v>999</v>
      </c>
      <c r="I125" s="36"/>
      <c r="J125" s="36"/>
      <c r="K125" s="390"/>
      <c r="L125" s="390"/>
      <c r="M125" s="390"/>
      <c r="N125" s="36"/>
      <c r="O125" s="36"/>
      <c r="P125" s="36"/>
      <c r="Q125" s="36"/>
      <c r="R125" s="346">
        <v>0</v>
      </c>
      <c r="V125" s="93"/>
      <c r="W125" s="93"/>
      <c r="X125" s="342"/>
    </row>
    <row r="126" spans="2:24" ht="13.8" x14ac:dyDescent="0.25">
      <c r="B126" s="93"/>
      <c r="C126" s="93"/>
      <c r="D126" s="93" t="s">
        <v>199</v>
      </c>
      <c r="E126" s="93"/>
      <c r="F126" s="362">
        <f t="shared" si="17"/>
        <v>2018</v>
      </c>
      <c r="H126" s="322">
        <f t="shared" si="16"/>
        <v>12.451649999999999</v>
      </c>
      <c r="I126" s="36"/>
      <c r="J126" s="36"/>
      <c r="K126" s="390"/>
      <c r="L126" s="390"/>
      <c r="M126" s="390"/>
      <c r="N126" s="36"/>
      <c r="O126" s="36"/>
      <c r="P126" s="36"/>
      <c r="Q126" s="36"/>
      <c r="R126" s="346">
        <v>13.106999999999999</v>
      </c>
      <c r="V126" s="93"/>
      <c r="W126" s="93"/>
      <c r="X126" s="342"/>
    </row>
    <row r="127" spans="2:24" ht="13.8" x14ac:dyDescent="0.25">
      <c r="B127" s="93"/>
      <c r="C127" s="93"/>
      <c r="D127" s="93" t="s">
        <v>150</v>
      </c>
      <c r="E127" s="93"/>
      <c r="F127" s="362">
        <f t="shared" si="17"/>
        <v>2018</v>
      </c>
      <c r="H127" s="322">
        <f t="shared" si="16"/>
        <v>0</v>
      </c>
      <c r="I127" s="36"/>
      <c r="J127" s="36"/>
      <c r="K127" s="390"/>
      <c r="L127" s="390"/>
      <c r="M127" s="390"/>
      <c r="N127" s="36"/>
      <c r="O127" s="36"/>
      <c r="P127" s="36"/>
      <c r="Q127" s="36"/>
      <c r="R127" s="346">
        <v>0</v>
      </c>
      <c r="V127" s="93"/>
      <c r="W127" s="93"/>
      <c r="X127" s="342"/>
    </row>
    <row r="128" spans="2:24" ht="13.8" x14ac:dyDescent="0.25">
      <c r="B128" s="93"/>
      <c r="C128" s="93"/>
      <c r="D128" s="93" t="s">
        <v>154</v>
      </c>
      <c r="E128" s="93"/>
      <c r="F128" s="362">
        <f t="shared" si="17"/>
        <v>2018</v>
      </c>
      <c r="H128" s="322">
        <f t="shared" si="16"/>
        <v>0</v>
      </c>
      <c r="I128" s="36"/>
      <c r="J128" s="36"/>
      <c r="K128" s="390"/>
      <c r="L128" s="390"/>
      <c r="M128" s="390"/>
      <c r="N128" s="36"/>
      <c r="O128" s="36"/>
      <c r="P128" s="36"/>
      <c r="Q128" s="36"/>
      <c r="R128" s="346">
        <v>0</v>
      </c>
      <c r="V128" s="93"/>
      <c r="W128" s="93"/>
      <c r="X128" s="342"/>
    </row>
    <row r="129" spans="2:24" ht="14.4" x14ac:dyDescent="0.3">
      <c r="B129" s="93"/>
      <c r="C129" s="93"/>
      <c r="D129" s="93" t="s">
        <v>434</v>
      </c>
      <c r="E129" s="93"/>
      <c r="F129" s="362">
        <f t="shared" si="17"/>
        <v>2018</v>
      </c>
      <c r="H129" s="392">
        <f>R129</f>
        <v>1.17</v>
      </c>
      <c r="I129" s="36"/>
      <c r="J129" s="36"/>
      <c r="K129" s="390"/>
      <c r="L129" s="390"/>
      <c r="M129" s="390"/>
      <c r="N129" s="36"/>
      <c r="O129" s="36"/>
      <c r="P129" s="36"/>
      <c r="Q129" s="36"/>
      <c r="R129" s="346">
        <v>1.17</v>
      </c>
      <c r="V129" s="93"/>
      <c r="W129" s="93"/>
      <c r="X129" s="342"/>
    </row>
    <row r="130" spans="2:24" ht="13.8" x14ac:dyDescent="0.25">
      <c r="B130" s="366"/>
      <c r="C130" s="366"/>
      <c r="D130" s="366"/>
      <c r="E130" s="366" t="s">
        <v>435</v>
      </c>
      <c r="F130" s="367">
        <f t="shared" si="17"/>
        <v>2018</v>
      </c>
      <c r="G130" s="368"/>
      <c r="H130" s="67"/>
      <c r="I130" s="67">
        <v>1</v>
      </c>
      <c r="J130" s="67"/>
      <c r="K130" s="393"/>
      <c r="L130" s="393"/>
      <c r="M130" s="393"/>
      <c r="N130" s="67"/>
      <c r="O130" s="35"/>
      <c r="P130" s="36"/>
      <c r="Q130" s="36"/>
      <c r="V130" s="93"/>
      <c r="W130" s="93"/>
      <c r="X130" s="342"/>
    </row>
    <row r="131" spans="2:24" ht="13.8" x14ac:dyDescent="0.25">
      <c r="B131" s="93" t="str">
        <f>X25</f>
        <v>INDISTFST_N_IM</v>
      </c>
      <c r="C131" s="93" t="str">
        <f>Y25</f>
        <v>Finishing Steel Production Improved</v>
      </c>
      <c r="D131" s="361" t="s">
        <v>141</v>
      </c>
      <c r="E131" s="93"/>
      <c r="F131" s="362">
        <f>G131</f>
        <v>2020</v>
      </c>
      <c r="G131" s="353">
        <v>2020</v>
      </c>
      <c r="H131" s="322">
        <v>0</v>
      </c>
      <c r="I131" s="37"/>
      <c r="J131" s="36">
        <v>1</v>
      </c>
      <c r="K131" s="390">
        <f>K122*1.3</f>
        <v>195</v>
      </c>
      <c r="L131" s="390"/>
      <c r="M131" s="390">
        <f>K131*0.1</f>
        <v>19.5</v>
      </c>
      <c r="N131" s="36">
        <v>30</v>
      </c>
      <c r="O131" s="36"/>
      <c r="P131" s="36"/>
      <c r="Q131" s="36" t="s">
        <v>1026</v>
      </c>
      <c r="V131" s="93"/>
      <c r="W131" s="93"/>
      <c r="X131" s="342"/>
    </row>
    <row r="132" spans="2:24" ht="13.8" x14ac:dyDescent="0.25">
      <c r="B132" s="93"/>
      <c r="C132" s="93"/>
      <c r="D132" s="93" t="s">
        <v>418</v>
      </c>
      <c r="E132" s="93"/>
      <c r="F132" s="362">
        <f>F131</f>
        <v>2020</v>
      </c>
      <c r="H132" s="322">
        <f>R123*$Q$135</f>
        <v>6.58155</v>
      </c>
      <c r="I132" s="36"/>
      <c r="J132" s="36"/>
      <c r="K132" s="390"/>
      <c r="L132" s="390"/>
      <c r="M132" s="390"/>
      <c r="N132" s="37"/>
      <c r="O132" s="37"/>
      <c r="P132" s="36"/>
      <c r="Q132" s="36" t="s">
        <v>1027</v>
      </c>
      <c r="V132" s="93"/>
      <c r="W132" s="93"/>
      <c r="X132" s="342"/>
    </row>
    <row r="133" spans="2:24" ht="13.8" x14ac:dyDescent="0.25">
      <c r="B133" s="93"/>
      <c r="C133" s="93"/>
      <c r="D133" s="93" t="s">
        <v>265</v>
      </c>
      <c r="E133" s="93"/>
      <c r="F133" s="362">
        <f t="shared" ref="F133:F139" si="18">F132</f>
        <v>2020</v>
      </c>
      <c r="H133" s="322">
        <f t="shared" ref="H133:H137" si="19">R124*$Q$135</f>
        <v>0</v>
      </c>
      <c r="I133" s="36"/>
      <c r="J133" s="36"/>
      <c r="K133" s="390"/>
      <c r="L133" s="390"/>
      <c r="M133" s="390"/>
      <c r="N133" s="36"/>
      <c r="O133" s="36"/>
      <c r="P133" s="36"/>
      <c r="Q133" s="36" t="s">
        <v>1028</v>
      </c>
      <c r="V133" s="93"/>
      <c r="W133" s="93"/>
      <c r="X133" s="342"/>
    </row>
    <row r="134" spans="2:24" ht="13.8" x14ac:dyDescent="0.25">
      <c r="B134" s="93"/>
      <c r="C134" s="93"/>
      <c r="D134" s="93" t="s">
        <v>164</v>
      </c>
      <c r="E134" s="93"/>
      <c r="F134" s="362">
        <f t="shared" si="18"/>
        <v>2020</v>
      </c>
      <c r="H134" s="322">
        <f>R125*$Q$135+999</f>
        <v>999</v>
      </c>
      <c r="I134" s="36"/>
      <c r="J134" s="36"/>
      <c r="K134" s="390"/>
      <c r="L134" s="390"/>
      <c r="M134" s="390"/>
      <c r="N134" s="36"/>
      <c r="O134" s="36"/>
      <c r="P134" s="36"/>
      <c r="Q134" s="36" t="s">
        <v>1029</v>
      </c>
      <c r="V134" s="93"/>
      <c r="W134" s="93"/>
      <c r="X134" s="342"/>
    </row>
    <row r="135" spans="2:24" ht="13.8" x14ac:dyDescent="0.25">
      <c r="B135" s="93"/>
      <c r="C135" s="93"/>
      <c r="D135" s="93" t="s">
        <v>199</v>
      </c>
      <c r="E135" s="93"/>
      <c r="F135" s="362">
        <f t="shared" si="18"/>
        <v>2020</v>
      </c>
      <c r="H135" s="322">
        <f t="shared" si="19"/>
        <v>11.140949999999998</v>
      </c>
      <c r="I135" s="36"/>
      <c r="J135" s="36"/>
      <c r="K135" s="390"/>
      <c r="L135" s="390"/>
      <c r="M135" s="390"/>
      <c r="N135" s="36"/>
      <c r="O135" s="36"/>
      <c r="P135" s="36"/>
      <c r="Q135" s="391">
        <v>0.85</v>
      </c>
      <c r="V135" s="93"/>
      <c r="W135" s="93"/>
      <c r="X135" s="342"/>
    </row>
    <row r="136" spans="2:24" ht="13.8" x14ac:dyDescent="0.25">
      <c r="B136" s="93"/>
      <c r="C136" s="93"/>
      <c r="D136" s="93" t="s">
        <v>150</v>
      </c>
      <c r="E136" s="93"/>
      <c r="F136" s="362">
        <f t="shared" si="18"/>
        <v>2020</v>
      </c>
      <c r="H136" s="322">
        <f t="shared" si="19"/>
        <v>0</v>
      </c>
      <c r="I136" s="36"/>
      <c r="J136" s="36"/>
      <c r="K136" s="390"/>
      <c r="L136" s="390"/>
      <c r="M136" s="390"/>
      <c r="N136" s="36"/>
      <c r="O136" s="36"/>
      <c r="P136" s="36"/>
      <c r="Q136" s="36"/>
      <c r="V136" s="93"/>
      <c r="W136" s="93"/>
      <c r="X136" s="342"/>
    </row>
    <row r="137" spans="2:24" ht="13.8" x14ac:dyDescent="0.25">
      <c r="B137" s="93"/>
      <c r="C137" s="93"/>
      <c r="D137" s="93" t="s">
        <v>154</v>
      </c>
      <c r="E137" s="93"/>
      <c r="F137" s="362">
        <f t="shared" si="18"/>
        <v>2020</v>
      </c>
      <c r="H137" s="322">
        <f t="shared" si="19"/>
        <v>0</v>
      </c>
      <c r="I137" s="36"/>
      <c r="J137" s="36"/>
      <c r="K137" s="390"/>
      <c r="L137" s="390"/>
      <c r="M137" s="390"/>
      <c r="N137" s="36"/>
      <c r="O137" s="36"/>
      <c r="P137" s="36"/>
      <c r="Q137" s="36"/>
      <c r="V137" s="93"/>
      <c r="W137" s="93"/>
      <c r="X137" s="342"/>
    </row>
    <row r="138" spans="2:24" ht="14.4" x14ac:dyDescent="0.3">
      <c r="B138" s="93"/>
      <c r="C138" s="93"/>
      <c r="D138" s="93" t="s">
        <v>434</v>
      </c>
      <c r="E138" s="93"/>
      <c r="F138" s="362">
        <f t="shared" si="18"/>
        <v>2020</v>
      </c>
      <c r="H138" s="392">
        <f>H129</f>
        <v>1.17</v>
      </c>
      <c r="I138" s="36"/>
      <c r="J138" s="36"/>
      <c r="K138" s="390"/>
      <c r="L138" s="390"/>
      <c r="M138" s="390"/>
      <c r="N138" s="36"/>
      <c r="O138" s="36"/>
      <c r="P138" s="36"/>
      <c r="Q138" s="36"/>
      <c r="V138" s="93"/>
      <c r="W138" s="93"/>
      <c r="X138" s="342"/>
    </row>
    <row r="139" spans="2:24" ht="13.8" x14ac:dyDescent="0.25">
      <c r="B139" s="366"/>
      <c r="C139" s="366"/>
      <c r="D139" s="366"/>
      <c r="E139" s="366" t="s">
        <v>435</v>
      </c>
      <c r="F139" s="367">
        <f t="shared" si="18"/>
        <v>2020</v>
      </c>
      <c r="G139" s="368"/>
      <c r="H139" s="67"/>
      <c r="I139" s="67">
        <v>1</v>
      </c>
      <c r="J139" s="67"/>
      <c r="K139" s="393"/>
      <c r="L139" s="393"/>
      <c r="M139" s="393"/>
      <c r="N139" s="67"/>
      <c r="O139" s="35"/>
      <c r="P139" s="36"/>
      <c r="Q139" s="36"/>
      <c r="V139" s="93"/>
      <c r="W139" s="93"/>
      <c r="X139" s="342"/>
    </row>
    <row r="140" spans="2:24" ht="13.8" x14ac:dyDescent="0.25">
      <c r="B140" s="93" t="str">
        <f>X26</f>
        <v>INDISTFST_N_AD</v>
      </c>
      <c r="C140" s="93" t="str">
        <f>Y26</f>
        <v>Finishing Steel Production Advanced</v>
      </c>
      <c r="D140" s="361" t="s">
        <v>141</v>
      </c>
      <c r="E140" s="93"/>
      <c r="F140" s="362">
        <f>G140</f>
        <v>2030</v>
      </c>
      <c r="G140" s="353">
        <v>2030</v>
      </c>
      <c r="H140" s="322">
        <f>H131</f>
        <v>0</v>
      </c>
      <c r="I140" s="37"/>
      <c r="J140" s="36">
        <v>1</v>
      </c>
      <c r="K140" s="390">
        <f>K122*2</f>
        <v>300</v>
      </c>
      <c r="L140" s="390"/>
      <c r="M140" s="390">
        <f>K140*0.1</f>
        <v>30</v>
      </c>
      <c r="N140" s="394">
        <v>30</v>
      </c>
      <c r="O140" s="394"/>
      <c r="P140" s="36"/>
      <c r="Q140" s="36" t="s">
        <v>1026</v>
      </c>
      <c r="V140" s="93"/>
      <c r="W140" s="93"/>
      <c r="X140" s="342"/>
    </row>
    <row r="141" spans="2:24" ht="13.8" x14ac:dyDescent="0.25">
      <c r="B141" s="93"/>
      <c r="C141" s="93"/>
      <c r="D141" s="93" t="s">
        <v>418</v>
      </c>
      <c r="E141" s="93"/>
      <c r="F141" s="362">
        <f>F140</f>
        <v>2030</v>
      </c>
      <c r="H141" s="322">
        <f>H132*0.5</f>
        <v>3.290775</v>
      </c>
      <c r="I141" s="36"/>
      <c r="J141" s="36"/>
      <c r="K141" s="36"/>
      <c r="L141" s="36"/>
      <c r="M141" s="36"/>
      <c r="N141" s="37"/>
      <c r="O141" s="37"/>
      <c r="P141" s="36"/>
      <c r="Q141" s="36" t="s">
        <v>1027</v>
      </c>
      <c r="V141" s="93"/>
      <c r="W141" s="93"/>
      <c r="X141" s="342"/>
    </row>
    <row r="142" spans="2:24" ht="13.8" x14ac:dyDescent="0.25">
      <c r="B142" s="93"/>
      <c r="C142" s="93"/>
      <c r="D142" s="93" t="s">
        <v>265</v>
      </c>
      <c r="E142" s="93"/>
      <c r="F142" s="362">
        <f t="shared" ref="F142:F148" si="20">F141</f>
        <v>2030</v>
      </c>
      <c r="H142" s="322">
        <f t="shared" ref="H142:H146" si="21">H133</f>
        <v>0</v>
      </c>
      <c r="I142" s="36"/>
      <c r="J142" s="36"/>
      <c r="K142" s="36"/>
      <c r="L142" s="36"/>
      <c r="M142" s="36"/>
      <c r="N142" s="36"/>
      <c r="O142" s="36"/>
      <c r="P142" s="36"/>
      <c r="Q142" s="36" t="s">
        <v>1028</v>
      </c>
      <c r="V142" s="93"/>
      <c r="W142" s="93"/>
      <c r="X142" s="342"/>
    </row>
    <row r="143" spans="2:24" ht="13.8" x14ac:dyDescent="0.25">
      <c r="B143" s="93"/>
      <c r="C143" s="93"/>
      <c r="D143" s="93" t="s">
        <v>164</v>
      </c>
      <c r="E143" s="93"/>
      <c r="F143" s="362">
        <f t="shared" si="20"/>
        <v>2030</v>
      </c>
      <c r="H143" s="322">
        <v>0</v>
      </c>
      <c r="I143" s="36"/>
      <c r="J143" s="36"/>
      <c r="K143" s="36"/>
      <c r="L143" s="36"/>
      <c r="M143" s="36"/>
      <c r="N143" s="36"/>
      <c r="O143" s="36"/>
      <c r="P143" s="36"/>
      <c r="Q143" s="36" t="s">
        <v>1029</v>
      </c>
      <c r="V143" s="93"/>
      <c r="W143" s="93"/>
      <c r="X143" s="342"/>
    </row>
    <row r="144" spans="2:24" ht="13.8" x14ac:dyDescent="0.25">
      <c r="B144" s="93"/>
      <c r="C144" s="93"/>
      <c r="D144" s="93" t="s">
        <v>199</v>
      </c>
      <c r="E144" s="93"/>
      <c r="F144" s="362">
        <f t="shared" si="20"/>
        <v>2030</v>
      </c>
      <c r="H144" s="322">
        <f>H135+2.5</f>
        <v>13.640949999999998</v>
      </c>
      <c r="I144" s="36"/>
      <c r="J144" s="36"/>
      <c r="K144" s="36"/>
      <c r="L144" s="36"/>
      <c r="M144" s="36"/>
      <c r="N144" s="36"/>
      <c r="O144" s="36"/>
      <c r="P144" s="36"/>
      <c r="Q144" s="36" t="s">
        <v>1041</v>
      </c>
      <c r="V144" s="93"/>
      <c r="W144" s="93"/>
      <c r="X144" s="342"/>
    </row>
    <row r="145" spans="1:24" ht="13.8" x14ac:dyDescent="0.25">
      <c r="B145" s="93"/>
      <c r="C145" s="93"/>
      <c r="D145" s="93" t="s">
        <v>150</v>
      </c>
      <c r="E145" s="93"/>
      <c r="F145" s="362">
        <f t="shared" si="20"/>
        <v>2030</v>
      </c>
      <c r="H145" s="322">
        <f t="shared" si="21"/>
        <v>0</v>
      </c>
      <c r="I145" s="36"/>
      <c r="J145" s="36"/>
      <c r="K145" s="36"/>
      <c r="L145" s="36"/>
      <c r="M145" s="36"/>
      <c r="N145" s="36"/>
      <c r="O145" s="36"/>
      <c r="P145" s="36"/>
      <c r="Q145" s="36"/>
      <c r="V145" s="93"/>
      <c r="W145" s="93"/>
      <c r="X145" s="342"/>
    </row>
    <row r="146" spans="1:24" ht="13.8" x14ac:dyDescent="0.25">
      <c r="B146" s="93"/>
      <c r="C146" s="93"/>
      <c r="D146" s="93" t="s">
        <v>154</v>
      </c>
      <c r="E146" s="93"/>
      <c r="F146" s="362">
        <f t="shared" si="20"/>
        <v>2030</v>
      </c>
      <c r="H146" s="322">
        <f t="shared" si="21"/>
        <v>0</v>
      </c>
      <c r="I146" s="36"/>
      <c r="J146" s="36"/>
      <c r="K146" s="36"/>
      <c r="L146" s="36"/>
      <c r="M146" s="36"/>
      <c r="N146" s="36"/>
      <c r="O146" s="36"/>
      <c r="P146" s="36"/>
      <c r="Q146" s="36"/>
      <c r="V146" s="93"/>
      <c r="W146" s="93"/>
      <c r="X146" s="342"/>
    </row>
    <row r="147" spans="1:24" ht="13.8" x14ac:dyDescent="0.25">
      <c r="B147" s="93"/>
      <c r="C147" s="93"/>
      <c r="D147" s="93" t="s">
        <v>434</v>
      </c>
      <c r="E147" s="93"/>
      <c r="F147" s="362">
        <f t="shared" si="20"/>
        <v>2030</v>
      </c>
      <c r="H147" s="322">
        <v>1.1000000000000001</v>
      </c>
      <c r="I147" s="36"/>
      <c r="J147" s="36"/>
      <c r="K147" s="36"/>
      <c r="L147" s="36"/>
      <c r="M147" s="36"/>
      <c r="N147" s="36"/>
      <c r="O147" s="36"/>
      <c r="P147" s="36"/>
      <c r="Q147" s="36"/>
      <c r="V147" s="93"/>
      <c r="W147" s="93"/>
      <c r="X147" s="342"/>
    </row>
    <row r="148" spans="1:24" ht="13.8" x14ac:dyDescent="0.25">
      <c r="B148" s="366"/>
      <c r="C148" s="366"/>
      <c r="D148" s="366"/>
      <c r="E148" s="366" t="s">
        <v>435</v>
      </c>
      <c r="F148" s="367">
        <f t="shared" si="20"/>
        <v>2030</v>
      </c>
      <c r="G148" s="368"/>
      <c r="H148" s="67"/>
      <c r="I148" s="67">
        <v>1</v>
      </c>
      <c r="J148" s="67"/>
      <c r="K148" s="67"/>
      <c r="L148" s="67"/>
      <c r="M148" s="67"/>
      <c r="N148" s="67"/>
      <c r="O148" s="35"/>
      <c r="P148" s="36"/>
      <c r="Q148" s="36"/>
      <c r="V148" s="93"/>
      <c r="W148" s="93"/>
      <c r="X148" s="342"/>
    </row>
    <row r="149" spans="1:24" ht="13.8" x14ac:dyDescent="0.25">
      <c r="V149" s="93"/>
      <c r="W149" s="93"/>
      <c r="X149" s="342"/>
    </row>
    <row r="150" spans="1:24" ht="13.8" x14ac:dyDescent="0.25">
      <c r="A150" s="93"/>
      <c r="B150" s="93"/>
      <c r="C150" s="93"/>
      <c r="D150" s="93"/>
      <c r="E150" s="342"/>
      <c r="F150" s="93"/>
    </row>
    <row r="151" spans="1:24" ht="13.8" x14ac:dyDescent="0.25">
      <c r="A151" s="93"/>
      <c r="B151" s="93"/>
      <c r="C151" s="93"/>
      <c r="D151" s="93"/>
      <c r="E151" s="342"/>
      <c r="F151" s="93"/>
    </row>
    <row r="152" spans="1:24" ht="17.399999999999999" x14ac:dyDescent="0.3">
      <c r="A152" s="347"/>
      <c r="B152" s="347" t="s">
        <v>341</v>
      </c>
      <c r="C152" s="347"/>
      <c r="D152" s="347"/>
      <c r="E152" s="347"/>
      <c r="F152" s="93"/>
    </row>
    <row r="153" spans="1:24" ht="13.8" x14ac:dyDescent="0.25">
      <c r="A153" s="93"/>
      <c r="B153" s="93"/>
      <c r="C153" s="93"/>
      <c r="D153" s="93"/>
      <c r="E153" s="342"/>
      <c r="F153" s="93"/>
    </row>
    <row r="154" spans="1:24" ht="13.8" x14ac:dyDescent="0.25">
      <c r="A154" s="93"/>
      <c r="B154" s="93"/>
      <c r="C154" s="93"/>
      <c r="D154" s="93"/>
      <c r="E154" s="342"/>
      <c r="F154" s="93"/>
    </row>
    <row r="156" spans="1:24" ht="13.8" x14ac:dyDescent="0.25">
      <c r="B156" s="93"/>
      <c r="C156" s="93"/>
      <c r="D156" s="93"/>
      <c r="E156" s="197"/>
      <c r="F156" s="355" t="s">
        <v>0</v>
      </c>
      <c r="G156" s="355"/>
      <c r="H156" s="198"/>
      <c r="I156" s="198"/>
      <c r="J156" s="198"/>
      <c r="K156" s="198"/>
      <c r="L156" s="199"/>
      <c r="M156" s="199"/>
      <c r="N156" s="199"/>
      <c r="O156" s="93"/>
      <c r="P156" s="93"/>
    </row>
    <row r="157" spans="1:24" ht="13.8" x14ac:dyDescent="0.25">
      <c r="B157" s="200" t="s">
        <v>1</v>
      </c>
      <c r="C157" s="201" t="s">
        <v>227</v>
      </c>
      <c r="D157" s="200" t="s">
        <v>3</v>
      </c>
      <c r="E157" s="200" t="s">
        <v>4</v>
      </c>
      <c r="F157" s="202" t="s">
        <v>233</v>
      </c>
      <c r="G157" s="357" t="s">
        <v>14</v>
      </c>
      <c r="H157" s="204" t="s">
        <v>16</v>
      </c>
      <c r="I157" s="204" t="s">
        <v>50</v>
      </c>
      <c r="J157" s="204" t="s">
        <v>46</v>
      </c>
      <c r="K157" s="204" t="s">
        <v>36</v>
      </c>
      <c r="L157" s="204" t="s">
        <v>5</v>
      </c>
      <c r="M157" s="204" t="s">
        <v>34</v>
      </c>
      <c r="N157" s="204" t="s">
        <v>48</v>
      </c>
      <c r="O157" s="204" t="s">
        <v>342</v>
      </c>
    </row>
    <row r="158" spans="1:24" ht="28.2" thickBot="1" x14ac:dyDescent="0.3">
      <c r="B158" s="207" t="s">
        <v>234</v>
      </c>
      <c r="C158" s="207" t="s">
        <v>28</v>
      </c>
      <c r="D158" s="207" t="s">
        <v>32</v>
      </c>
      <c r="E158" s="207" t="s">
        <v>33</v>
      </c>
      <c r="F158" s="208"/>
      <c r="G158" s="209" t="s">
        <v>35</v>
      </c>
      <c r="H158" s="207" t="s">
        <v>303</v>
      </c>
      <c r="I158" s="207" t="s">
        <v>329</v>
      </c>
      <c r="J158" s="207" t="s">
        <v>304</v>
      </c>
      <c r="K158" s="207" t="s">
        <v>37</v>
      </c>
      <c r="L158" s="207" t="s">
        <v>38</v>
      </c>
      <c r="M158" s="207" t="s">
        <v>39</v>
      </c>
      <c r="N158" s="207" t="s">
        <v>218</v>
      </c>
      <c r="O158" s="207"/>
      <c r="Q158" s="358" t="s">
        <v>328</v>
      </c>
      <c r="R158" s="358"/>
    </row>
    <row r="159" spans="1:24" ht="13.8" x14ac:dyDescent="0.25">
      <c r="B159" s="210"/>
      <c r="C159" s="211"/>
      <c r="D159" s="211"/>
      <c r="E159" s="211" t="s">
        <v>231</v>
      </c>
      <c r="F159" s="212"/>
      <c r="G159" s="211"/>
      <c r="H159" s="211" t="s">
        <v>343</v>
      </c>
      <c r="I159" s="211"/>
      <c r="J159" s="211" t="s">
        <v>306</v>
      </c>
      <c r="K159" s="211" t="str">
        <f>General!$D$25</f>
        <v>M$/PJ</v>
      </c>
      <c r="L159" s="211" t="str">
        <f>General!$D$14</f>
        <v>$/GJ/a</v>
      </c>
      <c r="M159" s="211" t="str">
        <f>General!$D$15</f>
        <v>$/GJ</v>
      </c>
      <c r="N159" s="211" t="str">
        <f>General!$D$20</f>
        <v>Years</v>
      </c>
      <c r="O159" s="211"/>
    </row>
    <row r="160" spans="1:24" ht="13.8" x14ac:dyDescent="0.25">
      <c r="B160" s="361" t="str">
        <f>X11</f>
        <v>INDISTBOI_N_ST</v>
      </c>
      <c r="C160" s="361" t="str">
        <f>Y11</f>
        <v>Boilers Iron&amp;Steel NEW Standard</v>
      </c>
      <c r="D160" s="361" t="s">
        <v>265</v>
      </c>
      <c r="E160" s="361"/>
      <c r="F160" s="395">
        <v>2018</v>
      </c>
      <c r="G160" s="396">
        <v>2018</v>
      </c>
      <c r="H160" s="397">
        <v>0.85</v>
      </c>
      <c r="I160" s="397">
        <v>1</v>
      </c>
      <c r="J160" s="397">
        <v>0.7</v>
      </c>
      <c r="K160" s="398">
        <f>20*(1/0.9)</f>
        <v>22.222222222222221</v>
      </c>
      <c r="L160" s="397">
        <f>0.6*(1/0.9)</f>
        <v>0.66666666666666663</v>
      </c>
      <c r="M160" s="397"/>
      <c r="N160" s="397">
        <v>20</v>
      </c>
      <c r="O160" s="336">
        <v>0.4</v>
      </c>
    </row>
    <row r="161" spans="1:18" ht="13.8" x14ac:dyDescent="0.25">
      <c r="B161" s="93"/>
      <c r="C161" s="93"/>
      <c r="D161" s="93" t="s">
        <v>426</v>
      </c>
      <c r="E161" s="93"/>
      <c r="F161" s="362">
        <f>F160</f>
        <v>2018</v>
      </c>
      <c r="G161" s="342"/>
      <c r="H161" s="342"/>
      <c r="I161" s="342"/>
      <c r="J161" s="342"/>
      <c r="K161" s="342"/>
      <c r="L161" s="342"/>
      <c r="M161" s="342"/>
      <c r="N161" s="342"/>
      <c r="O161" s="337">
        <v>0.5</v>
      </c>
    </row>
    <row r="162" spans="1:18" ht="13.8" x14ac:dyDescent="0.25">
      <c r="B162" s="93"/>
      <c r="C162" s="93"/>
      <c r="D162" s="93" t="s">
        <v>164</v>
      </c>
      <c r="E162" s="93"/>
      <c r="F162" s="362">
        <f t="shared" ref="F162:F166" si="22">F161</f>
        <v>2018</v>
      </c>
      <c r="G162" s="342"/>
      <c r="H162" s="342"/>
      <c r="I162" s="342"/>
      <c r="J162" s="342"/>
      <c r="K162" s="342"/>
      <c r="L162" s="342"/>
      <c r="M162" s="342"/>
      <c r="N162" s="342"/>
      <c r="O162" s="337">
        <v>0.5</v>
      </c>
    </row>
    <row r="163" spans="1:18" ht="13.8" x14ac:dyDescent="0.25">
      <c r="B163" s="93"/>
      <c r="C163" s="93"/>
      <c r="D163" s="93" t="s">
        <v>199</v>
      </c>
      <c r="E163" s="93"/>
      <c r="F163" s="362">
        <f t="shared" si="22"/>
        <v>2018</v>
      </c>
      <c r="G163" s="342"/>
      <c r="H163" s="342"/>
      <c r="I163" s="342"/>
      <c r="J163" s="342"/>
      <c r="K163" s="342"/>
      <c r="L163" s="342"/>
      <c r="M163" s="342"/>
      <c r="N163" s="342"/>
      <c r="O163" s="337">
        <v>0</v>
      </c>
      <c r="Q163" s="93"/>
      <c r="R163" s="93"/>
    </row>
    <row r="164" spans="1:18" ht="13.8" x14ac:dyDescent="0.25">
      <c r="B164" s="93"/>
      <c r="C164" s="93"/>
      <c r="D164" s="93" t="s">
        <v>166</v>
      </c>
      <c r="E164" s="93"/>
      <c r="F164" s="362">
        <f t="shared" si="22"/>
        <v>2018</v>
      </c>
      <c r="G164" s="342"/>
      <c r="H164" s="342"/>
      <c r="I164" s="342"/>
      <c r="J164" s="342"/>
      <c r="K164" s="342"/>
      <c r="L164" s="342"/>
      <c r="M164" s="342"/>
      <c r="N164" s="342"/>
      <c r="O164" s="337">
        <v>0</v>
      </c>
    </row>
    <row r="165" spans="1:18" ht="13.8" x14ac:dyDescent="0.25">
      <c r="B165" s="93"/>
      <c r="C165" s="93"/>
      <c r="D165" s="93" t="s">
        <v>179</v>
      </c>
      <c r="E165" s="93"/>
      <c r="F165" s="362">
        <f t="shared" si="22"/>
        <v>2018</v>
      </c>
      <c r="G165" s="342"/>
      <c r="H165" s="342"/>
      <c r="I165" s="342"/>
      <c r="J165" s="342"/>
      <c r="K165" s="342"/>
      <c r="L165" s="342"/>
      <c r="M165" s="342"/>
      <c r="N165" s="342"/>
      <c r="O165" s="337">
        <v>0</v>
      </c>
    </row>
    <row r="166" spans="1:18" ht="13.8" x14ac:dyDescent="0.25">
      <c r="B166" s="366"/>
      <c r="C166" s="366"/>
      <c r="D166" s="366"/>
      <c r="E166" s="366" t="s">
        <v>418</v>
      </c>
      <c r="F166" s="367">
        <f t="shared" si="22"/>
        <v>2018</v>
      </c>
      <c r="G166" s="399"/>
      <c r="H166" s="399"/>
      <c r="I166" s="399"/>
      <c r="J166" s="399"/>
      <c r="K166" s="399"/>
      <c r="L166" s="399"/>
      <c r="M166" s="399"/>
      <c r="N166" s="399"/>
      <c r="O166" s="338"/>
    </row>
    <row r="167" spans="1:18" ht="13.8" x14ac:dyDescent="0.25">
      <c r="B167" s="361" t="str">
        <f>X12</f>
        <v>INDISTBOI_N_IM</v>
      </c>
      <c r="C167" s="361" t="str">
        <f>Y12</f>
        <v>Boilers Iron&amp;Steel NEW Improved</v>
      </c>
      <c r="D167" s="361" t="s">
        <v>265</v>
      </c>
      <c r="E167" s="361"/>
      <c r="F167" s="395">
        <v>2018</v>
      </c>
      <c r="G167" s="396">
        <v>2020</v>
      </c>
      <c r="H167" s="400">
        <f>H160*1.05</f>
        <v>0.89249999999999996</v>
      </c>
      <c r="I167" s="400">
        <v>1</v>
      </c>
      <c r="J167" s="397">
        <v>0.7</v>
      </c>
      <c r="K167" s="400">
        <f>K160*1.1</f>
        <v>24.444444444444446</v>
      </c>
      <c r="L167" s="400">
        <f>0.6*(1/0.9)</f>
        <v>0.66666666666666663</v>
      </c>
      <c r="M167" s="400"/>
      <c r="N167" s="397">
        <v>20</v>
      </c>
      <c r="O167" s="336">
        <v>0.4</v>
      </c>
    </row>
    <row r="168" spans="1:18" ht="13.8" x14ac:dyDescent="0.25">
      <c r="A168" s="93"/>
      <c r="B168" s="93"/>
      <c r="C168" s="93"/>
      <c r="D168" s="93" t="s">
        <v>426</v>
      </c>
      <c r="E168" s="93"/>
      <c r="F168" s="362">
        <f>F167</f>
        <v>2018</v>
      </c>
      <c r="G168" s="342"/>
      <c r="H168" s="342"/>
      <c r="I168" s="342"/>
      <c r="J168" s="342"/>
      <c r="K168" s="342"/>
      <c r="L168" s="342"/>
      <c r="M168" s="342"/>
      <c r="N168" s="342"/>
      <c r="O168" s="337">
        <v>0.5</v>
      </c>
    </row>
    <row r="169" spans="1:18" ht="13.8" x14ac:dyDescent="0.25">
      <c r="B169" s="93"/>
      <c r="C169" s="93"/>
      <c r="D169" s="93" t="s">
        <v>164</v>
      </c>
      <c r="E169" s="93"/>
      <c r="F169" s="362">
        <f t="shared" ref="F169:F173" si="23">F168</f>
        <v>2018</v>
      </c>
      <c r="G169" s="342"/>
      <c r="H169" s="342"/>
      <c r="I169" s="342"/>
      <c r="J169" s="342"/>
      <c r="K169" s="342"/>
      <c r="L169" s="342"/>
      <c r="M169" s="342"/>
      <c r="N169" s="342"/>
      <c r="O169" s="337">
        <v>0.5</v>
      </c>
    </row>
    <row r="170" spans="1:18" ht="13.8" x14ac:dyDescent="0.25">
      <c r="B170" s="93"/>
      <c r="C170" s="93"/>
      <c r="D170" s="93" t="s">
        <v>199</v>
      </c>
      <c r="E170" s="93"/>
      <c r="F170" s="362">
        <f t="shared" si="23"/>
        <v>2018</v>
      </c>
      <c r="G170" s="342"/>
      <c r="H170" s="342"/>
      <c r="I170" s="342"/>
      <c r="J170" s="342"/>
      <c r="K170" s="342"/>
      <c r="L170" s="342"/>
      <c r="M170" s="342"/>
      <c r="N170" s="342"/>
      <c r="O170" s="337">
        <v>0.2</v>
      </c>
    </row>
    <row r="171" spans="1:18" ht="13.8" x14ac:dyDescent="0.25">
      <c r="B171" s="93"/>
      <c r="C171" s="93"/>
      <c r="D171" s="93" t="s">
        <v>166</v>
      </c>
      <c r="E171" s="93"/>
      <c r="F171" s="362">
        <f t="shared" si="23"/>
        <v>2018</v>
      </c>
      <c r="G171" s="342"/>
      <c r="H171" s="342"/>
      <c r="I171" s="342"/>
      <c r="J171" s="342"/>
      <c r="K171" s="342"/>
      <c r="L171" s="342"/>
      <c r="M171" s="342"/>
      <c r="N171" s="342"/>
      <c r="O171" s="337">
        <v>0</v>
      </c>
    </row>
    <row r="172" spans="1:18" ht="13.8" x14ac:dyDescent="0.25">
      <c r="B172" s="93"/>
      <c r="C172" s="93"/>
      <c r="D172" s="93" t="s">
        <v>179</v>
      </c>
      <c r="E172" s="93"/>
      <c r="F172" s="362">
        <f t="shared" si="23"/>
        <v>2018</v>
      </c>
      <c r="G172" s="342"/>
      <c r="H172" s="342"/>
      <c r="I172" s="342"/>
      <c r="J172" s="342"/>
      <c r="K172" s="342"/>
      <c r="L172" s="342"/>
      <c r="M172" s="342"/>
      <c r="N172" s="342"/>
      <c r="O172" s="337">
        <v>0.1</v>
      </c>
    </row>
    <row r="173" spans="1:18" ht="13.8" x14ac:dyDescent="0.25">
      <c r="B173" s="366"/>
      <c r="C173" s="366"/>
      <c r="D173" s="366"/>
      <c r="E173" s="366" t="s">
        <v>418</v>
      </c>
      <c r="F173" s="367">
        <f t="shared" si="23"/>
        <v>2018</v>
      </c>
      <c r="G173" s="399"/>
      <c r="H173" s="399"/>
      <c r="I173" s="399"/>
      <c r="J173" s="399"/>
      <c r="K173" s="399"/>
      <c r="L173" s="399"/>
      <c r="M173" s="399"/>
      <c r="N173" s="399"/>
      <c r="O173" s="338"/>
    </row>
    <row r="174" spans="1:18" ht="13.8" x14ac:dyDescent="0.25">
      <c r="B174" s="361" t="str">
        <f>X13</f>
        <v>INDISTBOI_N_AD</v>
      </c>
      <c r="C174" s="361" t="str">
        <f>Y13</f>
        <v>Boilers Iron&amp;Steel NEW Advanced</v>
      </c>
      <c r="D174" s="361" t="s">
        <v>265</v>
      </c>
      <c r="E174" s="361"/>
      <c r="F174" s="395">
        <v>2018</v>
      </c>
      <c r="G174" s="396">
        <v>2030</v>
      </c>
      <c r="H174" s="400">
        <f>H167*1.02</f>
        <v>0.91034999999999999</v>
      </c>
      <c r="I174" s="400">
        <v>1</v>
      </c>
      <c r="J174" s="397">
        <v>0.7</v>
      </c>
      <c r="K174" s="400">
        <f>K167*1.1</f>
        <v>26.888888888888893</v>
      </c>
      <c r="L174" s="400">
        <f>0.6*(1/0.9)</f>
        <v>0.66666666666666663</v>
      </c>
      <c r="M174" s="400"/>
      <c r="N174" s="397">
        <v>20</v>
      </c>
      <c r="O174" s="336">
        <v>0.2</v>
      </c>
    </row>
    <row r="175" spans="1:18" ht="13.8" x14ac:dyDescent="0.25">
      <c r="B175" s="93"/>
      <c r="C175" s="93"/>
      <c r="D175" s="93" t="s">
        <v>426</v>
      </c>
      <c r="E175" s="93"/>
      <c r="F175" s="362">
        <f>F174</f>
        <v>2018</v>
      </c>
      <c r="G175" s="342"/>
      <c r="H175" s="342"/>
      <c r="I175" s="342"/>
      <c r="J175" s="342"/>
      <c r="K175" s="342"/>
      <c r="L175" s="342"/>
      <c r="M175" s="342"/>
      <c r="N175" s="342"/>
      <c r="O175" s="337">
        <v>0.2</v>
      </c>
    </row>
    <row r="176" spans="1:18" ht="13.8" x14ac:dyDescent="0.25">
      <c r="B176" s="93"/>
      <c r="C176" s="93"/>
      <c r="D176" s="93" t="s">
        <v>164</v>
      </c>
      <c r="E176" s="93"/>
      <c r="F176" s="362">
        <f t="shared" ref="F176:F180" si="24">F175</f>
        <v>2018</v>
      </c>
      <c r="G176" s="342"/>
      <c r="H176" s="342"/>
      <c r="I176" s="342"/>
      <c r="J176" s="342"/>
      <c r="K176" s="342"/>
      <c r="L176" s="342"/>
      <c r="M176" s="342"/>
      <c r="N176" s="342"/>
      <c r="O176" s="337">
        <v>1</v>
      </c>
    </row>
    <row r="177" spans="1:27" ht="13.8" x14ac:dyDescent="0.25">
      <c r="B177" s="93"/>
      <c r="C177" s="93"/>
      <c r="D177" s="93" t="s">
        <v>199</v>
      </c>
      <c r="E177" s="93"/>
      <c r="F177" s="362">
        <f t="shared" si="24"/>
        <v>2018</v>
      </c>
      <c r="G177" s="342"/>
      <c r="H177" s="342"/>
      <c r="I177" s="342"/>
      <c r="J177" s="342"/>
      <c r="K177" s="342"/>
      <c r="L177" s="342"/>
      <c r="M177" s="342"/>
      <c r="N177" s="342"/>
      <c r="O177" s="337">
        <v>1</v>
      </c>
    </row>
    <row r="178" spans="1:27" ht="13.8" x14ac:dyDescent="0.25">
      <c r="B178" s="93"/>
      <c r="C178" s="93"/>
      <c r="D178" s="93" t="s">
        <v>166</v>
      </c>
      <c r="E178" s="93"/>
      <c r="F178" s="362">
        <f t="shared" si="24"/>
        <v>2018</v>
      </c>
      <c r="G178" s="342"/>
      <c r="H178" s="342"/>
      <c r="I178" s="342"/>
      <c r="J178" s="342"/>
      <c r="K178" s="342"/>
      <c r="L178" s="342"/>
      <c r="M178" s="342"/>
      <c r="N178" s="342"/>
      <c r="O178" s="337">
        <v>0</v>
      </c>
    </row>
    <row r="179" spans="1:27" ht="13.8" x14ac:dyDescent="0.25">
      <c r="B179" s="93"/>
      <c r="C179" s="93"/>
      <c r="D179" s="93" t="s">
        <v>179</v>
      </c>
      <c r="E179" s="93"/>
      <c r="F179" s="362">
        <f t="shared" si="24"/>
        <v>2018</v>
      </c>
      <c r="G179" s="342"/>
      <c r="H179" s="342"/>
      <c r="I179" s="342"/>
      <c r="J179" s="342"/>
      <c r="K179" s="342"/>
      <c r="L179" s="342"/>
      <c r="M179" s="342"/>
      <c r="N179" s="342"/>
      <c r="O179" s="337">
        <v>0.3</v>
      </c>
    </row>
    <row r="180" spans="1:27" ht="13.8" x14ac:dyDescent="0.25">
      <c r="B180" s="366"/>
      <c r="C180" s="366"/>
      <c r="D180" s="366"/>
      <c r="E180" s="366" t="s">
        <v>418</v>
      </c>
      <c r="F180" s="367">
        <f t="shared" si="24"/>
        <v>2018</v>
      </c>
      <c r="G180" s="399"/>
      <c r="H180" s="399"/>
      <c r="I180" s="399"/>
      <c r="J180" s="399"/>
      <c r="K180" s="399"/>
      <c r="L180" s="399"/>
      <c r="M180" s="399"/>
      <c r="N180" s="399"/>
      <c r="O180" s="338"/>
    </row>
    <row r="184" spans="1:27" ht="17.399999999999999" x14ac:dyDescent="0.3">
      <c r="A184" s="347"/>
      <c r="B184" s="347" t="s">
        <v>344</v>
      </c>
      <c r="C184" s="347"/>
      <c r="D184" s="347"/>
      <c r="E184" s="347"/>
    </row>
    <row r="185" spans="1:27" ht="17.399999999999999" x14ac:dyDescent="0.3">
      <c r="A185" s="347"/>
      <c r="B185" s="347"/>
      <c r="C185" s="347"/>
      <c r="D185" s="347"/>
      <c r="E185" s="347"/>
    </row>
    <row r="188" spans="1:27" ht="13.8" x14ac:dyDescent="0.25">
      <c r="A188" s="93"/>
      <c r="B188" s="93"/>
      <c r="C188" s="93"/>
      <c r="D188" s="93"/>
      <c r="E188" s="197"/>
      <c r="F188" s="355" t="s">
        <v>0</v>
      </c>
      <c r="G188" s="355"/>
      <c r="H188" s="198"/>
      <c r="I188" s="198"/>
      <c r="J188" s="198"/>
      <c r="K188" s="198"/>
      <c r="L188" s="199"/>
      <c r="M188" s="199"/>
      <c r="N188" s="199"/>
      <c r="O188" s="93"/>
      <c r="P188" s="93"/>
      <c r="Q188" s="93"/>
      <c r="S188" s="93"/>
    </row>
    <row r="189" spans="1:27" ht="27.6" x14ac:dyDescent="0.25">
      <c r="A189" s="93"/>
      <c r="B189" s="200" t="s">
        <v>1</v>
      </c>
      <c r="C189" s="201" t="s">
        <v>227</v>
      </c>
      <c r="D189" s="200" t="s">
        <v>3</v>
      </c>
      <c r="E189" s="200" t="s">
        <v>4</v>
      </c>
      <c r="F189" s="202" t="s">
        <v>233</v>
      </c>
      <c r="G189" s="357" t="s">
        <v>14</v>
      </c>
      <c r="H189" s="204" t="s">
        <v>16</v>
      </c>
      <c r="I189" s="204" t="s">
        <v>50</v>
      </c>
      <c r="J189" s="204" t="s">
        <v>46</v>
      </c>
      <c r="K189" s="204" t="s">
        <v>36</v>
      </c>
      <c r="L189" s="204" t="s">
        <v>5</v>
      </c>
      <c r="M189" s="204" t="s">
        <v>34</v>
      </c>
      <c r="N189" s="204" t="s">
        <v>48</v>
      </c>
      <c r="O189" s="204" t="s">
        <v>342</v>
      </c>
      <c r="P189" s="204" t="s">
        <v>1054</v>
      </c>
      <c r="Q189" s="205" t="s">
        <v>47</v>
      </c>
      <c r="R189" s="205" t="s">
        <v>1053</v>
      </c>
      <c r="S189" s="205" t="s">
        <v>345</v>
      </c>
      <c r="U189" s="358" t="s">
        <v>328</v>
      </c>
    </row>
    <row r="190" spans="1:27" ht="28.2" thickBot="1" x14ac:dyDescent="0.3">
      <c r="A190" s="93"/>
      <c r="B190" s="207" t="s">
        <v>234</v>
      </c>
      <c r="C190" s="207" t="s">
        <v>28</v>
      </c>
      <c r="D190" s="207" t="s">
        <v>32</v>
      </c>
      <c r="E190" s="207" t="s">
        <v>33</v>
      </c>
      <c r="F190" s="208"/>
      <c r="G190" s="209" t="s">
        <v>35</v>
      </c>
      <c r="H190" s="207" t="s">
        <v>303</v>
      </c>
      <c r="I190" s="207" t="s">
        <v>329</v>
      </c>
      <c r="J190" s="207" t="s">
        <v>304</v>
      </c>
      <c r="K190" s="207" t="s">
        <v>37</v>
      </c>
      <c r="L190" s="207" t="s">
        <v>38</v>
      </c>
      <c r="M190" s="207" t="s">
        <v>39</v>
      </c>
      <c r="N190" s="207" t="s">
        <v>218</v>
      </c>
      <c r="O190" s="207"/>
      <c r="P190" s="207"/>
      <c r="Q190" s="207"/>
      <c r="R190" s="207"/>
      <c r="S190" s="207"/>
      <c r="U190" s="93"/>
    </row>
    <row r="191" spans="1:27" ht="13.8" x14ac:dyDescent="0.25">
      <c r="A191" s="93"/>
      <c r="B191" s="210"/>
      <c r="C191" s="211"/>
      <c r="D191" s="211"/>
      <c r="E191" s="211" t="s">
        <v>231</v>
      </c>
      <c r="F191" s="212"/>
      <c r="G191" s="211"/>
      <c r="H191" s="211" t="s">
        <v>343</v>
      </c>
      <c r="I191" s="211" t="str">
        <f>General!$E$16</f>
        <v>PJ/GW</v>
      </c>
      <c r="J191" s="211" t="s">
        <v>306</v>
      </c>
      <c r="K191" s="211" t="str">
        <f>General!$E$28</f>
        <v>$/kW</v>
      </c>
      <c r="L191" s="211" t="str">
        <f>General!$E$24</f>
        <v>$/KW/Year</v>
      </c>
      <c r="M191" s="211" t="str">
        <f>General!$D$15</f>
        <v>$/GJ</v>
      </c>
      <c r="N191" s="211" t="str">
        <f>General!$D$20</f>
        <v>Years</v>
      </c>
      <c r="O191" s="211"/>
      <c r="P191" s="211"/>
      <c r="Q191" s="267"/>
      <c r="R191" s="267"/>
      <c r="S191" s="267"/>
      <c r="T191" s="93"/>
      <c r="U191" s="93"/>
    </row>
    <row r="192" spans="1:27" ht="13.8" x14ac:dyDescent="0.25">
      <c r="A192" s="93"/>
      <c r="B192" s="93" t="str">
        <f>X8</f>
        <v>INDISTCHPAUT_N_ST</v>
      </c>
      <c r="C192" s="93" t="str">
        <f>Y8</f>
        <v>On-site CHP Iron&amp;Steel NEW Standard</v>
      </c>
      <c r="D192" s="361" t="s">
        <v>265</v>
      </c>
      <c r="E192" s="93"/>
      <c r="F192" s="401">
        <f t="shared" ref="F192" si="25">G192</f>
        <v>2018</v>
      </c>
      <c r="G192" s="351">
        <v>2018</v>
      </c>
      <c r="H192" s="271">
        <v>0.33</v>
      </c>
      <c r="I192" s="271">
        <v>31.536000000000001</v>
      </c>
      <c r="J192" s="271">
        <v>0.8</v>
      </c>
      <c r="K192" s="271">
        <f>1000*(1/0.9)</f>
        <v>1111.1111111111111</v>
      </c>
      <c r="L192" s="271">
        <f>25*(1/0.9)</f>
        <v>27.777777777777779</v>
      </c>
      <c r="M192" s="271"/>
      <c r="N192" s="402">
        <v>25</v>
      </c>
      <c r="O192" s="346">
        <v>0.05</v>
      </c>
      <c r="P192" s="346">
        <f>O192</f>
        <v>0.05</v>
      </c>
      <c r="Q192" s="271">
        <v>2.2999999999999998</v>
      </c>
      <c r="R192" s="271">
        <f>ROUNDUP(Q192*0.8,1)</f>
        <v>1.9000000000000001</v>
      </c>
      <c r="S192" s="271">
        <v>0.2</v>
      </c>
      <c r="T192" s="93"/>
      <c r="U192" s="93"/>
      <c r="W192" s="272">
        <f>1*I192*J192/H192</f>
        <v>76.450909090909093</v>
      </c>
      <c r="X192" s="273">
        <f>W192*(H192/(Q192*S192+1))</f>
        <v>17.28</v>
      </c>
      <c r="Y192" s="274">
        <f>X192*Q192</f>
        <v>39.744</v>
      </c>
      <c r="Z192" s="403">
        <f>SUM(X192:Y192)/W192</f>
        <v>0.74589041095890407</v>
      </c>
      <c r="AA192" s="276">
        <f>X192/W192</f>
        <v>0.22602739726027399</v>
      </c>
    </row>
    <row r="193" spans="1:27" ht="13.8" x14ac:dyDescent="0.25">
      <c r="A193" s="93"/>
      <c r="B193" s="93"/>
      <c r="C193" s="93"/>
      <c r="D193" s="93" t="s">
        <v>426</v>
      </c>
      <c r="E193" s="93"/>
      <c r="F193" s="362">
        <f>F192</f>
        <v>2018</v>
      </c>
      <c r="G193" s="351"/>
      <c r="H193" s="342"/>
      <c r="I193" s="342"/>
      <c r="J193" s="342"/>
      <c r="K193" s="342"/>
      <c r="L193" s="342"/>
      <c r="M193" s="342"/>
      <c r="N193" s="402"/>
      <c r="O193" s="346">
        <v>0.7</v>
      </c>
      <c r="P193" s="346">
        <f t="shared" ref="P193:P196" si="26">O193</f>
        <v>0.7</v>
      </c>
      <c r="Q193" s="342"/>
      <c r="R193" s="342"/>
      <c r="S193" s="342"/>
      <c r="T193" s="93"/>
      <c r="U193" s="93"/>
      <c r="W193" s="404"/>
      <c r="X193" s="405"/>
      <c r="Y193" s="405"/>
      <c r="Z193" s="404"/>
      <c r="AA193" s="280"/>
    </row>
    <row r="194" spans="1:27" ht="13.8" x14ac:dyDescent="0.25">
      <c r="A194" s="93"/>
      <c r="B194" s="93"/>
      <c r="C194" s="93"/>
      <c r="D194" s="93" t="s">
        <v>164</v>
      </c>
      <c r="E194" s="93"/>
      <c r="F194" s="362">
        <f t="shared" ref="F194:F198" si="27">F193</f>
        <v>2018</v>
      </c>
      <c r="G194" s="93"/>
      <c r="H194" s="342"/>
      <c r="I194" s="342"/>
      <c r="J194" s="342"/>
      <c r="K194" s="342"/>
      <c r="L194" s="342"/>
      <c r="M194" s="342"/>
      <c r="N194" s="402"/>
      <c r="O194" s="346">
        <v>0.5</v>
      </c>
      <c r="P194" s="346">
        <f t="shared" si="26"/>
        <v>0.5</v>
      </c>
      <c r="Q194" s="342"/>
      <c r="R194" s="342"/>
      <c r="S194" s="342"/>
      <c r="T194" s="93"/>
      <c r="U194" s="93"/>
      <c r="W194" s="404"/>
      <c r="X194" s="405"/>
      <c r="Y194" s="405"/>
      <c r="Z194" s="404"/>
      <c r="AA194" s="280"/>
    </row>
    <row r="195" spans="1:27" ht="13.8" x14ac:dyDescent="0.25">
      <c r="A195" s="93"/>
      <c r="B195" s="93"/>
      <c r="C195" s="93"/>
      <c r="D195" s="93" t="s">
        <v>166</v>
      </c>
      <c r="E195" s="93"/>
      <c r="F195" s="362">
        <f t="shared" si="27"/>
        <v>2018</v>
      </c>
      <c r="G195" s="351"/>
      <c r="H195" s="271"/>
      <c r="I195" s="271"/>
      <c r="J195" s="271"/>
      <c r="K195" s="271"/>
      <c r="L195" s="271"/>
      <c r="M195" s="271"/>
      <c r="N195" s="402"/>
      <c r="O195" s="346">
        <v>0.05</v>
      </c>
      <c r="P195" s="346">
        <f t="shared" si="26"/>
        <v>0.05</v>
      </c>
      <c r="Q195" s="271"/>
      <c r="R195" s="271"/>
      <c r="S195" s="271"/>
      <c r="T195" s="93"/>
      <c r="U195" s="93"/>
      <c r="W195" s="404"/>
      <c r="X195" s="405"/>
      <c r="Y195" s="405"/>
      <c r="Z195" s="404"/>
      <c r="AA195" s="280"/>
    </row>
    <row r="196" spans="1:27" ht="13.8" x14ac:dyDescent="0.25">
      <c r="B196" s="93"/>
      <c r="C196" s="93"/>
      <c r="D196" s="93" t="s">
        <v>144</v>
      </c>
      <c r="E196" s="93"/>
      <c r="F196" s="362">
        <f t="shared" si="27"/>
        <v>2018</v>
      </c>
      <c r="G196" s="351"/>
      <c r="H196" s="342"/>
      <c r="I196" s="342"/>
      <c r="J196" s="342"/>
      <c r="K196" s="342"/>
      <c r="L196" s="342"/>
      <c r="M196" s="342"/>
      <c r="N196" s="402"/>
      <c r="O196" s="346">
        <v>0</v>
      </c>
      <c r="P196" s="346">
        <f t="shared" si="26"/>
        <v>0</v>
      </c>
      <c r="Q196" s="342"/>
      <c r="R196" s="342"/>
      <c r="S196" s="342"/>
      <c r="W196" s="404"/>
      <c r="X196" s="405"/>
      <c r="Y196" s="405"/>
      <c r="Z196" s="404"/>
      <c r="AA196" s="280"/>
    </row>
    <row r="197" spans="1:27" ht="13.8" x14ac:dyDescent="0.25">
      <c r="B197" s="93"/>
      <c r="C197" s="93"/>
      <c r="D197" s="93"/>
      <c r="E197" s="93" t="s">
        <v>418</v>
      </c>
      <c r="F197" s="362">
        <f t="shared" si="27"/>
        <v>2018</v>
      </c>
      <c r="G197" s="93"/>
      <c r="H197" s="342"/>
      <c r="I197" s="342"/>
      <c r="J197" s="342"/>
      <c r="K197" s="342"/>
      <c r="L197" s="342"/>
      <c r="M197" s="342"/>
      <c r="N197" s="402"/>
      <c r="O197" s="342"/>
      <c r="P197" s="342"/>
      <c r="Q197" s="342"/>
      <c r="R197" s="342"/>
      <c r="S197" s="342"/>
      <c r="W197" s="404"/>
      <c r="X197" s="405"/>
      <c r="Y197" s="405"/>
      <c r="Z197" s="404"/>
      <c r="AA197" s="280"/>
    </row>
    <row r="198" spans="1:27" ht="13.8" x14ac:dyDescent="0.25">
      <c r="B198" s="366"/>
      <c r="C198" s="366"/>
      <c r="D198" s="366"/>
      <c r="E198" s="366" t="s">
        <v>199</v>
      </c>
      <c r="F198" s="362">
        <f t="shared" si="27"/>
        <v>2018</v>
      </c>
      <c r="G198" s="406"/>
      <c r="H198" s="407"/>
      <c r="I198" s="407"/>
      <c r="J198" s="407"/>
      <c r="K198" s="407"/>
      <c r="L198" s="407"/>
      <c r="M198" s="407"/>
      <c r="N198" s="408"/>
      <c r="O198" s="407"/>
      <c r="P198" s="407"/>
      <c r="Q198" s="407"/>
      <c r="R198" s="407"/>
      <c r="S198" s="407"/>
      <c r="W198" s="404"/>
      <c r="X198" s="405"/>
      <c r="Y198" s="405"/>
      <c r="Z198" s="404"/>
      <c r="AA198" s="280"/>
    </row>
    <row r="199" spans="1:27" ht="13.8" x14ac:dyDescent="0.25">
      <c r="B199" s="93" t="str">
        <f>X9</f>
        <v>INDISTCHPAUT_N_IM</v>
      </c>
      <c r="C199" s="93" t="str">
        <f>Y9</f>
        <v>On-site CHP Iron&amp;Steel NEW Improved</v>
      </c>
      <c r="D199" s="361" t="s">
        <v>265</v>
      </c>
      <c r="E199" s="93"/>
      <c r="F199" s="401">
        <f>G199</f>
        <v>2020</v>
      </c>
      <c r="G199" s="351">
        <v>2020</v>
      </c>
      <c r="H199" s="271">
        <v>0.36</v>
      </c>
      <c r="I199" s="271">
        <v>31.536000000000001</v>
      </c>
      <c r="J199" s="271">
        <v>0.8</v>
      </c>
      <c r="K199" s="271">
        <f>K192*1.1</f>
        <v>1222.2222222222224</v>
      </c>
      <c r="L199" s="271">
        <f>L192</f>
        <v>27.777777777777779</v>
      </c>
      <c r="M199" s="271"/>
      <c r="N199" s="402">
        <v>25</v>
      </c>
      <c r="O199" s="346">
        <v>0.05</v>
      </c>
      <c r="P199" s="346">
        <f>O199</f>
        <v>0.05</v>
      </c>
      <c r="Q199" s="271">
        <v>2.2999999999999998</v>
      </c>
      <c r="R199" s="271">
        <f>ROUNDUP(Q199*0.8,1)</f>
        <v>1.9000000000000001</v>
      </c>
      <c r="S199" s="271">
        <v>0.2</v>
      </c>
      <c r="W199" s="284">
        <f>1*I199*J199/H199</f>
        <v>70.080000000000013</v>
      </c>
      <c r="X199" s="285">
        <f>W199*(H199/(Q199*S199+1))</f>
        <v>17.28</v>
      </c>
      <c r="Y199" s="286">
        <f>X199*Q199</f>
        <v>39.744</v>
      </c>
      <c r="Z199" s="409">
        <f>SUM(X199:Y199)/W199</f>
        <v>0.81369863013698618</v>
      </c>
      <c r="AA199" s="280">
        <f>X199/W199</f>
        <v>0.24657534246575338</v>
      </c>
    </row>
    <row r="200" spans="1:27" ht="13.8" x14ac:dyDescent="0.25">
      <c r="B200" s="93"/>
      <c r="C200" s="93"/>
      <c r="D200" s="93" t="s">
        <v>426</v>
      </c>
      <c r="E200" s="93"/>
      <c r="F200" s="362">
        <f>F199</f>
        <v>2020</v>
      </c>
      <c r="G200" s="351"/>
      <c r="H200" s="342"/>
      <c r="I200" s="342"/>
      <c r="J200" s="342"/>
      <c r="K200" s="342"/>
      <c r="L200" s="342"/>
      <c r="M200" s="342"/>
      <c r="N200" s="402"/>
      <c r="O200" s="346">
        <v>0.4</v>
      </c>
      <c r="P200" s="346">
        <f t="shared" ref="P200:P203" si="28">O200</f>
        <v>0.4</v>
      </c>
      <c r="Q200" s="342"/>
      <c r="R200" s="342"/>
      <c r="S200" s="342"/>
      <c r="W200" s="404"/>
      <c r="X200" s="405"/>
      <c r="Y200" s="405"/>
      <c r="Z200" s="404"/>
      <c r="AA200" s="280"/>
    </row>
    <row r="201" spans="1:27" ht="13.8" x14ac:dyDescent="0.25">
      <c r="B201" s="93"/>
      <c r="C201" s="93"/>
      <c r="D201" s="93" t="s">
        <v>164</v>
      </c>
      <c r="E201" s="93"/>
      <c r="F201" s="362">
        <f t="shared" ref="F201:F205" si="29">F200</f>
        <v>2020</v>
      </c>
      <c r="G201" s="93"/>
      <c r="H201" s="342"/>
      <c r="I201" s="342"/>
      <c r="J201" s="342"/>
      <c r="K201" s="342"/>
      <c r="L201" s="342"/>
      <c r="M201" s="342"/>
      <c r="N201" s="402"/>
      <c r="O201" s="346">
        <v>0.8</v>
      </c>
      <c r="P201" s="346">
        <f t="shared" si="28"/>
        <v>0.8</v>
      </c>
      <c r="Q201" s="342"/>
      <c r="R201" s="342"/>
      <c r="S201" s="342"/>
      <c r="W201" s="404"/>
      <c r="X201" s="405"/>
      <c r="Y201" s="405"/>
      <c r="Z201" s="404"/>
      <c r="AA201" s="280"/>
    </row>
    <row r="202" spans="1:27" ht="13.8" x14ac:dyDescent="0.25">
      <c r="B202" s="93"/>
      <c r="C202" s="93"/>
      <c r="D202" s="93" t="s">
        <v>166</v>
      </c>
      <c r="E202" s="93"/>
      <c r="F202" s="362">
        <f t="shared" si="29"/>
        <v>2020</v>
      </c>
      <c r="G202" s="351"/>
      <c r="H202" s="271"/>
      <c r="I202" s="271"/>
      <c r="J202" s="271"/>
      <c r="K202" s="271"/>
      <c r="L202" s="271"/>
      <c r="M202" s="271"/>
      <c r="N202" s="402"/>
      <c r="O202" s="346">
        <v>0.05</v>
      </c>
      <c r="P202" s="346">
        <f t="shared" si="28"/>
        <v>0.05</v>
      </c>
      <c r="Q202" s="271"/>
      <c r="R202" s="271"/>
      <c r="S202" s="271"/>
      <c r="W202" s="404"/>
      <c r="X202" s="405"/>
      <c r="Y202" s="405"/>
      <c r="Z202" s="404"/>
      <c r="AA202" s="280"/>
    </row>
    <row r="203" spans="1:27" ht="13.8" x14ac:dyDescent="0.25">
      <c r="B203" s="93"/>
      <c r="C203" s="93"/>
      <c r="D203" s="93" t="s">
        <v>144</v>
      </c>
      <c r="E203" s="93"/>
      <c r="F203" s="362">
        <f t="shared" si="29"/>
        <v>2020</v>
      </c>
      <c r="G203" s="351"/>
      <c r="H203" s="342"/>
      <c r="I203" s="342"/>
      <c r="J203" s="342"/>
      <c r="K203" s="342"/>
      <c r="L203" s="342"/>
      <c r="M203" s="342"/>
      <c r="N203" s="402"/>
      <c r="O203" s="346">
        <v>0</v>
      </c>
      <c r="P203" s="346">
        <f t="shared" si="28"/>
        <v>0</v>
      </c>
      <c r="Q203" s="342"/>
      <c r="R203" s="342"/>
      <c r="S203" s="342"/>
      <c r="W203" s="404"/>
      <c r="X203" s="405"/>
      <c r="Y203" s="405"/>
      <c r="Z203" s="404"/>
      <c r="AA203" s="280"/>
    </row>
    <row r="204" spans="1:27" ht="13.8" x14ac:dyDescent="0.25">
      <c r="B204" s="93"/>
      <c r="C204" s="93"/>
      <c r="D204" s="93"/>
      <c r="E204" s="93" t="s">
        <v>418</v>
      </c>
      <c r="F204" s="362">
        <f t="shared" si="29"/>
        <v>2020</v>
      </c>
      <c r="G204" s="93"/>
      <c r="H204" s="342"/>
      <c r="I204" s="342"/>
      <c r="J204" s="342"/>
      <c r="K204" s="342"/>
      <c r="L204" s="342"/>
      <c r="M204" s="342"/>
      <c r="N204" s="402"/>
      <c r="O204" s="342"/>
      <c r="P204" s="346"/>
      <c r="Q204" s="342"/>
      <c r="R204" s="342"/>
      <c r="S204" s="342"/>
      <c r="W204" s="404"/>
      <c r="X204" s="405"/>
      <c r="Y204" s="405"/>
      <c r="Z204" s="404"/>
      <c r="AA204" s="280"/>
    </row>
    <row r="205" spans="1:27" ht="13.8" x14ac:dyDescent="0.25">
      <c r="B205" s="366"/>
      <c r="C205" s="366"/>
      <c r="D205" s="366"/>
      <c r="E205" s="366" t="s">
        <v>199</v>
      </c>
      <c r="F205" s="367">
        <f t="shared" si="29"/>
        <v>2020</v>
      </c>
      <c r="G205" s="406"/>
      <c r="H205" s="407"/>
      <c r="I205" s="407"/>
      <c r="J205" s="407"/>
      <c r="K205" s="407"/>
      <c r="L205" s="407"/>
      <c r="M205" s="407"/>
      <c r="N205" s="408"/>
      <c r="O205" s="407"/>
      <c r="P205" s="410"/>
      <c r="Q205" s="407"/>
      <c r="R205" s="407"/>
      <c r="S205" s="407"/>
      <c r="W205" s="404"/>
      <c r="X205" s="405"/>
      <c r="Y205" s="405"/>
      <c r="Z205" s="404"/>
      <c r="AA205" s="280"/>
    </row>
    <row r="206" spans="1:27" ht="13.8" x14ac:dyDescent="0.25">
      <c r="B206" s="93" t="str">
        <f>X10</f>
        <v>INDISTCHPAUT_N_AD</v>
      </c>
      <c r="C206" s="93" t="str">
        <f>Y10</f>
        <v>On-site CHP Iron&amp;Steel NEW Advanced</v>
      </c>
      <c r="D206" s="361" t="s">
        <v>265</v>
      </c>
      <c r="E206" s="93"/>
      <c r="F206" s="401">
        <f>G206</f>
        <v>2030</v>
      </c>
      <c r="G206" s="351">
        <v>2030</v>
      </c>
      <c r="H206" s="271">
        <v>0.4</v>
      </c>
      <c r="I206" s="271">
        <v>31.536000000000001</v>
      </c>
      <c r="J206" s="271">
        <v>0.8</v>
      </c>
      <c r="K206" s="271">
        <f>K199*1.1</f>
        <v>1344.4444444444448</v>
      </c>
      <c r="L206" s="271">
        <f>L199</f>
        <v>27.777777777777779</v>
      </c>
      <c r="M206" s="271"/>
      <c r="N206" s="402">
        <v>25</v>
      </c>
      <c r="O206" s="346">
        <v>0.05</v>
      </c>
      <c r="P206" s="346">
        <f>O206</f>
        <v>0.05</v>
      </c>
      <c r="Q206" s="271">
        <v>2.2999999999999998</v>
      </c>
      <c r="R206" s="271">
        <f>ROUNDUP(Q206*0.8,1)</f>
        <v>1.9000000000000001</v>
      </c>
      <c r="S206" s="271">
        <v>0.2</v>
      </c>
      <c r="W206" s="288">
        <f>1*I206*J206/H206</f>
        <v>63.072000000000003</v>
      </c>
      <c r="X206" s="289">
        <f>W206*(H206/(Q206*S206+1))</f>
        <v>17.280000000000005</v>
      </c>
      <c r="Y206" s="290">
        <f>X206*Q206</f>
        <v>39.744000000000007</v>
      </c>
      <c r="Z206" s="411">
        <f>SUM(X206:Y206)/W206</f>
        <v>0.90410958904109606</v>
      </c>
      <c r="AA206" s="292">
        <f>X206/W206</f>
        <v>0.27397260273972607</v>
      </c>
    </row>
    <row r="207" spans="1:27" ht="13.8" x14ac:dyDescent="0.25">
      <c r="B207" s="93"/>
      <c r="C207" s="93"/>
      <c r="D207" s="93" t="s">
        <v>426</v>
      </c>
      <c r="E207" s="93"/>
      <c r="F207" s="362">
        <f>F206</f>
        <v>2030</v>
      </c>
      <c r="G207" s="351"/>
      <c r="H207" s="342"/>
      <c r="I207" s="342"/>
      <c r="J207" s="342"/>
      <c r="K207" s="342"/>
      <c r="L207" s="342"/>
      <c r="M207" s="342"/>
      <c r="N207" s="402"/>
      <c r="O207" s="346">
        <v>0.1</v>
      </c>
      <c r="P207" s="346">
        <f t="shared" ref="P207:P210" si="30">O207</f>
        <v>0.1</v>
      </c>
      <c r="Q207" s="342"/>
      <c r="R207" s="342"/>
      <c r="S207" s="342"/>
    </row>
    <row r="208" spans="1:27" ht="13.8" x14ac:dyDescent="0.25">
      <c r="B208" s="93"/>
      <c r="C208" s="93"/>
      <c r="D208" s="93" t="s">
        <v>164</v>
      </c>
      <c r="E208" s="93"/>
      <c r="F208" s="362">
        <f t="shared" ref="F208:F212" si="31">F207</f>
        <v>2030</v>
      </c>
      <c r="G208" s="93"/>
      <c r="H208" s="342"/>
      <c r="I208" s="342"/>
      <c r="J208" s="342"/>
      <c r="K208" s="342"/>
      <c r="L208" s="342"/>
      <c r="M208" s="342"/>
      <c r="N208" s="342"/>
      <c r="O208" s="346">
        <v>1</v>
      </c>
      <c r="P208" s="346">
        <f t="shared" si="30"/>
        <v>1</v>
      </c>
      <c r="Q208" s="342"/>
      <c r="R208" s="342"/>
      <c r="S208" s="342"/>
    </row>
    <row r="209" spans="2:19" ht="13.8" x14ac:dyDescent="0.25">
      <c r="B209" s="93"/>
      <c r="C209" s="93"/>
      <c r="D209" s="93" t="s">
        <v>166</v>
      </c>
      <c r="E209" s="93"/>
      <c r="F209" s="362">
        <f t="shared" si="31"/>
        <v>2030</v>
      </c>
      <c r="G209" s="351"/>
      <c r="H209" s="271"/>
      <c r="I209" s="271"/>
      <c r="J209" s="271"/>
      <c r="K209" s="271"/>
      <c r="L209" s="271"/>
      <c r="M209" s="271"/>
      <c r="N209" s="271"/>
      <c r="O209" s="346">
        <v>0.05</v>
      </c>
      <c r="P209" s="346">
        <f t="shared" si="30"/>
        <v>0.05</v>
      </c>
      <c r="Q209" s="271"/>
      <c r="R209" s="271"/>
      <c r="S209" s="271"/>
    </row>
    <row r="210" spans="2:19" ht="13.8" x14ac:dyDescent="0.25">
      <c r="B210" s="93"/>
      <c r="C210" s="93"/>
      <c r="D210" s="93" t="s">
        <v>144</v>
      </c>
      <c r="E210" s="93"/>
      <c r="F210" s="362">
        <f t="shared" si="31"/>
        <v>2030</v>
      </c>
      <c r="G210" s="351"/>
      <c r="H210" s="342"/>
      <c r="I210" s="342"/>
      <c r="J210" s="342"/>
      <c r="K210" s="342"/>
      <c r="L210" s="342"/>
      <c r="M210" s="342"/>
      <c r="N210" s="342"/>
      <c r="O210" s="346">
        <v>0</v>
      </c>
      <c r="P210" s="346">
        <f t="shared" si="30"/>
        <v>0</v>
      </c>
      <c r="Q210" s="342"/>
      <c r="R210" s="342"/>
      <c r="S210" s="342"/>
    </row>
    <row r="211" spans="2:19" ht="13.8" x14ac:dyDescent="0.25">
      <c r="B211" s="93"/>
      <c r="C211" s="93"/>
      <c r="D211" s="93"/>
      <c r="E211" s="93" t="s">
        <v>418</v>
      </c>
      <c r="F211" s="362">
        <f t="shared" si="31"/>
        <v>2030</v>
      </c>
      <c r="G211" s="93"/>
      <c r="H211" s="342"/>
      <c r="I211" s="342"/>
      <c r="J211" s="342"/>
      <c r="K211" s="342"/>
      <c r="L211" s="342"/>
      <c r="M211" s="342"/>
      <c r="N211" s="342"/>
      <c r="O211" s="342"/>
      <c r="P211" s="342"/>
      <c r="Q211" s="342"/>
      <c r="R211" s="342"/>
      <c r="S211" s="342"/>
    </row>
    <row r="212" spans="2:19" ht="13.8" x14ac:dyDescent="0.25">
      <c r="B212" s="366"/>
      <c r="C212" s="366"/>
      <c r="D212" s="366"/>
      <c r="E212" s="366" t="s">
        <v>199</v>
      </c>
      <c r="F212" s="367">
        <f t="shared" si="31"/>
        <v>2030</v>
      </c>
      <c r="G212" s="406"/>
      <c r="H212" s="407"/>
      <c r="I212" s="407"/>
      <c r="J212" s="407"/>
      <c r="K212" s="407"/>
      <c r="L212" s="407"/>
      <c r="M212" s="407"/>
      <c r="N212" s="407"/>
      <c r="O212" s="407"/>
      <c r="P212" s="407"/>
      <c r="Q212" s="407"/>
      <c r="R212" s="407"/>
      <c r="S212" s="40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4107-E463-4E48-A9DF-1A4754C2FBC1}">
  <dimension ref="A1:AG13"/>
  <sheetViews>
    <sheetView zoomScale="70" zoomScaleNormal="70" workbookViewId="0">
      <selection sqref="A1:XFD1048576"/>
    </sheetView>
  </sheetViews>
  <sheetFormatPr defaultRowHeight="13.2" x14ac:dyDescent="0.25"/>
  <cols>
    <col min="1" max="1" width="8.88671875" style="36"/>
    <col min="2" max="2" width="13.88671875" style="36" customWidth="1"/>
    <col min="3" max="3" width="39.44140625" style="36" customWidth="1"/>
    <col min="4" max="4" width="13.5546875" style="36" customWidth="1"/>
    <col min="5" max="5" width="12.6640625" style="36" bestFit="1" customWidth="1"/>
    <col min="6" max="6" width="20.109375" style="36" customWidth="1"/>
    <col min="7" max="7" width="12.44140625" style="36" bestFit="1" customWidth="1"/>
    <col min="8" max="8" width="15.33203125" style="36" bestFit="1" customWidth="1"/>
    <col min="9" max="9" width="20.33203125" style="36" customWidth="1"/>
    <col min="10" max="10" width="18.109375" style="36" customWidth="1"/>
    <col min="11" max="11" width="8.88671875" style="36"/>
    <col min="12" max="12" width="23" style="36" customWidth="1"/>
    <col min="13" max="13" width="21.109375" style="36" customWidth="1"/>
    <col min="14" max="14" width="9.109375" style="36"/>
    <col min="15" max="15" width="8.88671875" style="36"/>
    <col min="16" max="16" width="25.88671875" style="36" customWidth="1"/>
    <col min="17" max="17" width="23.5546875" style="36" bestFit="1" customWidth="1"/>
    <col min="18" max="18" width="32.88671875" style="36" customWidth="1"/>
    <col min="19" max="19" width="11.5546875" style="36" bestFit="1" customWidth="1"/>
    <col min="20" max="20" width="13.44140625" style="36" bestFit="1" customWidth="1"/>
    <col min="21" max="21" width="33.44140625" style="36" bestFit="1" customWidth="1"/>
    <col min="22" max="22" width="26.44140625" style="36" bestFit="1" customWidth="1"/>
    <col min="23" max="26" width="8.88671875" style="36"/>
    <col min="27" max="27" width="16" style="36" bestFit="1" customWidth="1"/>
    <col min="28" max="28" width="57.6640625" style="36" bestFit="1" customWidth="1"/>
    <col min="29" max="29" width="8.88671875" style="36"/>
    <col min="30" max="30" width="23.88671875" style="36" bestFit="1" customWidth="1"/>
    <col min="31" max="16384" width="8.88671875" style="36"/>
  </cols>
  <sheetData>
    <row r="1" spans="1:33" s="35" customFormat="1" ht="17.399999999999999" x14ac:dyDescent="0.3">
      <c r="A1" s="34"/>
      <c r="B1" s="34" t="s">
        <v>425</v>
      </c>
      <c r="C1" s="34"/>
      <c r="D1" s="34"/>
      <c r="E1" s="34"/>
      <c r="F1" s="34"/>
      <c r="G1" s="34"/>
      <c r="H1" s="34"/>
      <c r="I1" s="34"/>
      <c r="J1" s="34"/>
      <c r="N1" s="36"/>
    </row>
    <row r="3" spans="1:33" ht="13.8" x14ac:dyDescent="0.25">
      <c r="P3" s="37" t="s">
        <v>312</v>
      </c>
      <c r="Q3" s="37"/>
      <c r="R3" s="37"/>
      <c r="S3" s="37"/>
      <c r="T3" s="37"/>
      <c r="U3" s="37"/>
      <c r="V3" s="37"/>
      <c r="W3" s="37"/>
    </row>
    <row r="4" spans="1:33" ht="13.8" x14ac:dyDescent="0.25">
      <c r="P4" s="38" t="s">
        <v>226</v>
      </c>
      <c r="Q4" s="38" t="s">
        <v>232</v>
      </c>
      <c r="R4" s="37"/>
      <c r="S4" s="37"/>
      <c r="T4" s="37"/>
      <c r="U4" s="37"/>
      <c r="V4" s="37"/>
      <c r="W4" s="37"/>
    </row>
    <row r="5" spans="1:33" ht="13.8" x14ac:dyDescent="0.25">
      <c r="S5" s="38"/>
      <c r="T5" s="38"/>
      <c r="U5" s="38"/>
      <c r="V5" s="38"/>
      <c r="W5" s="38"/>
    </row>
    <row r="6" spans="1:33" ht="13.8" x14ac:dyDescent="0.25">
      <c r="G6" s="39" t="s">
        <v>0</v>
      </c>
      <c r="H6" s="40"/>
      <c r="I6" s="40"/>
      <c r="J6" s="40"/>
      <c r="K6" s="40"/>
      <c r="L6" s="40"/>
      <c r="M6" s="40"/>
      <c r="N6" s="40"/>
      <c r="P6" s="41" t="s">
        <v>17</v>
      </c>
      <c r="Q6" s="38"/>
      <c r="R6" s="38"/>
      <c r="S6" s="38"/>
      <c r="T6" s="38"/>
      <c r="U6" s="38"/>
      <c r="V6" s="38"/>
      <c r="W6" s="38"/>
      <c r="Z6" s="42" t="s">
        <v>308</v>
      </c>
      <c r="AA6" s="43"/>
      <c r="AB6" s="43"/>
      <c r="AC6" s="44"/>
      <c r="AD6" s="43"/>
      <c r="AE6" s="43"/>
      <c r="AF6" s="43"/>
      <c r="AG6" s="43"/>
    </row>
    <row r="7" spans="1:33" ht="18" customHeight="1" x14ac:dyDescent="0.25">
      <c r="B7" s="45" t="s">
        <v>1</v>
      </c>
      <c r="C7" s="45" t="s">
        <v>2</v>
      </c>
      <c r="D7" s="45" t="s">
        <v>315</v>
      </c>
      <c r="E7" s="45" t="s">
        <v>3</v>
      </c>
      <c r="F7" s="45" t="s">
        <v>4</v>
      </c>
      <c r="G7" s="46" t="s">
        <v>233</v>
      </c>
      <c r="H7" s="47" t="s">
        <v>322</v>
      </c>
      <c r="I7" s="48" t="s">
        <v>52</v>
      </c>
      <c r="J7" s="49" t="s">
        <v>14</v>
      </c>
      <c r="K7" s="49" t="s">
        <v>49</v>
      </c>
      <c r="L7" s="49" t="s">
        <v>36</v>
      </c>
      <c r="M7" s="49" t="s">
        <v>16</v>
      </c>
      <c r="N7" s="49" t="s">
        <v>1057</v>
      </c>
      <c r="P7" s="50" t="s">
        <v>15</v>
      </c>
      <c r="Q7" s="50" t="s">
        <v>1</v>
      </c>
      <c r="R7" s="50" t="s">
        <v>2</v>
      </c>
      <c r="S7" s="50" t="s">
        <v>18</v>
      </c>
      <c r="T7" s="50" t="s">
        <v>19</v>
      </c>
      <c r="U7" s="50" t="s">
        <v>20</v>
      </c>
      <c r="V7" s="50" t="s">
        <v>21</v>
      </c>
      <c r="W7" s="50" t="s">
        <v>22</v>
      </c>
      <c r="Z7" s="51" t="s">
        <v>7</v>
      </c>
      <c r="AA7" s="51" t="s">
        <v>6</v>
      </c>
      <c r="AB7" s="51" t="s">
        <v>8</v>
      </c>
      <c r="AC7" s="52" t="s">
        <v>9</v>
      </c>
      <c r="AD7" s="53" t="s">
        <v>10</v>
      </c>
      <c r="AE7" s="53" t="s">
        <v>11</v>
      </c>
      <c r="AF7" s="53" t="s">
        <v>12</v>
      </c>
      <c r="AG7" s="53" t="s">
        <v>13</v>
      </c>
    </row>
    <row r="8" spans="1:33" ht="19.5" customHeight="1" thickBot="1" x14ac:dyDescent="0.3">
      <c r="B8" s="54" t="s">
        <v>314</v>
      </c>
      <c r="C8" s="54"/>
      <c r="D8" s="54"/>
      <c r="E8" s="54"/>
      <c r="F8" s="54"/>
      <c r="G8" s="55"/>
      <c r="H8" s="56"/>
      <c r="I8" s="56" t="s">
        <v>320</v>
      </c>
      <c r="J8" s="54"/>
      <c r="K8" s="54" t="s">
        <v>40</v>
      </c>
      <c r="L8" s="54" t="s">
        <v>451</v>
      </c>
      <c r="M8" s="54" t="s">
        <v>321</v>
      </c>
      <c r="N8" s="54" t="s">
        <v>321</v>
      </c>
      <c r="P8" s="57" t="s">
        <v>228</v>
      </c>
      <c r="Q8" s="57" t="s">
        <v>27</v>
      </c>
      <c r="R8" s="57" t="s">
        <v>28</v>
      </c>
      <c r="S8" s="57" t="s">
        <v>29</v>
      </c>
      <c r="T8" s="57" t="s">
        <v>30</v>
      </c>
      <c r="U8" s="57" t="s">
        <v>229</v>
      </c>
      <c r="V8" s="57" t="s">
        <v>230</v>
      </c>
      <c r="W8" s="57" t="s">
        <v>31</v>
      </c>
      <c r="Z8" s="58" t="s">
        <v>309</v>
      </c>
      <c r="AA8" s="58" t="s">
        <v>23</v>
      </c>
      <c r="AB8" s="58" t="s">
        <v>24</v>
      </c>
      <c r="AC8" s="59" t="s">
        <v>9</v>
      </c>
      <c r="AD8" s="58" t="s">
        <v>310</v>
      </c>
      <c r="AE8" s="58" t="s">
        <v>311</v>
      </c>
      <c r="AF8" s="58" t="s">
        <v>25</v>
      </c>
      <c r="AG8" s="58" t="s">
        <v>26</v>
      </c>
    </row>
    <row r="9" spans="1:33" ht="17.25" customHeight="1" x14ac:dyDescent="0.25">
      <c r="B9" s="60" t="str">
        <f>Q9</f>
        <v>IND_CCS_N01</v>
      </c>
      <c r="C9" s="60" t="str">
        <f>R9</f>
        <v>CCS for Steel-Cement-Petrolchemical industry</v>
      </c>
      <c r="D9" s="60"/>
      <c r="E9" s="60" t="str">
        <f>AA9</f>
        <v>INDSSCO2N</v>
      </c>
      <c r="F9" s="60" t="s">
        <v>295</v>
      </c>
      <c r="G9" s="61">
        <f>J9</f>
        <v>2035</v>
      </c>
      <c r="H9" s="62">
        <v>0.5</v>
      </c>
      <c r="J9" s="62">
        <v>2035</v>
      </c>
      <c r="K9" s="62">
        <v>10</v>
      </c>
      <c r="L9" s="63">
        <v>0.4</v>
      </c>
      <c r="M9" s="62">
        <v>0.5</v>
      </c>
      <c r="N9" s="64">
        <v>-1</v>
      </c>
      <c r="P9" s="37" t="s">
        <v>272</v>
      </c>
      <c r="Q9" s="37" t="str">
        <f>"IND_CCS_N01"</f>
        <v>IND_CCS_N01</v>
      </c>
      <c r="R9" s="37" t="s">
        <v>424</v>
      </c>
      <c r="S9" s="37" t="s">
        <v>244</v>
      </c>
      <c r="T9" s="37" t="s">
        <v>313</v>
      </c>
      <c r="U9" s="37"/>
      <c r="V9" s="37" t="str">
        <f>F12</f>
        <v>INDSCO2N</v>
      </c>
      <c r="W9" s="37" t="s">
        <v>44</v>
      </c>
      <c r="Z9" s="43" t="s">
        <v>60</v>
      </c>
      <c r="AA9" s="60" t="s">
        <v>317</v>
      </c>
      <c r="AB9" s="65" t="s">
        <v>319</v>
      </c>
      <c r="AC9" s="43" t="s">
        <v>244</v>
      </c>
      <c r="AD9" s="43" t="s">
        <v>43</v>
      </c>
      <c r="AE9" s="43"/>
      <c r="AF9" s="43"/>
      <c r="AG9" s="43"/>
    </row>
    <row r="10" spans="1:33" ht="13.8" x14ac:dyDescent="0.25">
      <c r="B10" s="60"/>
      <c r="C10" s="60"/>
      <c r="E10" s="60" t="str">
        <f>Commodities!O10</f>
        <v>INDCO2</v>
      </c>
      <c r="F10" s="60"/>
      <c r="G10" s="61">
        <f>G9</f>
        <v>2035</v>
      </c>
      <c r="H10" s="62">
        <v>0.5</v>
      </c>
      <c r="J10" s="62"/>
      <c r="K10" s="62"/>
      <c r="L10" s="62"/>
      <c r="M10" s="62"/>
      <c r="N10" s="64"/>
      <c r="P10" s="37"/>
      <c r="Q10" s="37" t="s">
        <v>436</v>
      </c>
      <c r="R10" s="37" t="s">
        <v>437</v>
      </c>
      <c r="S10" s="37" t="s">
        <v>244</v>
      </c>
      <c r="T10" s="37" t="s">
        <v>313</v>
      </c>
      <c r="U10" s="37"/>
      <c r="V10" s="37" t="s">
        <v>323</v>
      </c>
      <c r="W10" s="37"/>
      <c r="Z10" s="43"/>
      <c r="AA10" s="60" t="s">
        <v>316</v>
      </c>
      <c r="AB10" s="65" t="s">
        <v>318</v>
      </c>
      <c r="AC10" s="43" t="s">
        <v>244</v>
      </c>
      <c r="AD10" s="43"/>
      <c r="AE10" s="43"/>
      <c r="AF10" s="43"/>
      <c r="AG10" s="43"/>
    </row>
    <row r="11" spans="1:33" x14ac:dyDescent="0.25">
      <c r="B11" s="60"/>
      <c r="C11" s="60"/>
      <c r="D11" s="36" t="s">
        <v>197</v>
      </c>
      <c r="E11" s="60"/>
      <c r="F11" s="60"/>
      <c r="G11" s="61">
        <f t="shared" ref="G11:G12" si="0">G10</f>
        <v>2035</v>
      </c>
      <c r="I11" s="62">
        <v>1.5E-3</v>
      </c>
      <c r="J11" s="62"/>
      <c r="K11" s="62"/>
      <c r="L11" s="62"/>
      <c r="M11" s="62"/>
      <c r="N11" s="64"/>
      <c r="AA11" s="60" t="s">
        <v>1058</v>
      </c>
      <c r="AB11" s="65" t="s">
        <v>1059</v>
      </c>
      <c r="AC11" s="43" t="s">
        <v>244</v>
      </c>
      <c r="AD11" s="43"/>
      <c r="AE11" s="43"/>
      <c r="AF11" s="43"/>
      <c r="AG11" s="43"/>
    </row>
    <row r="12" spans="1:33" x14ac:dyDescent="0.25">
      <c r="B12" s="66"/>
      <c r="C12" s="66"/>
      <c r="D12" s="67"/>
      <c r="E12" s="66"/>
      <c r="F12" s="66" t="str">
        <f>AA10</f>
        <v>INDSCO2N</v>
      </c>
      <c r="G12" s="68">
        <f t="shared" si="0"/>
        <v>2035</v>
      </c>
      <c r="H12" s="69"/>
      <c r="I12" s="67"/>
      <c r="J12" s="69"/>
      <c r="K12" s="69"/>
      <c r="L12" s="69"/>
      <c r="M12" s="69"/>
      <c r="N12" s="70"/>
    </row>
    <row r="13" spans="1:33" x14ac:dyDescent="0.25">
      <c r="B13" s="66" t="str">
        <f>Q10</f>
        <v>CCS_Dummy_IND</v>
      </c>
      <c r="C13" s="66" t="str">
        <f>R10</f>
        <v>Dummy Technology_IND</v>
      </c>
      <c r="D13" s="67"/>
      <c r="E13" s="66" t="str">
        <f>E9</f>
        <v>INDSSCO2N</v>
      </c>
      <c r="F13" s="66"/>
      <c r="G13" s="68"/>
      <c r="H13" s="69"/>
      <c r="I13" s="67"/>
      <c r="J13" s="69"/>
      <c r="K13" s="69"/>
      <c r="L13" s="69"/>
      <c r="M13" s="69"/>
      <c r="N13" s="7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350"/>
  <sheetViews>
    <sheetView zoomScale="60" zoomScaleNormal="60" workbookViewId="0">
      <selection activeCell="H223" sqref="H223"/>
    </sheetView>
  </sheetViews>
  <sheetFormatPr defaultColWidth="9.109375" defaultRowHeight="13.8" x14ac:dyDescent="0.25"/>
  <cols>
    <col min="1" max="1" width="9.109375" style="21"/>
    <col min="2" max="2" width="15.6640625" style="21" customWidth="1"/>
    <col min="3" max="3" width="15.109375" style="21" customWidth="1"/>
    <col min="4" max="4" width="22" style="21" customWidth="1"/>
    <col min="5" max="5" width="55.5546875" style="21" customWidth="1"/>
    <col min="6" max="6" width="8.88671875" style="21" customWidth="1"/>
    <col min="7" max="7" width="24.33203125" style="21" bestFit="1" customWidth="1"/>
    <col min="8" max="8" width="13.6640625" style="21" bestFit="1" customWidth="1"/>
    <col min="9" max="9" width="14.5546875" style="21" bestFit="1" customWidth="1"/>
    <col min="10" max="10" width="14.88671875" style="21" customWidth="1"/>
    <col min="11" max="11" width="3.6640625" style="21" customWidth="1"/>
    <col min="12" max="12" width="9.109375" style="21"/>
    <col min="13" max="13" width="8.6640625" style="21" customWidth="1"/>
    <col min="14" max="14" width="13.44140625" style="21" bestFit="1" customWidth="1"/>
    <col min="15" max="15" width="17.33203125" style="21" bestFit="1" customWidth="1"/>
    <col min="16" max="16" width="24.109375" style="21" bestFit="1" customWidth="1"/>
    <col min="17" max="17" width="7.6640625" style="21" bestFit="1" customWidth="1"/>
    <col min="18" max="21" width="12.33203125" style="21" customWidth="1"/>
    <col min="22" max="23" width="9.109375" style="21"/>
    <col min="24" max="24" width="16.109375" style="21" customWidth="1"/>
    <col min="25" max="25" width="17.33203125" style="21" bestFit="1" customWidth="1"/>
    <col min="26" max="26" width="51" style="21" bestFit="1" customWidth="1"/>
    <col min="27" max="27" width="7.6640625" style="21" bestFit="1" customWidth="1"/>
    <col min="28" max="28" width="15.5546875" style="21" customWidth="1"/>
    <col min="29" max="30" width="12.5546875" style="21" customWidth="1"/>
    <col min="31" max="31" width="9" style="21" customWidth="1"/>
    <col min="32" max="32" width="9.109375" style="22"/>
    <col min="33" max="16384" width="9.109375" style="21"/>
  </cols>
  <sheetData>
    <row r="1" spans="2:32" x14ac:dyDescent="0.25">
      <c r="B1" s="15" t="s">
        <v>282</v>
      </c>
    </row>
    <row r="2" spans="2:32" x14ac:dyDescent="0.25">
      <c r="B2" s="23"/>
    </row>
    <row r="3" spans="2:32" x14ac:dyDescent="0.25">
      <c r="B3" s="23"/>
    </row>
    <row r="4" spans="2:32" x14ac:dyDescent="0.25">
      <c r="B4" s="25"/>
      <c r="C4" s="25"/>
      <c r="D4" s="24"/>
      <c r="E4" s="24"/>
      <c r="F4" s="24"/>
      <c r="G4" s="24"/>
      <c r="H4" s="24"/>
      <c r="I4" s="24"/>
      <c r="J4" s="24"/>
      <c r="M4" s="25"/>
      <c r="N4" s="25"/>
      <c r="O4" s="24"/>
      <c r="P4" s="24"/>
      <c r="Q4" s="24"/>
      <c r="R4" s="24"/>
      <c r="S4" s="24"/>
      <c r="T4" s="24"/>
      <c r="U4" s="24"/>
      <c r="X4" s="25"/>
      <c r="Y4" s="24"/>
      <c r="Z4" s="24"/>
      <c r="AA4" s="24"/>
      <c r="AB4" s="24"/>
      <c r="AC4" s="24"/>
      <c r="AD4" s="24"/>
      <c r="AE4" s="24"/>
    </row>
    <row r="5" spans="2:32" x14ac:dyDescent="0.25">
      <c r="B5" s="8" t="s">
        <v>7</v>
      </c>
      <c r="C5" s="7" t="s">
        <v>54</v>
      </c>
      <c r="D5" s="8" t="s">
        <v>6</v>
      </c>
      <c r="E5" s="8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M5" s="8" t="s">
        <v>7</v>
      </c>
      <c r="N5" s="7" t="s">
        <v>54</v>
      </c>
      <c r="O5" s="8" t="s">
        <v>6</v>
      </c>
      <c r="P5" s="8" t="s">
        <v>8</v>
      </c>
      <c r="Q5" s="9" t="s">
        <v>9</v>
      </c>
      <c r="R5" s="9" t="s">
        <v>10</v>
      </c>
      <c r="S5" s="9" t="s">
        <v>11</v>
      </c>
      <c r="T5" s="9" t="s">
        <v>12</v>
      </c>
      <c r="U5" s="9" t="s">
        <v>13</v>
      </c>
      <c r="X5" s="8" t="s">
        <v>7</v>
      </c>
      <c r="Y5" s="8" t="s">
        <v>6</v>
      </c>
      <c r="Z5" s="8" t="s">
        <v>8</v>
      </c>
      <c r="AA5" s="9" t="s">
        <v>9</v>
      </c>
      <c r="AB5" s="9" t="s">
        <v>10</v>
      </c>
      <c r="AC5" s="9" t="s">
        <v>11</v>
      </c>
      <c r="AD5" s="9" t="s">
        <v>12</v>
      </c>
      <c r="AE5" s="9" t="s">
        <v>13</v>
      </c>
    </row>
    <row r="6" spans="2:32" s="12" customFormat="1" ht="28.5" customHeight="1" thickBot="1" x14ac:dyDescent="0.3">
      <c r="B6" s="10" t="s">
        <v>55</v>
      </c>
      <c r="C6" s="11" t="s">
        <v>56</v>
      </c>
      <c r="D6" s="10" t="s">
        <v>23</v>
      </c>
      <c r="E6" s="10" t="s">
        <v>24</v>
      </c>
      <c r="F6" s="10" t="s">
        <v>9</v>
      </c>
      <c r="G6" s="10" t="s">
        <v>57</v>
      </c>
      <c r="H6" s="10" t="s">
        <v>58</v>
      </c>
      <c r="I6" s="10" t="s">
        <v>25</v>
      </c>
      <c r="J6" s="10" t="s">
        <v>26</v>
      </c>
      <c r="M6" s="10" t="s">
        <v>55</v>
      </c>
      <c r="N6" s="11" t="s">
        <v>56</v>
      </c>
      <c r="O6" s="10" t="s">
        <v>23</v>
      </c>
      <c r="P6" s="10" t="s">
        <v>24</v>
      </c>
      <c r="Q6" s="10" t="s">
        <v>9</v>
      </c>
      <c r="R6" s="10" t="s">
        <v>57</v>
      </c>
      <c r="S6" s="10" t="s">
        <v>58</v>
      </c>
      <c r="T6" s="10" t="s">
        <v>25</v>
      </c>
      <c r="U6" s="10" t="s">
        <v>26</v>
      </c>
      <c r="X6" s="10" t="s">
        <v>55</v>
      </c>
      <c r="Y6" s="10" t="s">
        <v>23</v>
      </c>
      <c r="Z6" s="10" t="s">
        <v>24</v>
      </c>
      <c r="AA6" s="10" t="s">
        <v>9</v>
      </c>
      <c r="AB6" s="10" t="s">
        <v>57</v>
      </c>
      <c r="AC6" s="10" t="s">
        <v>58</v>
      </c>
      <c r="AD6" s="10" t="s">
        <v>25</v>
      </c>
      <c r="AE6" s="10" t="s">
        <v>26</v>
      </c>
      <c r="AF6" s="16"/>
    </row>
    <row r="7" spans="2:32" x14ac:dyDescent="0.25">
      <c r="B7" s="26" t="s">
        <v>59</v>
      </c>
      <c r="C7" s="26"/>
      <c r="D7" s="26" t="s">
        <v>427</v>
      </c>
      <c r="E7" s="26" t="s">
        <v>452</v>
      </c>
      <c r="F7" s="20" t="s">
        <v>206</v>
      </c>
      <c r="G7" s="26"/>
      <c r="H7" s="26"/>
      <c r="I7" s="26"/>
      <c r="J7" s="26"/>
      <c r="M7" s="26" t="s">
        <v>60</v>
      </c>
      <c r="N7" s="26"/>
      <c r="O7" s="26" t="s">
        <v>61</v>
      </c>
      <c r="P7" s="26" t="s">
        <v>62</v>
      </c>
      <c r="Q7" s="20" t="s">
        <v>210</v>
      </c>
      <c r="R7" s="26"/>
      <c r="S7" s="26"/>
      <c r="T7" s="26"/>
      <c r="U7" s="26"/>
      <c r="X7" s="26" t="s">
        <v>235</v>
      </c>
      <c r="Y7" s="26" t="s">
        <v>256</v>
      </c>
      <c r="Z7" s="26" t="s">
        <v>257</v>
      </c>
      <c r="AA7" s="20" t="s">
        <v>206</v>
      </c>
      <c r="AB7" s="26"/>
      <c r="AC7" s="26"/>
      <c r="AD7" s="26"/>
      <c r="AE7" s="26"/>
      <c r="AF7" s="17"/>
    </row>
    <row r="8" spans="2:32" x14ac:dyDescent="0.25">
      <c r="B8" s="26"/>
      <c r="C8" s="26"/>
      <c r="D8" s="26" t="s">
        <v>453</v>
      </c>
      <c r="E8" s="26" t="s">
        <v>63</v>
      </c>
      <c r="F8" s="20" t="s">
        <v>206</v>
      </c>
      <c r="G8" s="26"/>
      <c r="H8" s="26"/>
      <c r="I8" s="26"/>
      <c r="J8" s="26"/>
      <c r="M8" s="26"/>
      <c r="N8" s="26"/>
      <c r="O8" s="26" t="s">
        <v>64</v>
      </c>
      <c r="P8" s="26" t="s">
        <v>65</v>
      </c>
      <c r="Q8" s="20" t="s">
        <v>210</v>
      </c>
      <c r="R8" s="26"/>
      <c r="S8" s="26"/>
      <c r="T8" s="26"/>
      <c r="U8" s="26"/>
      <c r="X8" s="26"/>
      <c r="Y8" s="26" t="s">
        <v>258</v>
      </c>
      <c r="Z8" s="26" t="s">
        <v>283</v>
      </c>
      <c r="AA8" s="20" t="s">
        <v>206</v>
      </c>
      <c r="AB8" s="26"/>
      <c r="AC8" s="26"/>
      <c r="AD8" s="26"/>
      <c r="AE8" s="26"/>
      <c r="AF8" s="17"/>
    </row>
    <row r="9" spans="2:32" x14ac:dyDescent="0.25">
      <c r="B9" s="26"/>
      <c r="C9" s="26"/>
      <c r="D9" s="26" t="s">
        <v>66</v>
      </c>
      <c r="E9" s="26" t="s">
        <v>454</v>
      </c>
      <c r="F9" s="20" t="s">
        <v>206</v>
      </c>
      <c r="G9" s="26"/>
      <c r="H9" s="26"/>
      <c r="I9" s="26"/>
      <c r="J9" s="26"/>
      <c r="M9" s="26"/>
      <c r="N9" s="26"/>
      <c r="O9" s="26" t="s">
        <v>67</v>
      </c>
      <c r="P9" s="26" t="s">
        <v>68</v>
      </c>
      <c r="Q9" s="20" t="s">
        <v>210</v>
      </c>
      <c r="R9" s="26"/>
      <c r="S9" s="26"/>
      <c r="T9" s="26"/>
      <c r="U9" s="26"/>
      <c r="X9" s="26"/>
      <c r="Y9" s="26" t="s">
        <v>259</v>
      </c>
      <c r="Z9" s="26" t="s">
        <v>260</v>
      </c>
      <c r="AA9" s="20" t="s">
        <v>284</v>
      </c>
      <c r="AB9" s="26"/>
      <c r="AC9" s="26"/>
      <c r="AD9" s="26"/>
      <c r="AE9" s="26"/>
      <c r="AF9" s="17"/>
    </row>
    <row r="10" spans="2:32" x14ac:dyDescent="0.25">
      <c r="B10" s="26"/>
      <c r="C10" s="26"/>
      <c r="D10" s="26" t="s">
        <v>428</v>
      </c>
      <c r="E10" s="26" t="s">
        <v>455</v>
      </c>
      <c r="F10" s="20" t="s">
        <v>206</v>
      </c>
      <c r="G10" s="26"/>
      <c r="H10" s="26"/>
      <c r="I10" s="26"/>
      <c r="J10" s="26"/>
      <c r="M10" s="26"/>
      <c r="N10" s="26"/>
      <c r="O10" s="26" t="s">
        <v>75</v>
      </c>
      <c r="P10" s="26" t="s">
        <v>76</v>
      </c>
      <c r="Q10" s="20" t="s">
        <v>210</v>
      </c>
      <c r="R10" s="26"/>
      <c r="S10" s="26"/>
      <c r="T10" s="26"/>
      <c r="U10" s="26"/>
      <c r="X10" s="26"/>
      <c r="Y10" s="26" t="s">
        <v>261</v>
      </c>
      <c r="Z10" s="26" t="s">
        <v>262</v>
      </c>
      <c r="AA10" s="20" t="s">
        <v>206</v>
      </c>
      <c r="AB10" s="26"/>
      <c r="AC10" s="26"/>
      <c r="AD10" s="26"/>
      <c r="AE10" s="26"/>
      <c r="AF10" s="17"/>
    </row>
    <row r="11" spans="2:32" x14ac:dyDescent="0.25">
      <c r="B11" s="26"/>
      <c r="C11" s="26"/>
      <c r="D11" s="26" t="s">
        <v>69</v>
      </c>
      <c r="E11" s="26" t="s">
        <v>70</v>
      </c>
      <c r="F11" s="20" t="s">
        <v>206</v>
      </c>
      <c r="G11" s="26"/>
      <c r="H11" s="26"/>
      <c r="I11" s="26"/>
      <c r="J11" s="26"/>
      <c r="M11" s="26"/>
      <c r="N11" s="26"/>
      <c r="O11" s="26" t="s">
        <v>79</v>
      </c>
      <c r="P11" s="26" t="s">
        <v>80</v>
      </c>
      <c r="Q11" s="20" t="s">
        <v>210</v>
      </c>
      <c r="R11" s="26"/>
      <c r="S11" s="26"/>
      <c r="T11" s="26"/>
      <c r="U11" s="26"/>
      <c r="X11" s="26"/>
      <c r="Y11" s="18" t="s">
        <v>263</v>
      </c>
      <c r="Z11" s="26" t="s">
        <v>264</v>
      </c>
      <c r="AA11" s="20" t="s">
        <v>206</v>
      </c>
      <c r="AB11" s="19"/>
      <c r="AC11" s="19"/>
      <c r="AD11" s="19"/>
      <c r="AE11" s="19"/>
      <c r="AF11" s="17"/>
    </row>
    <row r="12" spans="2:32" x14ac:dyDescent="0.25">
      <c r="B12" s="26"/>
      <c r="C12" s="26"/>
      <c r="D12" s="26" t="s">
        <v>71</v>
      </c>
      <c r="E12" s="26" t="s">
        <v>72</v>
      </c>
      <c r="F12" s="20" t="s">
        <v>206</v>
      </c>
      <c r="G12" s="26"/>
      <c r="H12" s="26"/>
      <c r="I12" s="26"/>
      <c r="J12" s="26"/>
      <c r="M12" s="26"/>
      <c r="N12" s="26"/>
      <c r="O12" s="26" t="s">
        <v>83</v>
      </c>
      <c r="P12" s="26" t="s">
        <v>84</v>
      </c>
      <c r="Q12" s="20" t="s">
        <v>210</v>
      </c>
      <c r="R12" s="26"/>
      <c r="S12" s="26"/>
      <c r="T12" s="26"/>
      <c r="U12" s="26"/>
      <c r="X12" s="26"/>
      <c r="Y12" s="18"/>
      <c r="Z12" s="26"/>
      <c r="AA12" s="20"/>
      <c r="AB12" s="19"/>
      <c r="AC12" s="19"/>
      <c r="AD12" s="19"/>
      <c r="AE12" s="19"/>
      <c r="AF12" s="17"/>
    </row>
    <row r="13" spans="2:32" x14ac:dyDescent="0.25">
      <c r="B13" s="26"/>
      <c r="C13" s="26"/>
      <c r="D13" s="26" t="s">
        <v>73</v>
      </c>
      <c r="E13" s="26" t="s">
        <v>74</v>
      </c>
      <c r="F13" s="20" t="s">
        <v>206</v>
      </c>
      <c r="G13" s="26"/>
      <c r="H13" s="26"/>
      <c r="I13" s="26"/>
      <c r="J13" s="26"/>
      <c r="AF13" s="27"/>
    </row>
    <row r="14" spans="2:32" x14ac:dyDescent="0.25">
      <c r="B14" s="26"/>
      <c r="C14" s="26"/>
      <c r="D14" s="26" t="s">
        <v>77</v>
      </c>
      <c r="E14" s="26" t="s">
        <v>78</v>
      </c>
      <c r="F14" s="20" t="s">
        <v>206</v>
      </c>
      <c r="G14" s="26"/>
      <c r="H14" s="26"/>
      <c r="I14" s="26"/>
      <c r="J14" s="26"/>
    </row>
    <row r="15" spans="2:32" x14ac:dyDescent="0.25">
      <c r="B15" s="26"/>
      <c r="C15" s="26"/>
      <c r="D15" s="26" t="s">
        <v>81</v>
      </c>
      <c r="E15" s="26" t="s">
        <v>82</v>
      </c>
      <c r="F15" s="20" t="s">
        <v>206</v>
      </c>
      <c r="G15" s="26"/>
      <c r="H15" s="26"/>
      <c r="I15" s="26"/>
      <c r="J15" s="26"/>
      <c r="AF15" s="21"/>
    </row>
    <row r="16" spans="2:32" x14ac:dyDescent="0.25">
      <c r="B16" s="26"/>
      <c r="C16" s="26"/>
      <c r="D16" s="26" t="s">
        <v>85</v>
      </c>
      <c r="E16" s="26" t="s">
        <v>86</v>
      </c>
      <c r="F16" s="20" t="s">
        <v>206</v>
      </c>
      <c r="G16" s="26"/>
      <c r="H16" s="26"/>
      <c r="I16" s="26"/>
      <c r="J16" s="26"/>
      <c r="AF16" s="21"/>
    </row>
    <row r="17" spans="2:32" x14ac:dyDescent="0.25">
      <c r="B17" s="26"/>
      <c r="C17" s="26"/>
      <c r="D17" s="26" t="s">
        <v>87</v>
      </c>
      <c r="E17" s="26" t="s">
        <v>88</v>
      </c>
      <c r="F17" s="20" t="s">
        <v>206</v>
      </c>
      <c r="G17" s="26"/>
      <c r="H17" s="26"/>
      <c r="I17" s="26"/>
      <c r="J17" s="26"/>
      <c r="AF17" s="21"/>
    </row>
    <row r="18" spans="2:32" x14ac:dyDescent="0.25">
      <c r="B18" s="26"/>
      <c r="C18" s="26"/>
      <c r="D18" s="26" t="s">
        <v>89</v>
      </c>
      <c r="E18" s="26" t="s">
        <v>90</v>
      </c>
      <c r="F18" s="20" t="s">
        <v>206</v>
      </c>
      <c r="G18" s="26"/>
      <c r="H18" s="26"/>
      <c r="I18" s="26"/>
      <c r="J18" s="26"/>
      <c r="AF18" s="21"/>
    </row>
    <row r="19" spans="2:32" x14ac:dyDescent="0.25">
      <c r="B19" s="26"/>
      <c r="C19" s="26"/>
      <c r="D19" s="26" t="s">
        <v>91</v>
      </c>
      <c r="E19" s="26" t="s">
        <v>92</v>
      </c>
      <c r="F19" s="20" t="s">
        <v>206</v>
      </c>
      <c r="G19" s="26"/>
      <c r="H19" s="26"/>
      <c r="I19" s="26"/>
      <c r="J19" s="26"/>
      <c r="AF19" s="21"/>
    </row>
    <row r="20" spans="2:32" x14ac:dyDescent="0.25">
      <c r="B20" s="26"/>
      <c r="C20" s="26"/>
      <c r="D20" s="26" t="s">
        <v>93</v>
      </c>
      <c r="E20" s="26" t="s">
        <v>94</v>
      </c>
      <c r="F20" s="20" t="s">
        <v>206</v>
      </c>
      <c r="G20" s="26"/>
      <c r="H20" s="26"/>
      <c r="I20" s="26"/>
      <c r="J20" s="26"/>
      <c r="AF20" s="21"/>
    </row>
    <row r="21" spans="2:32" x14ac:dyDescent="0.25">
      <c r="B21" s="26"/>
      <c r="C21" s="26"/>
      <c r="D21" s="26" t="s">
        <v>95</v>
      </c>
      <c r="E21" s="26" t="s">
        <v>96</v>
      </c>
      <c r="F21" s="20" t="s">
        <v>206</v>
      </c>
      <c r="G21" s="26"/>
      <c r="H21" s="26"/>
      <c r="I21" s="26"/>
      <c r="J21" s="26"/>
      <c r="AF21" s="21"/>
    </row>
    <row r="22" spans="2:32" x14ac:dyDescent="0.25">
      <c r="B22" s="26"/>
      <c r="C22" s="26"/>
      <c r="D22" s="26" t="s">
        <v>1021</v>
      </c>
      <c r="E22" s="26" t="s">
        <v>1022</v>
      </c>
      <c r="F22" s="20" t="s">
        <v>206</v>
      </c>
      <c r="G22" s="26"/>
      <c r="H22" s="26"/>
      <c r="I22" s="26"/>
      <c r="J22" s="26"/>
      <c r="AF22" s="21"/>
    </row>
    <row r="23" spans="2:32" x14ac:dyDescent="0.25">
      <c r="B23" s="26"/>
      <c r="C23" s="26"/>
      <c r="D23" s="26" t="s">
        <v>456</v>
      </c>
      <c r="E23" s="26" t="s">
        <v>457</v>
      </c>
      <c r="F23" s="20" t="s">
        <v>206</v>
      </c>
      <c r="G23" s="26"/>
      <c r="H23" s="26"/>
      <c r="I23" s="26"/>
      <c r="J23" s="26"/>
      <c r="AF23" s="21"/>
    </row>
    <row r="24" spans="2:32" x14ac:dyDescent="0.25">
      <c r="B24" s="26"/>
      <c r="C24" s="26"/>
      <c r="D24" s="26" t="s">
        <v>458</v>
      </c>
      <c r="E24" s="26" t="s">
        <v>459</v>
      </c>
      <c r="F24" s="20" t="s">
        <v>206</v>
      </c>
      <c r="G24" s="26"/>
      <c r="H24" s="26"/>
      <c r="I24" s="26"/>
      <c r="J24" s="26"/>
      <c r="AF24" s="21"/>
    </row>
    <row r="25" spans="2:32" x14ac:dyDescent="0.25">
      <c r="B25" s="26"/>
      <c r="C25" s="26"/>
      <c r="D25" s="26" t="s">
        <v>97</v>
      </c>
      <c r="E25" s="26" t="s">
        <v>98</v>
      </c>
      <c r="F25" s="20" t="s">
        <v>206</v>
      </c>
      <c r="G25" s="26"/>
      <c r="H25" s="26"/>
      <c r="I25" s="26"/>
      <c r="J25" s="26"/>
      <c r="AF25" s="21"/>
    </row>
    <row r="26" spans="2:32" x14ac:dyDescent="0.25">
      <c r="B26" s="26"/>
      <c r="C26" s="26"/>
      <c r="D26" s="26" t="s">
        <v>99</v>
      </c>
      <c r="E26" s="26" t="s">
        <v>100</v>
      </c>
      <c r="F26" s="20" t="s">
        <v>206</v>
      </c>
      <c r="G26" s="26"/>
      <c r="H26" s="26"/>
      <c r="I26" s="26"/>
      <c r="J26" s="26"/>
      <c r="AF26" s="21"/>
    </row>
    <row r="27" spans="2:32" x14ac:dyDescent="0.25">
      <c r="B27" s="26"/>
      <c r="C27" s="26"/>
      <c r="D27" s="26" t="s">
        <v>101</v>
      </c>
      <c r="E27" s="26" t="s">
        <v>102</v>
      </c>
      <c r="F27" s="20" t="s">
        <v>206</v>
      </c>
      <c r="G27" s="26"/>
      <c r="H27" s="26"/>
      <c r="I27" s="26"/>
      <c r="J27" s="26"/>
      <c r="AF27" s="21"/>
    </row>
    <row r="28" spans="2:32" x14ac:dyDescent="0.25">
      <c r="B28" s="26"/>
      <c r="C28" s="26"/>
      <c r="D28" s="26" t="s">
        <v>103</v>
      </c>
      <c r="E28" s="26" t="s">
        <v>104</v>
      </c>
      <c r="F28" s="20" t="s">
        <v>206</v>
      </c>
      <c r="G28" s="26"/>
      <c r="H28" s="26"/>
      <c r="I28" s="26"/>
      <c r="J28" s="26"/>
      <c r="AF28" s="21"/>
    </row>
    <row r="29" spans="2:32" x14ac:dyDescent="0.25">
      <c r="B29" s="26"/>
      <c r="C29" s="26"/>
      <c r="D29" s="26" t="s">
        <v>105</v>
      </c>
      <c r="E29" s="26" t="s">
        <v>106</v>
      </c>
      <c r="F29" s="20" t="s">
        <v>206</v>
      </c>
      <c r="G29" s="26"/>
      <c r="H29" s="26"/>
      <c r="I29" s="26"/>
      <c r="J29" s="26"/>
      <c r="AF29" s="21"/>
    </row>
    <row r="30" spans="2:32" x14ac:dyDescent="0.25">
      <c r="B30" s="26"/>
      <c r="C30" s="26"/>
      <c r="D30" s="26" t="s">
        <v>107</v>
      </c>
      <c r="E30" s="26" t="s">
        <v>108</v>
      </c>
      <c r="F30" s="20" t="s">
        <v>206</v>
      </c>
      <c r="G30" s="26"/>
      <c r="H30" s="26"/>
      <c r="I30" s="26"/>
      <c r="J30" s="26"/>
      <c r="AF30" s="21"/>
    </row>
    <row r="31" spans="2:32" x14ac:dyDescent="0.25">
      <c r="B31" s="26"/>
      <c r="C31" s="26"/>
      <c r="D31" s="26" t="s">
        <v>460</v>
      </c>
      <c r="E31" s="26" t="s">
        <v>461</v>
      </c>
      <c r="F31" s="20" t="s">
        <v>206</v>
      </c>
      <c r="G31" s="26"/>
      <c r="H31" s="26"/>
      <c r="I31" s="26"/>
      <c r="J31" s="26"/>
      <c r="AF31" s="21"/>
    </row>
    <row r="32" spans="2:32" x14ac:dyDescent="0.25">
      <c r="B32" s="26"/>
      <c r="C32" s="26"/>
      <c r="D32" s="26" t="s">
        <v>462</v>
      </c>
      <c r="E32" s="26" t="s">
        <v>463</v>
      </c>
      <c r="F32" s="20" t="s">
        <v>206</v>
      </c>
      <c r="G32" s="26"/>
      <c r="H32" s="26"/>
      <c r="I32" s="26"/>
      <c r="J32" s="26"/>
      <c r="AF32" s="21"/>
    </row>
    <row r="33" spans="2:32" x14ac:dyDescent="0.25">
      <c r="B33" s="26"/>
      <c r="C33" s="26"/>
      <c r="D33" s="26" t="s">
        <v>109</v>
      </c>
      <c r="E33" s="26" t="s">
        <v>110</v>
      </c>
      <c r="F33" s="20" t="s">
        <v>206</v>
      </c>
      <c r="G33" s="26"/>
      <c r="H33" s="26"/>
      <c r="I33" s="26"/>
      <c r="J33" s="26"/>
      <c r="AF33" s="21"/>
    </row>
    <row r="34" spans="2:32" x14ac:dyDescent="0.25">
      <c r="B34" s="26"/>
      <c r="C34" s="26"/>
      <c r="D34" s="26" t="s">
        <v>111</v>
      </c>
      <c r="E34" s="26" t="s">
        <v>112</v>
      </c>
      <c r="F34" s="20" t="s">
        <v>206</v>
      </c>
      <c r="G34" s="26"/>
      <c r="H34" s="26"/>
      <c r="I34" s="26"/>
      <c r="J34" s="26"/>
      <c r="AF34" s="21"/>
    </row>
    <row r="35" spans="2:32" x14ac:dyDescent="0.25">
      <c r="B35" s="26"/>
      <c r="C35" s="26"/>
      <c r="D35" s="26" t="s">
        <v>113</v>
      </c>
      <c r="E35" s="26" t="s">
        <v>114</v>
      </c>
      <c r="F35" s="20" t="s">
        <v>206</v>
      </c>
      <c r="G35" s="26"/>
      <c r="H35" s="26"/>
      <c r="I35" s="26"/>
      <c r="J35" s="26"/>
      <c r="AF35" s="21"/>
    </row>
    <row r="36" spans="2:32" x14ac:dyDescent="0.25">
      <c r="B36" s="26"/>
      <c r="C36" s="26"/>
      <c r="D36" s="26" t="s">
        <v>464</v>
      </c>
      <c r="E36" s="26" t="s">
        <v>465</v>
      </c>
      <c r="F36" s="20" t="s">
        <v>206</v>
      </c>
      <c r="G36" s="26"/>
      <c r="H36" s="26"/>
      <c r="I36" s="26"/>
      <c r="J36" s="26"/>
      <c r="AF36" s="21"/>
    </row>
    <row r="37" spans="2:32" x14ac:dyDescent="0.25">
      <c r="B37" s="26"/>
      <c r="C37" s="26"/>
      <c r="D37" s="26" t="s">
        <v>466</v>
      </c>
      <c r="E37" s="26" t="s">
        <v>467</v>
      </c>
      <c r="F37" s="20" t="s">
        <v>206</v>
      </c>
      <c r="G37" s="26"/>
      <c r="H37" s="26"/>
      <c r="I37" s="26"/>
      <c r="J37" s="26"/>
      <c r="AF37" s="21"/>
    </row>
    <row r="38" spans="2:32" x14ac:dyDescent="0.25">
      <c r="B38" s="26"/>
      <c r="C38" s="26"/>
      <c r="D38" s="26" t="s">
        <v>115</v>
      </c>
      <c r="E38" s="26" t="s">
        <v>116</v>
      </c>
      <c r="F38" s="20" t="s">
        <v>206</v>
      </c>
      <c r="G38" s="26"/>
      <c r="H38" s="26"/>
      <c r="I38" s="26"/>
      <c r="J38" s="26"/>
      <c r="AF38" s="21"/>
    </row>
    <row r="39" spans="2:32" x14ac:dyDescent="0.25">
      <c r="B39" s="26"/>
      <c r="C39" s="26"/>
      <c r="D39" s="26" t="s">
        <v>117</v>
      </c>
      <c r="E39" s="26" t="s">
        <v>118</v>
      </c>
      <c r="F39" s="20" t="s">
        <v>206</v>
      </c>
      <c r="G39" s="26"/>
      <c r="H39" s="26"/>
      <c r="I39" s="26"/>
      <c r="J39" s="26"/>
      <c r="AF39" s="21"/>
    </row>
    <row r="40" spans="2:32" x14ac:dyDescent="0.25">
      <c r="B40" s="26"/>
      <c r="C40" s="26"/>
      <c r="D40" s="26" t="s">
        <v>119</v>
      </c>
      <c r="E40" s="26" t="s">
        <v>120</v>
      </c>
      <c r="F40" s="20" t="s">
        <v>206</v>
      </c>
      <c r="G40" s="26"/>
      <c r="H40" s="26"/>
      <c r="I40" s="26"/>
      <c r="J40" s="26"/>
      <c r="AF40" s="21"/>
    </row>
    <row r="41" spans="2:32" x14ac:dyDescent="0.25">
      <c r="B41" s="26"/>
      <c r="C41" s="26"/>
      <c r="D41" s="26" t="s">
        <v>468</v>
      </c>
      <c r="E41" s="26" t="s">
        <v>469</v>
      </c>
      <c r="F41" s="20" t="s">
        <v>206</v>
      </c>
      <c r="G41" s="26"/>
      <c r="H41" s="26"/>
      <c r="I41" s="26"/>
      <c r="J41" s="26"/>
      <c r="AF41" s="21"/>
    </row>
    <row r="42" spans="2:32" x14ac:dyDescent="0.25">
      <c r="B42" s="26"/>
      <c r="C42" s="26"/>
      <c r="D42" s="26" t="s">
        <v>470</v>
      </c>
      <c r="E42" s="26" t="s">
        <v>471</v>
      </c>
      <c r="F42" s="20" t="s">
        <v>206</v>
      </c>
      <c r="G42" s="26"/>
      <c r="H42" s="26"/>
      <c r="I42" s="26"/>
      <c r="J42" s="26"/>
      <c r="AF42" s="21"/>
    </row>
    <row r="43" spans="2:32" x14ac:dyDescent="0.25">
      <c r="B43" s="26"/>
      <c r="C43" s="26"/>
      <c r="D43" s="26" t="s">
        <v>472</v>
      </c>
      <c r="E43" s="26" t="s">
        <v>473</v>
      </c>
      <c r="F43" s="20" t="s">
        <v>206</v>
      </c>
      <c r="G43" s="26"/>
      <c r="H43" s="26"/>
      <c r="I43" s="26"/>
      <c r="J43" s="26"/>
      <c r="AF43" s="21"/>
    </row>
    <row r="44" spans="2:32" x14ac:dyDescent="0.25">
      <c r="B44" s="26"/>
      <c r="C44" s="26"/>
      <c r="D44" s="26" t="s">
        <v>474</v>
      </c>
      <c r="E44" s="26" t="s">
        <v>475</v>
      </c>
      <c r="F44" s="20" t="s">
        <v>206</v>
      </c>
      <c r="G44" s="26"/>
      <c r="H44" s="26"/>
      <c r="I44" s="26"/>
      <c r="J44" s="26"/>
      <c r="AF44" s="21"/>
    </row>
    <row r="45" spans="2:32" x14ac:dyDescent="0.25">
      <c r="B45" s="26"/>
      <c r="C45" s="26"/>
      <c r="D45" s="26" t="s">
        <v>121</v>
      </c>
      <c r="E45" s="26" t="s">
        <v>476</v>
      </c>
      <c r="F45" s="20" t="s">
        <v>206</v>
      </c>
      <c r="G45" s="26"/>
      <c r="H45" s="26"/>
      <c r="I45" s="26"/>
      <c r="J45" s="26"/>
      <c r="AF45" s="21"/>
    </row>
    <row r="46" spans="2:32" x14ac:dyDescent="0.25">
      <c r="B46" s="26"/>
      <c r="C46" s="26"/>
      <c r="D46" s="26" t="s">
        <v>477</v>
      </c>
      <c r="E46" s="26" t="s">
        <v>478</v>
      </c>
      <c r="F46" s="20" t="s">
        <v>206</v>
      </c>
      <c r="G46" s="26"/>
      <c r="H46" s="26"/>
      <c r="I46" s="26"/>
      <c r="J46" s="26"/>
      <c r="AF46" s="21"/>
    </row>
    <row r="47" spans="2:32" x14ac:dyDescent="0.25">
      <c r="B47" s="26"/>
      <c r="C47" s="26"/>
      <c r="D47" s="26" t="s">
        <v>479</v>
      </c>
      <c r="E47" s="26" t="s">
        <v>480</v>
      </c>
      <c r="F47" s="20" t="s">
        <v>206</v>
      </c>
      <c r="G47" s="26"/>
      <c r="H47" s="26"/>
      <c r="I47" s="26"/>
      <c r="J47" s="26"/>
      <c r="AF47" s="21"/>
    </row>
    <row r="48" spans="2:32" x14ac:dyDescent="0.25">
      <c r="B48" s="26"/>
      <c r="C48" s="26"/>
      <c r="D48" s="26" t="s">
        <v>481</v>
      </c>
      <c r="E48" s="26" t="s">
        <v>482</v>
      </c>
      <c r="F48" s="20" t="s">
        <v>206</v>
      </c>
      <c r="G48" s="26"/>
      <c r="H48" s="26"/>
      <c r="I48" s="26"/>
      <c r="J48" s="26"/>
      <c r="AF48" s="21"/>
    </row>
    <row r="49" spans="2:32" x14ac:dyDescent="0.25">
      <c r="B49" s="26"/>
      <c r="C49" s="26"/>
      <c r="D49" s="26" t="s">
        <v>122</v>
      </c>
      <c r="E49" s="26" t="s">
        <v>123</v>
      </c>
      <c r="F49" s="20" t="s">
        <v>206</v>
      </c>
      <c r="G49" s="26"/>
      <c r="H49" s="26"/>
      <c r="I49" s="26"/>
      <c r="J49" s="26"/>
      <c r="AF49" s="21"/>
    </row>
    <row r="50" spans="2:32" x14ac:dyDescent="0.25">
      <c r="B50" s="26"/>
      <c r="C50" s="26"/>
      <c r="D50" s="26" t="s">
        <v>121</v>
      </c>
      <c r="E50" s="26" t="s">
        <v>124</v>
      </c>
      <c r="F50" s="20" t="s">
        <v>206</v>
      </c>
      <c r="G50" s="26"/>
      <c r="H50" s="26"/>
      <c r="I50" s="26"/>
      <c r="J50" s="26"/>
      <c r="AF50" s="21"/>
    </row>
    <row r="51" spans="2:32" x14ac:dyDescent="0.25">
      <c r="B51" s="26"/>
      <c r="C51" s="26"/>
      <c r="D51" s="26" t="s">
        <v>125</v>
      </c>
      <c r="E51" s="26" t="s">
        <v>126</v>
      </c>
      <c r="F51" s="20" t="s">
        <v>206</v>
      </c>
      <c r="G51" s="26"/>
      <c r="H51" s="26"/>
      <c r="I51" s="26"/>
      <c r="J51" s="26"/>
      <c r="AF51" s="21"/>
    </row>
    <row r="52" spans="2:32" x14ac:dyDescent="0.25">
      <c r="B52" s="26"/>
      <c r="C52" s="26"/>
      <c r="D52" s="26" t="s">
        <v>127</v>
      </c>
      <c r="E52" s="26" t="s">
        <v>128</v>
      </c>
      <c r="F52" s="20" t="s">
        <v>206</v>
      </c>
      <c r="G52" s="26"/>
      <c r="H52" s="26"/>
      <c r="I52" s="26"/>
      <c r="J52" s="26"/>
      <c r="AF52" s="21"/>
    </row>
    <row r="53" spans="2:32" x14ac:dyDescent="0.25">
      <c r="B53" s="26"/>
      <c r="C53" s="26"/>
      <c r="D53" s="26" t="s">
        <v>129</v>
      </c>
      <c r="E53" s="26" t="s">
        <v>130</v>
      </c>
      <c r="F53" s="20" t="s">
        <v>206</v>
      </c>
      <c r="G53" s="26"/>
      <c r="H53" s="26"/>
      <c r="I53" s="26"/>
      <c r="J53" s="26"/>
      <c r="AF53" s="21"/>
    </row>
    <row r="54" spans="2:32" x14ac:dyDescent="0.25">
      <c r="B54" s="26"/>
      <c r="C54" s="26"/>
      <c r="D54" s="26" t="s">
        <v>483</v>
      </c>
      <c r="E54" s="26" t="s">
        <v>484</v>
      </c>
      <c r="F54" s="20" t="s">
        <v>206</v>
      </c>
      <c r="G54" s="26"/>
      <c r="H54" s="26"/>
      <c r="I54" s="26"/>
      <c r="J54" s="26"/>
      <c r="AF54" s="21"/>
    </row>
    <row r="55" spans="2:32" x14ac:dyDescent="0.25">
      <c r="B55" s="26"/>
      <c r="C55" s="26"/>
      <c r="D55" s="26" t="s">
        <v>131</v>
      </c>
      <c r="E55" s="26" t="s">
        <v>132</v>
      </c>
      <c r="F55" s="20" t="s">
        <v>206</v>
      </c>
      <c r="G55" s="26"/>
      <c r="H55" s="26"/>
      <c r="I55" s="26"/>
      <c r="J55" s="26"/>
      <c r="AF55" s="21"/>
    </row>
    <row r="56" spans="2:32" x14ac:dyDescent="0.25">
      <c r="B56" s="26"/>
      <c r="C56" s="26"/>
      <c r="D56" s="26" t="s">
        <v>133</v>
      </c>
      <c r="E56" s="26" t="s">
        <v>134</v>
      </c>
      <c r="F56" s="20" t="s">
        <v>206</v>
      </c>
      <c r="G56" s="26"/>
      <c r="H56" s="26"/>
      <c r="I56" s="26"/>
      <c r="J56" s="26"/>
      <c r="AF56" s="21"/>
    </row>
    <row r="57" spans="2:32" x14ac:dyDescent="0.25">
      <c r="B57" s="26"/>
      <c r="C57" s="26"/>
      <c r="D57" s="26" t="s">
        <v>135</v>
      </c>
      <c r="E57" s="26" t="s">
        <v>136</v>
      </c>
      <c r="F57" s="20" t="s">
        <v>206</v>
      </c>
      <c r="G57" s="26"/>
      <c r="H57" s="26"/>
      <c r="I57" s="26"/>
      <c r="J57" s="26"/>
      <c r="AF57" s="21"/>
    </row>
    <row r="58" spans="2:32" x14ac:dyDescent="0.25">
      <c r="B58" s="26"/>
      <c r="C58" s="26"/>
      <c r="D58" s="26" t="s">
        <v>137</v>
      </c>
      <c r="E58" s="26" t="s">
        <v>138</v>
      </c>
      <c r="F58" s="20" t="s">
        <v>206</v>
      </c>
      <c r="G58" s="26"/>
      <c r="H58" s="26"/>
      <c r="I58" s="26"/>
      <c r="J58" s="26"/>
      <c r="AF58" s="21"/>
    </row>
    <row r="59" spans="2:32" x14ac:dyDescent="0.25">
      <c r="B59" s="26"/>
      <c r="C59" s="26"/>
      <c r="D59" s="26" t="s">
        <v>139</v>
      </c>
      <c r="E59" s="26" t="s">
        <v>140</v>
      </c>
      <c r="F59" s="20" t="s">
        <v>206</v>
      </c>
      <c r="G59" s="26"/>
      <c r="H59" s="26"/>
      <c r="I59" s="26"/>
      <c r="J59" s="26"/>
      <c r="AF59" s="21"/>
    </row>
    <row r="60" spans="2:32" x14ac:dyDescent="0.25">
      <c r="B60" s="26"/>
      <c r="C60" s="26"/>
      <c r="D60" s="26" t="s">
        <v>485</v>
      </c>
      <c r="E60" s="26" t="s">
        <v>486</v>
      </c>
      <c r="F60" s="20" t="s">
        <v>206</v>
      </c>
      <c r="G60" s="26"/>
      <c r="H60" s="26"/>
      <c r="I60" s="26"/>
      <c r="J60" s="26"/>
      <c r="AF60" s="21"/>
    </row>
    <row r="61" spans="2:32" x14ac:dyDescent="0.25">
      <c r="B61" s="26"/>
      <c r="C61" s="26"/>
      <c r="D61" s="26" t="s">
        <v>487</v>
      </c>
      <c r="E61" s="26" t="s">
        <v>488</v>
      </c>
      <c r="F61" s="20" t="s">
        <v>206</v>
      </c>
      <c r="G61" s="26"/>
      <c r="H61" s="26"/>
      <c r="I61" s="26"/>
      <c r="J61" s="26"/>
      <c r="AF61" s="21"/>
    </row>
    <row r="62" spans="2:32" x14ac:dyDescent="0.25">
      <c r="B62" s="26"/>
      <c r="C62" s="26"/>
      <c r="D62" s="26" t="s">
        <v>489</v>
      </c>
      <c r="E62" s="26" t="s">
        <v>490</v>
      </c>
      <c r="F62" s="20" t="s">
        <v>206</v>
      </c>
      <c r="G62" s="26"/>
      <c r="H62" s="26"/>
      <c r="I62" s="26"/>
      <c r="J62" s="26"/>
      <c r="AF62" s="21"/>
    </row>
    <row r="63" spans="2:32" x14ac:dyDescent="0.25">
      <c r="B63" s="26"/>
      <c r="C63" s="26"/>
      <c r="D63" s="26" t="s">
        <v>491</v>
      </c>
      <c r="E63" s="26" t="s">
        <v>492</v>
      </c>
      <c r="F63" s="20" t="s">
        <v>206</v>
      </c>
      <c r="G63" s="26"/>
      <c r="H63" s="26"/>
      <c r="I63" s="26"/>
      <c r="J63" s="26"/>
      <c r="AF63" s="21"/>
    </row>
    <row r="64" spans="2:32" x14ac:dyDescent="0.25">
      <c r="B64" s="26"/>
      <c r="C64" s="26"/>
      <c r="D64" s="26" t="s">
        <v>493</v>
      </c>
      <c r="E64" s="26" t="s">
        <v>494</v>
      </c>
      <c r="F64" s="20" t="s">
        <v>206</v>
      </c>
      <c r="G64" s="26"/>
      <c r="H64" s="26"/>
      <c r="I64" s="26"/>
      <c r="J64" s="26"/>
      <c r="AF64" s="21"/>
    </row>
    <row r="65" spans="2:32" x14ac:dyDescent="0.25">
      <c r="B65" s="26"/>
      <c r="C65" s="26"/>
      <c r="D65" s="26" t="s">
        <v>495</v>
      </c>
      <c r="E65" s="26" t="s">
        <v>496</v>
      </c>
      <c r="F65" s="20" t="s">
        <v>206</v>
      </c>
      <c r="G65" s="26"/>
      <c r="H65" s="26"/>
      <c r="I65" s="26"/>
      <c r="J65" s="26"/>
      <c r="AF65" s="21"/>
    </row>
    <row r="66" spans="2:32" x14ac:dyDescent="0.25">
      <c r="B66" s="26"/>
      <c r="C66" s="26"/>
      <c r="D66" s="26" t="s">
        <v>497</v>
      </c>
      <c r="E66" s="26" t="s">
        <v>498</v>
      </c>
      <c r="F66" s="20" t="s">
        <v>206</v>
      </c>
      <c r="G66" s="26"/>
      <c r="H66" s="26"/>
      <c r="I66" s="26"/>
      <c r="J66" s="26"/>
      <c r="AF66" s="21"/>
    </row>
    <row r="67" spans="2:32" x14ac:dyDescent="0.25">
      <c r="B67" s="26"/>
      <c r="C67" s="26"/>
      <c r="D67" s="26" t="s">
        <v>499</v>
      </c>
      <c r="E67" s="26" t="s">
        <v>500</v>
      </c>
      <c r="F67" s="20" t="s">
        <v>206</v>
      </c>
      <c r="G67" s="26"/>
      <c r="H67" s="26"/>
      <c r="I67" s="26"/>
      <c r="J67" s="26"/>
      <c r="AF67" s="21"/>
    </row>
    <row r="68" spans="2:32" x14ac:dyDescent="0.25">
      <c r="B68" s="26"/>
      <c r="C68" s="26"/>
      <c r="D68" s="26" t="s">
        <v>501</v>
      </c>
      <c r="E68" s="26" t="s">
        <v>502</v>
      </c>
      <c r="F68" s="20" t="s">
        <v>206</v>
      </c>
      <c r="G68" s="26"/>
      <c r="H68" s="26"/>
      <c r="I68" s="26"/>
      <c r="J68" s="26"/>
      <c r="AF68" s="21"/>
    </row>
    <row r="69" spans="2:32" x14ac:dyDescent="0.25">
      <c r="B69" s="26"/>
      <c r="C69" s="26"/>
      <c r="D69" s="26" t="s">
        <v>503</v>
      </c>
      <c r="E69" s="26" t="s">
        <v>504</v>
      </c>
      <c r="F69" s="20" t="s">
        <v>206</v>
      </c>
      <c r="G69" s="26"/>
      <c r="H69" s="26"/>
      <c r="I69" s="26"/>
      <c r="J69" s="26"/>
      <c r="AF69" s="21"/>
    </row>
    <row r="70" spans="2:32" x14ac:dyDescent="0.25">
      <c r="B70" s="26"/>
      <c r="C70" s="26"/>
      <c r="D70" s="26" t="s">
        <v>505</v>
      </c>
      <c r="E70" s="26" t="s">
        <v>506</v>
      </c>
      <c r="F70" s="20" t="s">
        <v>206</v>
      </c>
      <c r="G70" s="26"/>
      <c r="H70" s="26"/>
      <c r="I70" s="26"/>
      <c r="J70" s="26"/>
      <c r="AF70" s="21"/>
    </row>
    <row r="71" spans="2:32" x14ac:dyDescent="0.25">
      <c r="B71" s="26"/>
      <c r="C71" s="26"/>
      <c r="D71" s="26" t="s">
        <v>507</v>
      </c>
      <c r="E71" s="26" t="s">
        <v>508</v>
      </c>
      <c r="F71" s="20" t="s">
        <v>206</v>
      </c>
      <c r="G71" s="26"/>
      <c r="H71" s="26"/>
      <c r="I71" s="26"/>
      <c r="J71" s="26"/>
      <c r="AF71" s="21"/>
    </row>
    <row r="72" spans="2:32" x14ac:dyDescent="0.25">
      <c r="B72" s="26"/>
      <c r="C72" s="26"/>
      <c r="D72" s="26" t="s">
        <v>509</v>
      </c>
      <c r="E72" s="26" t="s">
        <v>510</v>
      </c>
      <c r="F72" s="20" t="s">
        <v>206</v>
      </c>
      <c r="G72" s="26"/>
      <c r="H72" s="26"/>
      <c r="I72" s="26"/>
      <c r="J72" s="26"/>
      <c r="AF72" s="21"/>
    </row>
    <row r="73" spans="2:32" x14ac:dyDescent="0.25">
      <c r="B73" s="26"/>
      <c r="C73" s="26"/>
      <c r="D73" s="26" t="s">
        <v>511</v>
      </c>
      <c r="E73" s="26" t="s">
        <v>512</v>
      </c>
      <c r="F73" s="20" t="s">
        <v>206</v>
      </c>
      <c r="G73" s="26"/>
      <c r="H73" s="26"/>
      <c r="I73" s="26"/>
      <c r="J73" s="26"/>
      <c r="AF73" s="21"/>
    </row>
    <row r="74" spans="2:32" x14ac:dyDescent="0.25">
      <c r="B74" s="26"/>
      <c r="C74" s="26"/>
      <c r="D74" s="26" t="s">
        <v>513</v>
      </c>
      <c r="E74" s="26" t="s">
        <v>514</v>
      </c>
      <c r="F74" s="20" t="s">
        <v>206</v>
      </c>
      <c r="G74" s="26"/>
      <c r="H74" s="26"/>
      <c r="I74" s="26"/>
      <c r="J74" s="26"/>
      <c r="AF74" s="21"/>
    </row>
    <row r="75" spans="2:32" x14ac:dyDescent="0.25">
      <c r="B75" s="26"/>
      <c r="C75" s="26"/>
      <c r="D75" s="26" t="s">
        <v>515</v>
      </c>
      <c r="E75" s="26" t="s">
        <v>516</v>
      </c>
      <c r="F75" s="20" t="s">
        <v>206</v>
      </c>
      <c r="G75" s="26"/>
      <c r="H75" s="26"/>
      <c r="I75" s="26"/>
      <c r="J75" s="26"/>
      <c r="AF75" s="21"/>
    </row>
    <row r="76" spans="2:32" x14ac:dyDescent="0.25">
      <c r="B76" s="26"/>
      <c r="C76" s="26"/>
      <c r="D76" s="26" t="s">
        <v>517</v>
      </c>
      <c r="E76" s="26" t="s">
        <v>518</v>
      </c>
      <c r="F76" s="20" t="s">
        <v>206</v>
      </c>
      <c r="G76" s="26"/>
      <c r="H76" s="26"/>
      <c r="I76" s="26"/>
      <c r="J76" s="26"/>
      <c r="AF76" s="21"/>
    </row>
    <row r="77" spans="2:32" x14ac:dyDescent="0.25">
      <c r="B77" s="26"/>
      <c r="C77" s="26"/>
      <c r="D77" s="26" t="s">
        <v>519</v>
      </c>
      <c r="E77" s="26" t="s">
        <v>520</v>
      </c>
      <c r="F77" s="20" t="s">
        <v>206</v>
      </c>
      <c r="G77" s="26"/>
      <c r="H77" s="26"/>
      <c r="I77" s="26"/>
      <c r="J77" s="26"/>
      <c r="AF77" s="21"/>
    </row>
    <row r="78" spans="2:32" x14ac:dyDescent="0.25">
      <c r="B78" s="26"/>
      <c r="C78" s="26"/>
      <c r="D78" s="26" t="s">
        <v>521</v>
      </c>
      <c r="E78" s="26" t="s">
        <v>522</v>
      </c>
      <c r="F78" s="20" t="s">
        <v>206</v>
      </c>
      <c r="G78" s="26"/>
      <c r="H78" s="26"/>
      <c r="I78" s="26"/>
      <c r="J78" s="26"/>
      <c r="AF78" s="21"/>
    </row>
    <row r="79" spans="2:32" x14ac:dyDescent="0.25">
      <c r="B79" s="26"/>
      <c r="C79" s="26"/>
      <c r="D79" s="26" t="s">
        <v>523</v>
      </c>
      <c r="E79" s="26" t="s">
        <v>524</v>
      </c>
      <c r="F79" s="20" t="s">
        <v>206</v>
      </c>
      <c r="G79" s="26"/>
      <c r="H79" s="26"/>
      <c r="I79" s="26"/>
      <c r="J79" s="26"/>
      <c r="AF79" s="21"/>
    </row>
    <row r="80" spans="2:32" x14ac:dyDescent="0.25">
      <c r="B80" s="26"/>
      <c r="C80" s="26"/>
      <c r="D80" s="26" t="s">
        <v>525</v>
      </c>
      <c r="E80" s="26" t="s">
        <v>526</v>
      </c>
      <c r="F80" s="20" t="s">
        <v>206</v>
      </c>
      <c r="G80" s="26"/>
      <c r="H80" s="26"/>
      <c r="I80" s="26"/>
      <c r="J80" s="26"/>
      <c r="AF80" s="21"/>
    </row>
    <row r="81" spans="2:32" x14ac:dyDescent="0.25">
      <c r="B81" s="26"/>
      <c r="C81" s="26"/>
      <c r="D81" s="26" t="s">
        <v>527</v>
      </c>
      <c r="E81" s="26" t="s">
        <v>528</v>
      </c>
      <c r="F81" s="20" t="s">
        <v>206</v>
      </c>
      <c r="G81" s="26"/>
      <c r="H81" s="26"/>
      <c r="I81" s="26"/>
      <c r="J81" s="26"/>
      <c r="AF81" s="21"/>
    </row>
    <row r="82" spans="2:32" x14ac:dyDescent="0.25">
      <c r="B82" s="26"/>
      <c r="C82" s="26"/>
      <c r="D82" s="26" t="s">
        <v>529</v>
      </c>
      <c r="E82" s="26" t="s">
        <v>530</v>
      </c>
      <c r="F82" s="20" t="s">
        <v>206</v>
      </c>
      <c r="G82" s="26"/>
      <c r="H82" s="26"/>
      <c r="I82" s="26"/>
      <c r="J82" s="26"/>
      <c r="AF82" s="21"/>
    </row>
    <row r="83" spans="2:32" x14ac:dyDescent="0.25">
      <c r="B83" s="26"/>
      <c r="C83" s="26"/>
      <c r="D83" s="26" t="s">
        <v>531</v>
      </c>
      <c r="E83" s="26" t="s">
        <v>532</v>
      </c>
      <c r="F83" s="20" t="s">
        <v>206</v>
      </c>
      <c r="G83" s="26"/>
      <c r="H83" s="26"/>
      <c r="I83" s="26"/>
      <c r="J83" s="26"/>
      <c r="AF83" s="21"/>
    </row>
    <row r="84" spans="2:32" x14ac:dyDescent="0.25">
      <c r="B84" s="26"/>
      <c r="C84" s="26"/>
      <c r="D84" s="26" t="s">
        <v>533</v>
      </c>
      <c r="E84" s="26" t="s">
        <v>534</v>
      </c>
      <c r="F84" s="20" t="s">
        <v>206</v>
      </c>
      <c r="G84" s="26"/>
      <c r="H84" s="26"/>
      <c r="I84" s="26"/>
      <c r="J84" s="26"/>
      <c r="AF84" s="21"/>
    </row>
    <row r="85" spans="2:32" x14ac:dyDescent="0.25">
      <c r="B85" s="26"/>
      <c r="C85" s="26"/>
      <c r="D85" s="26" t="s">
        <v>535</v>
      </c>
      <c r="E85" s="26" t="s">
        <v>536</v>
      </c>
      <c r="F85" s="20" t="s">
        <v>206</v>
      </c>
      <c r="G85" s="26"/>
      <c r="H85" s="26"/>
      <c r="I85" s="26"/>
      <c r="J85" s="26"/>
      <c r="AF85" s="21"/>
    </row>
    <row r="86" spans="2:32" x14ac:dyDescent="0.25">
      <c r="B86" s="26"/>
      <c r="C86" s="26"/>
      <c r="D86" s="26" t="s">
        <v>537</v>
      </c>
      <c r="E86" s="26" t="s">
        <v>538</v>
      </c>
      <c r="F86" s="20" t="s">
        <v>206</v>
      </c>
      <c r="G86" s="26"/>
      <c r="H86" s="26"/>
      <c r="I86" s="26"/>
      <c r="J86" s="26"/>
      <c r="AF86" s="21"/>
    </row>
    <row r="87" spans="2:32" x14ac:dyDescent="0.25">
      <c r="B87" s="26"/>
      <c r="C87" s="26"/>
      <c r="D87" s="26" t="s">
        <v>539</v>
      </c>
      <c r="E87" s="26" t="s">
        <v>540</v>
      </c>
      <c r="F87" s="20" t="s">
        <v>206</v>
      </c>
      <c r="G87" s="26"/>
      <c r="H87" s="26"/>
      <c r="I87" s="26"/>
      <c r="J87" s="26"/>
      <c r="AF87" s="21"/>
    </row>
    <row r="88" spans="2:32" x14ac:dyDescent="0.25">
      <c r="B88" s="26"/>
      <c r="C88" s="26"/>
      <c r="D88" s="26" t="s">
        <v>541</v>
      </c>
      <c r="E88" s="26" t="s">
        <v>542</v>
      </c>
      <c r="F88" s="20" t="s">
        <v>206</v>
      </c>
      <c r="G88" s="26"/>
      <c r="H88" s="26"/>
      <c r="I88" s="26"/>
      <c r="J88" s="26"/>
      <c r="AF88" s="21"/>
    </row>
    <row r="89" spans="2:32" x14ac:dyDescent="0.25">
      <c r="B89" s="26"/>
      <c r="C89" s="26"/>
      <c r="D89" s="26" t="s">
        <v>543</v>
      </c>
      <c r="E89" s="26" t="s">
        <v>544</v>
      </c>
      <c r="F89" s="20" t="s">
        <v>206</v>
      </c>
      <c r="G89" s="26"/>
      <c r="H89" s="26"/>
      <c r="I89" s="26"/>
      <c r="J89" s="26"/>
      <c r="AF89" s="21"/>
    </row>
    <row r="90" spans="2:32" x14ac:dyDescent="0.25">
      <c r="B90" s="26"/>
      <c r="C90" s="26"/>
      <c r="D90" s="26" t="s">
        <v>545</v>
      </c>
      <c r="E90" s="26" t="s">
        <v>546</v>
      </c>
      <c r="F90" s="20" t="s">
        <v>206</v>
      </c>
      <c r="G90" s="26"/>
      <c r="H90" s="26"/>
      <c r="I90" s="26"/>
      <c r="J90" s="26"/>
      <c r="AF90" s="21"/>
    </row>
    <row r="91" spans="2:32" x14ac:dyDescent="0.25">
      <c r="B91" s="26"/>
      <c r="C91" s="26"/>
      <c r="D91" s="26" t="s">
        <v>547</v>
      </c>
      <c r="E91" s="26" t="s">
        <v>548</v>
      </c>
      <c r="F91" s="20" t="s">
        <v>206</v>
      </c>
      <c r="G91" s="26"/>
      <c r="H91" s="26"/>
      <c r="I91" s="26"/>
      <c r="J91" s="26"/>
      <c r="AF91" s="21"/>
    </row>
    <row r="92" spans="2:32" x14ac:dyDescent="0.25">
      <c r="B92" s="26"/>
      <c r="C92" s="26"/>
      <c r="D92" s="26" t="s">
        <v>549</v>
      </c>
      <c r="E92" s="26" t="s">
        <v>550</v>
      </c>
      <c r="F92" s="20" t="s">
        <v>206</v>
      </c>
      <c r="G92" s="26"/>
      <c r="H92" s="26"/>
      <c r="I92" s="26"/>
      <c r="J92" s="26"/>
      <c r="AF92" s="21"/>
    </row>
    <row r="93" spans="2:32" x14ac:dyDescent="0.25">
      <c r="B93" s="26"/>
      <c r="C93" s="26"/>
      <c r="D93" s="26" t="s">
        <v>551</v>
      </c>
      <c r="E93" s="26" t="s">
        <v>552</v>
      </c>
      <c r="F93" s="20" t="s">
        <v>206</v>
      </c>
      <c r="G93" s="26"/>
      <c r="H93" s="26"/>
      <c r="I93" s="26"/>
      <c r="J93" s="26"/>
      <c r="AF93" s="21"/>
    </row>
    <row r="94" spans="2:32" x14ac:dyDescent="0.25">
      <c r="B94" s="26"/>
      <c r="C94" s="26"/>
      <c r="D94" s="26" t="s">
        <v>553</v>
      </c>
      <c r="E94" s="26" t="s">
        <v>554</v>
      </c>
      <c r="F94" s="20" t="s">
        <v>206</v>
      </c>
      <c r="G94" s="26"/>
      <c r="H94" s="26"/>
      <c r="I94" s="26"/>
      <c r="J94" s="26"/>
      <c r="AF94" s="21"/>
    </row>
    <row r="95" spans="2:32" x14ac:dyDescent="0.25">
      <c r="B95" s="26"/>
      <c r="C95" s="26"/>
      <c r="D95" s="26" t="s">
        <v>555</v>
      </c>
      <c r="E95" s="26" t="s">
        <v>556</v>
      </c>
      <c r="F95" s="20" t="s">
        <v>206</v>
      </c>
      <c r="G95" s="26"/>
      <c r="H95" s="26"/>
      <c r="I95" s="26"/>
      <c r="J95" s="26"/>
      <c r="AF95" s="21"/>
    </row>
    <row r="96" spans="2:32" x14ac:dyDescent="0.25">
      <c r="B96" s="26"/>
      <c r="C96" s="26"/>
      <c r="D96" s="26" t="s">
        <v>557</v>
      </c>
      <c r="E96" s="26" t="s">
        <v>558</v>
      </c>
      <c r="F96" s="20" t="s">
        <v>206</v>
      </c>
      <c r="G96" s="26"/>
      <c r="H96" s="26"/>
      <c r="I96" s="26"/>
      <c r="J96" s="26"/>
      <c r="AF96" s="21"/>
    </row>
    <row r="97" spans="2:32" x14ac:dyDescent="0.25">
      <c r="B97" s="26"/>
      <c r="C97" s="26"/>
      <c r="D97" s="26" t="s">
        <v>559</v>
      </c>
      <c r="E97" s="26" t="s">
        <v>560</v>
      </c>
      <c r="F97" s="20" t="s">
        <v>206</v>
      </c>
      <c r="AF97" s="21"/>
    </row>
    <row r="98" spans="2:32" x14ac:dyDescent="0.25">
      <c r="B98" s="26"/>
      <c r="C98" s="26"/>
      <c r="D98" s="26" t="s">
        <v>561</v>
      </c>
      <c r="E98" s="26" t="s">
        <v>562</v>
      </c>
      <c r="F98" s="20" t="s">
        <v>206</v>
      </c>
      <c r="AF98" s="21"/>
    </row>
    <row r="99" spans="2:32" x14ac:dyDescent="0.25">
      <c r="B99" s="26"/>
      <c r="C99" s="26"/>
      <c r="D99" s="26" t="s">
        <v>563</v>
      </c>
      <c r="E99" s="26" t="s">
        <v>564</v>
      </c>
      <c r="F99" s="20" t="s">
        <v>206</v>
      </c>
      <c r="AF99" s="21"/>
    </row>
    <row r="100" spans="2:32" x14ac:dyDescent="0.25">
      <c r="B100" s="26"/>
      <c r="C100" s="26"/>
      <c r="D100" s="26" t="s">
        <v>565</v>
      </c>
      <c r="E100" s="26" t="s">
        <v>566</v>
      </c>
      <c r="F100" s="20" t="s">
        <v>206</v>
      </c>
      <c r="AF100" s="21"/>
    </row>
    <row r="101" spans="2:32" x14ac:dyDescent="0.25">
      <c r="B101" s="26"/>
      <c r="C101" s="26"/>
      <c r="D101" s="26" t="s">
        <v>567</v>
      </c>
      <c r="E101" s="26" t="s">
        <v>568</v>
      </c>
      <c r="F101" s="20" t="s">
        <v>206</v>
      </c>
      <c r="AF101" s="21"/>
    </row>
    <row r="102" spans="2:32" x14ac:dyDescent="0.25">
      <c r="B102" s="26"/>
      <c r="C102" s="26"/>
      <c r="D102" s="26" t="s">
        <v>569</v>
      </c>
      <c r="E102" s="26" t="s">
        <v>570</v>
      </c>
      <c r="F102" s="20" t="s">
        <v>206</v>
      </c>
      <c r="AF102" s="21"/>
    </row>
    <row r="103" spans="2:32" x14ac:dyDescent="0.25">
      <c r="B103" s="26"/>
      <c r="C103" s="26"/>
      <c r="D103" s="26" t="s">
        <v>571</v>
      </c>
      <c r="E103" s="26" t="s">
        <v>572</v>
      </c>
      <c r="F103" s="20" t="s">
        <v>206</v>
      </c>
      <c r="AF103" s="21"/>
    </row>
    <row r="104" spans="2:32" x14ac:dyDescent="0.25">
      <c r="B104" s="26"/>
      <c r="C104" s="26"/>
      <c r="D104" s="26" t="s">
        <v>573</v>
      </c>
      <c r="E104" s="26" t="s">
        <v>574</v>
      </c>
      <c r="F104" s="20" t="s">
        <v>206</v>
      </c>
      <c r="AF104" s="21"/>
    </row>
    <row r="105" spans="2:32" x14ac:dyDescent="0.25">
      <c r="B105" s="26"/>
      <c r="C105" s="26"/>
      <c r="D105" s="26" t="s">
        <v>575</v>
      </c>
      <c r="E105" s="26" t="s">
        <v>576</v>
      </c>
      <c r="F105" s="20" t="s">
        <v>206</v>
      </c>
      <c r="AF105" s="21"/>
    </row>
    <row r="106" spans="2:32" x14ac:dyDescent="0.25">
      <c r="B106" s="26"/>
      <c r="C106" s="26"/>
      <c r="D106" s="26" t="s">
        <v>577</v>
      </c>
      <c r="E106" s="26" t="s">
        <v>578</v>
      </c>
      <c r="F106" s="20" t="s">
        <v>206</v>
      </c>
      <c r="AF106" s="21"/>
    </row>
    <row r="107" spans="2:32" x14ac:dyDescent="0.25">
      <c r="B107" s="26"/>
      <c r="C107" s="26"/>
      <c r="D107" s="26" t="s">
        <v>569</v>
      </c>
      <c r="E107" s="26" t="s">
        <v>579</v>
      </c>
      <c r="F107" s="20" t="s">
        <v>206</v>
      </c>
      <c r="AF107" s="21"/>
    </row>
    <row r="108" spans="2:32" x14ac:dyDescent="0.25">
      <c r="B108" s="26"/>
      <c r="C108" s="26"/>
      <c r="D108" s="26" t="s">
        <v>580</v>
      </c>
      <c r="E108" s="26" t="s">
        <v>581</v>
      </c>
      <c r="F108" s="20" t="s">
        <v>206</v>
      </c>
      <c r="AF108" s="21"/>
    </row>
    <row r="109" spans="2:32" x14ac:dyDescent="0.25">
      <c r="B109" s="26"/>
      <c r="C109" s="26"/>
      <c r="D109" s="26" t="s">
        <v>582</v>
      </c>
      <c r="E109" s="26" t="s">
        <v>583</v>
      </c>
      <c r="F109" s="20" t="s">
        <v>206</v>
      </c>
      <c r="AF109" s="21"/>
    </row>
    <row r="110" spans="2:32" x14ac:dyDescent="0.25">
      <c r="B110" s="26"/>
      <c r="C110" s="26"/>
      <c r="D110" s="26" t="s">
        <v>584</v>
      </c>
      <c r="E110" s="26" t="s">
        <v>585</v>
      </c>
      <c r="F110" s="20" t="s">
        <v>206</v>
      </c>
      <c r="AF110" s="21"/>
    </row>
    <row r="111" spans="2:32" x14ac:dyDescent="0.25">
      <c r="B111" s="26"/>
      <c r="C111" s="26"/>
      <c r="D111" s="26" t="s">
        <v>586</v>
      </c>
      <c r="E111" s="26" t="s">
        <v>587</v>
      </c>
      <c r="F111" s="20" t="s">
        <v>206</v>
      </c>
      <c r="AF111" s="21"/>
    </row>
    <row r="112" spans="2:32" x14ac:dyDescent="0.25">
      <c r="B112" s="26"/>
      <c r="C112" s="26"/>
      <c r="D112" s="26" t="s">
        <v>588</v>
      </c>
      <c r="E112" s="26" t="s">
        <v>589</v>
      </c>
      <c r="F112" s="20" t="s">
        <v>206</v>
      </c>
      <c r="AF112" s="21"/>
    </row>
    <row r="113" spans="2:32" x14ac:dyDescent="0.25">
      <c r="B113" s="26"/>
      <c r="C113" s="26"/>
      <c r="D113" s="26" t="s">
        <v>590</v>
      </c>
      <c r="E113" s="26" t="s">
        <v>591</v>
      </c>
      <c r="F113" s="20" t="s">
        <v>206</v>
      </c>
      <c r="AF113" s="21"/>
    </row>
    <row r="114" spans="2:32" x14ac:dyDescent="0.25">
      <c r="B114" s="26"/>
      <c r="C114" s="26"/>
      <c r="D114" s="26" t="s">
        <v>592</v>
      </c>
      <c r="E114" s="26" t="s">
        <v>593</v>
      </c>
      <c r="F114" s="20" t="s">
        <v>206</v>
      </c>
      <c r="AF114" s="21"/>
    </row>
    <row r="115" spans="2:32" x14ac:dyDescent="0.25">
      <c r="B115" s="26"/>
      <c r="C115" s="26"/>
      <c r="D115" s="26" t="s">
        <v>594</v>
      </c>
      <c r="E115" s="26" t="s">
        <v>595</v>
      </c>
      <c r="F115" s="20" t="s">
        <v>206</v>
      </c>
      <c r="AF115" s="21"/>
    </row>
    <row r="116" spans="2:32" x14ac:dyDescent="0.25">
      <c r="B116" s="26"/>
      <c r="C116" s="26"/>
      <c r="D116" s="26" t="s">
        <v>426</v>
      </c>
      <c r="E116" s="26" t="s">
        <v>596</v>
      </c>
      <c r="F116" s="20" t="s">
        <v>206</v>
      </c>
      <c r="AF116" s="21"/>
    </row>
    <row r="117" spans="2:32" x14ac:dyDescent="0.25">
      <c r="B117" s="26"/>
      <c r="C117" s="26"/>
      <c r="D117" s="26" t="s">
        <v>597</v>
      </c>
      <c r="E117" s="26" t="s">
        <v>598</v>
      </c>
      <c r="F117" s="20" t="s">
        <v>206</v>
      </c>
      <c r="AF117" s="21"/>
    </row>
    <row r="118" spans="2:32" x14ac:dyDescent="0.25">
      <c r="B118" s="26"/>
      <c r="C118" s="26"/>
      <c r="D118" s="26" t="s">
        <v>141</v>
      </c>
      <c r="E118" s="26" t="s">
        <v>142</v>
      </c>
      <c r="F118" s="20" t="s">
        <v>206</v>
      </c>
      <c r="AF118" s="21"/>
    </row>
    <row r="119" spans="2:32" x14ac:dyDescent="0.25">
      <c r="B119" s="26"/>
      <c r="C119" s="26"/>
      <c r="D119" s="26" t="s">
        <v>430</v>
      </c>
      <c r="E119" s="26" t="s">
        <v>143</v>
      </c>
      <c r="F119" s="20" t="s">
        <v>206</v>
      </c>
      <c r="AF119" s="21"/>
    </row>
    <row r="120" spans="2:32" x14ac:dyDescent="0.25">
      <c r="B120" s="26"/>
      <c r="C120" s="26"/>
      <c r="D120" s="26" t="s">
        <v>144</v>
      </c>
      <c r="E120" s="26" t="s">
        <v>145</v>
      </c>
      <c r="F120" s="20" t="s">
        <v>206</v>
      </c>
      <c r="AF120" s="21"/>
    </row>
    <row r="121" spans="2:32" x14ac:dyDescent="0.25">
      <c r="B121" s="26"/>
      <c r="C121" s="26"/>
      <c r="D121" s="26" t="s">
        <v>146</v>
      </c>
      <c r="E121" s="26" t="s">
        <v>147</v>
      </c>
      <c r="F121" s="20" t="s">
        <v>206</v>
      </c>
      <c r="AF121" s="21"/>
    </row>
    <row r="122" spans="2:32" x14ac:dyDescent="0.25">
      <c r="B122" s="26"/>
      <c r="C122" s="26"/>
      <c r="D122" s="26" t="s">
        <v>148</v>
      </c>
      <c r="E122" s="26" t="s">
        <v>149</v>
      </c>
      <c r="F122" s="20" t="s">
        <v>206</v>
      </c>
      <c r="AF122" s="21"/>
    </row>
    <row r="123" spans="2:32" x14ac:dyDescent="0.25">
      <c r="B123" s="26"/>
      <c r="C123" s="26"/>
      <c r="D123" s="26" t="s">
        <v>599</v>
      </c>
      <c r="E123" s="26" t="s">
        <v>600</v>
      </c>
      <c r="F123" s="20" t="s">
        <v>206</v>
      </c>
      <c r="AF123" s="21"/>
    </row>
    <row r="124" spans="2:32" x14ac:dyDescent="0.25">
      <c r="B124" s="26"/>
      <c r="C124" s="26"/>
      <c r="D124" s="26" t="s">
        <v>150</v>
      </c>
      <c r="E124" s="26" t="s">
        <v>151</v>
      </c>
      <c r="F124" s="20" t="s">
        <v>206</v>
      </c>
      <c r="AF124" s="21"/>
    </row>
    <row r="125" spans="2:32" x14ac:dyDescent="0.25">
      <c r="B125" s="26"/>
      <c r="C125" s="26"/>
      <c r="D125" s="26" t="s">
        <v>152</v>
      </c>
      <c r="E125" s="26" t="s">
        <v>153</v>
      </c>
      <c r="F125" s="20" t="s">
        <v>206</v>
      </c>
      <c r="AF125" s="21"/>
    </row>
    <row r="126" spans="2:32" x14ac:dyDescent="0.25">
      <c r="B126" s="26"/>
      <c r="C126" s="26"/>
      <c r="D126" s="26" t="s">
        <v>154</v>
      </c>
      <c r="E126" s="26" t="s">
        <v>155</v>
      </c>
      <c r="F126" s="20" t="s">
        <v>206</v>
      </c>
      <c r="AF126" s="21"/>
    </row>
    <row r="127" spans="2:32" x14ac:dyDescent="0.25">
      <c r="B127" s="26"/>
      <c r="C127" s="26"/>
      <c r="D127" s="26" t="s">
        <v>601</v>
      </c>
      <c r="E127" s="26" t="s">
        <v>602</v>
      </c>
      <c r="F127" s="20" t="s">
        <v>206</v>
      </c>
      <c r="AF127" s="21"/>
    </row>
    <row r="128" spans="2:32" x14ac:dyDescent="0.25">
      <c r="B128" s="26"/>
      <c r="C128" s="26"/>
      <c r="D128" s="26" t="s">
        <v>603</v>
      </c>
      <c r="E128" s="26" t="s">
        <v>604</v>
      </c>
      <c r="F128" s="20" t="s">
        <v>206</v>
      </c>
      <c r="AF128" s="21"/>
    </row>
    <row r="129" spans="2:32" x14ac:dyDescent="0.25">
      <c r="B129" s="26"/>
      <c r="C129" s="26"/>
      <c r="D129" s="26" t="s">
        <v>156</v>
      </c>
      <c r="E129" s="26" t="s">
        <v>157</v>
      </c>
      <c r="F129" s="20" t="s">
        <v>206</v>
      </c>
      <c r="AF129" s="21"/>
    </row>
    <row r="130" spans="2:32" x14ac:dyDescent="0.25">
      <c r="B130" s="26"/>
      <c r="C130" s="26"/>
      <c r="D130" s="26" t="s">
        <v>158</v>
      </c>
      <c r="E130" s="26" t="s">
        <v>159</v>
      </c>
      <c r="F130" s="20" t="s">
        <v>206</v>
      </c>
      <c r="AF130" s="21"/>
    </row>
    <row r="131" spans="2:32" x14ac:dyDescent="0.25">
      <c r="B131" s="26"/>
      <c r="C131" s="26"/>
      <c r="D131" s="26" t="s">
        <v>160</v>
      </c>
      <c r="E131" s="26" t="s">
        <v>161</v>
      </c>
      <c r="F131" s="20" t="s">
        <v>206</v>
      </c>
      <c r="AF131" s="21"/>
    </row>
    <row r="132" spans="2:32" x14ac:dyDescent="0.25">
      <c r="B132" s="26"/>
      <c r="C132" s="26"/>
      <c r="D132" s="26" t="s">
        <v>162</v>
      </c>
      <c r="E132" s="26" t="s">
        <v>163</v>
      </c>
      <c r="F132" s="20" t="s">
        <v>206</v>
      </c>
      <c r="AF132" s="21"/>
    </row>
    <row r="133" spans="2:32" x14ac:dyDescent="0.25">
      <c r="B133" s="26"/>
      <c r="C133" s="26"/>
      <c r="D133" s="26" t="s">
        <v>164</v>
      </c>
      <c r="E133" s="26" t="s">
        <v>165</v>
      </c>
      <c r="F133" s="20" t="s">
        <v>206</v>
      </c>
      <c r="AF133" s="21"/>
    </row>
    <row r="134" spans="2:32" x14ac:dyDescent="0.25">
      <c r="B134" s="26"/>
      <c r="C134" s="26"/>
      <c r="D134" s="26" t="s">
        <v>166</v>
      </c>
      <c r="E134" s="26" t="s">
        <v>167</v>
      </c>
      <c r="F134" s="20" t="s">
        <v>206</v>
      </c>
      <c r="AF134" s="21"/>
    </row>
    <row r="135" spans="2:32" x14ac:dyDescent="0.25">
      <c r="B135" s="26"/>
      <c r="C135" s="26"/>
      <c r="D135" s="26" t="s">
        <v>168</v>
      </c>
      <c r="E135" s="26" t="s">
        <v>169</v>
      </c>
      <c r="F135" s="20" t="s">
        <v>206</v>
      </c>
      <c r="AF135" s="21"/>
    </row>
    <row r="136" spans="2:32" x14ac:dyDescent="0.25">
      <c r="B136" s="26"/>
      <c r="C136" s="26"/>
      <c r="D136" s="26" t="s">
        <v>605</v>
      </c>
      <c r="E136" s="26" t="s">
        <v>606</v>
      </c>
      <c r="F136" s="20" t="s">
        <v>206</v>
      </c>
      <c r="AF136" s="21"/>
    </row>
    <row r="137" spans="2:32" x14ac:dyDescent="0.25">
      <c r="B137" s="26"/>
      <c r="C137" s="26"/>
      <c r="D137" s="26" t="s">
        <v>607</v>
      </c>
      <c r="E137" s="26" t="s">
        <v>608</v>
      </c>
      <c r="F137" s="20" t="s">
        <v>206</v>
      </c>
      <c r="AF137" s="21"/>
    </row>
    <row r="138" spans="2:32" x14ac:dyDescent="0.25">
      <c r="B138" s="26"/>
      <c r="C138" s="26"/>
      <c r="D138" s="26" t="s">
        <v>170</v>
      </c>
      <c r="E138" s="26" t="s">
        <v>171</v>
      </c>
      <c r="F138" s="20" t="s">
        <v>206</v>
      </c>
      <c r="AF138" s="21"/>
    </row>
    <row r="139" spans="2:32" x14ac:dyDescent="0.25">
      <c r="B139" s="26"/>
      <c r="C139" s="26"/>
      <c r="D139" s="26" t="s">
        <v>172</v>
      </c>
      <c r="E139" s="26" t="s">
        <v>173</v>
      </c>
      <c r="F139" s="20" t="s">
        <v>206</v>
      </c>
      <c r="AF139" s="21"/>
    </row>
    <row r="140" spans="2:32" x14ac:dyDescent="0.25">
      <c r="B140" s="26"/>
      <c r="C140" s="26"/>
      <c r="D140" s="26" t="s">
        <v>609</v>
      </c>
      <c r="E140" s="26" t="s">
        <v>610</v>
      </c>
      <c r="F140" s="20" t="s">
        <v>206</v>
      </c>
      <c r="AF140" s="21"/>
    </row>
    <row r="141" spans="2:32" x14ac:dyDescent="0.25">
      <c r="B141" s="26"/>
      <c r="C141" s="26"/>
      <c r="D141" s="26" t="s">
        <v>611</v>
      </c>
      <c r="E141" s="26" t="s">
        <v>612</v>
      </c>
      <c r="F141" s="20" t="s">
        <v>206</v>
      </c>
      <c r="AF141" s="21"/>
    </row>
    <row r="142" spans="2:32" x14ac:dyDescent="0.25">
      <c r="B142" s="26"/>
      <c r="C142" s="26"/>
      <c r="D142" s="26" t="s">
        <v>174</v>
      </c>
      <c r="E142" s="26" t="s">
        <v>175</v>
      </c>
      <c r="F142" s="20" t="s">
        <v>206</v>
      </c>
      <c r="AF142" s="21"/>
    </row>
    <row r="143" spans="2:32" x14ac:dyDescent="0.25">
      <c r="B143" s="26"/>
      <c r="C143" s="26"/>
      <c r="D143" s="26" t="s">
        <v>176</v>
      </c>
      <c r="E143" s="26" t="s">
        <v>177</v>
      </c>
      <c r="F143" s="20" t="s">
        <v>206</v>
      </c>
      <c r="AF143" s="21"/>
    </row>
    <row r="144" spans="2:32" x14ac:dyDescent="0.25">
      <c r="B144" s="26"/>
      <c r="C144" s="26"/>
      <c r="D144" s="26" t="s">
        <v>174</v>
      </c>
      <c r="E144" s="26" t="s">
        <v>178</v>
      </c>
      <c r="F144" s="20" t="s">
        <v>206</v>
      </c>
      <c r="AF144" s="21"/>
    </row>
    <row r="145" spans="2:32" x14ac:dyDescent="0.25">
      <c r="B145" s="26"/>
      <c r="C145" s="26"/>
      <c r="D145" s="26" t="s">
        <v>179</v>
      </c>
      <c r="E145" s="26" t="s">
        <v>180</v>
      </c>
      <c r="F145" s="20" t="s">
        <v>206</v>
      </c>
      <c r="AF145" s="21"/>
    </row>
    <row r="146" spans="2:32" x14ac:dyDescent="0.25">
      <c r="B146" s="26"/>
      <c r="C146" s="26"/>
      <c r="D146" s="26" t="s">
        <v>181</v>
      </c>
      <c r="E146" s="26" t="s">
        <v>182</v>
      </c>
      <c r="F146" s="20" t="s">
        <v>206</v>
      </c>
      <c r="AF146" s="21"/>
    </row>
    <row r="147" spans="2:32" x14ac:dyDescent="0.25">
      <c r="B147" s="26"/>
      <c r="C147" s="26"/>
      <c r="D147" s="26" t="s">
        <v>183</v>
      </c>
      <c r="E147" s="26" t="s">
        <v>184</v>
      </c>
      <c r="F147" s="20" t="s">
        <v>206</v>
      </c>
      <c r="AF147" s="21"/>
    </row>
    <row r="148" spans="2:32" x14ac:dyDescent="0.25">
      <c r="B148" s="26"/>
      <c r="C148" s="26"/>
      <c r="D148" s="26" t="s">
        <v>185</v>
      </c>
      <c r="E148" s="26" t="s">
        <v>186</v>
      </c>
      <c r="F148" s="20" t="s">
        <v>206</v>
      </c>
      <c r="AF148" s="21"/>
    </row>
    <row r="149" spans="2:32" x14ac:dyDescent="0.25">
      <c r="B149" s="26"/>
      <c r="C149" s="26"/>
      <c r="D149" s="26" t="s">
        <v>187</v>
      </c>
      <c r="E149" s="26" t="s">
        <v>188</v>
      </c>
      <c r="F149" s="20" t="s">
        <v>206</v>
      </c>
      <c r="AF149" s="21"/>
    </row>
    <row r="150" spans="2:32" x14ac:dyDescent="0.25">
      <c r="B150" s="26"/>
      <c r="C150" s="26"/>
      <c r="D150" s="26" t="s">
        <v>189</v>
      </c>
      <c r="E150" s="26" t="s">
        <v>190</v>
      </c>
      <c r="F150" s="20" t="s">
        <v>206</v>
      </c>
      <c r="AF150" s="21"/>
    </row>
    <row r="151" spans="2:32" x14ac:dyDescent="0.25">
      <c r="B151" s="26"/>
      <c r="C151" s="26"/>
      <c r="D151" s="26" t="s">
        <v>191</v>
      </c>
      <c r="E151" s="26" t="s">
        <v>192</v>
      </c>
      <c r="F151" s="20" t="s">
        <v>206</v>
      </c>
      <c r="AF151" s="21"/>
    </row>
    <row r="152" spans="2:32" x14ac:dyDescent="0.25">
      <c r="B152" s="26"/>
      <c r="C152" s="26"/>
      <c r="D152" s="26" t="s">
        <v>613</v>
      </c>
      <c r="E152" s="26" t="s">
        <v>614</v>
      </c>
      <c r="F152" s="20" t="s">
        <v>206</v>
      </c>
      <c r="AF152" s="21"/>
    </row>
    <row r="153" spans="2:32" x14ac:dyDescent="0.25">
      <c r="B153" s="26"/>
      <c r="C153" s="26"/>
      <c r="D153" s="26" t="s">
        <v>615</v>
      </c>
      <c r="E153" s="26" t="s">
        <v>616</v>
      </c>
      <c r="F153" s="20" t="s">
        <v>206</v>
      </c>
      <c r="AF153" s="21"/>
    </row>
    <row r="154" spans="2:32" x14ac:dyDescent="0.25">
      <c r="B154" s="26"/>
      <c r="C154" s="26"/>
      <c r="D154" s="26" t="s">
        <v>617</v>
      </c>
      <c r="E154" s="26" t="s">
        <v>618</v>
      </c>
      <c r="F154" s="20" t="s">
        <v>206</v>
      </c>
      <c r="AF154" s="21"/>
    </row>
    <row r="155" spans="2:32" x14ac:dyDescent="0.25">
      <c r="B155" s="26"/>
      <c r="C155" s="26"/>
      <c r="D155" s="26" t="s">
        <v>619</v>
      </c>
      <c r="E155" s="26" t="s">
        <v>620</v>
      </c>
      <c r="F155" s="20" t="s">
        <v>206</v>
      </c>
      <c r="AF155" s="21"/>
    </row>
    <row r="156" spans="2:32" x14ac:dyDescent="0.25">
      <c r="B156" s="26"/>
      <c r="C156" s="26"/>
      <c r="D156" s="26" t="s">
        <v>621</v>
      </c>
      <c r="E156" s="26" t="s">
        <v>622</v>
      </c>
      <c r="F156" s="20" t="s">
        <v>206</v>
      </c>
      <c r="AF156" s="21"/>
    </row>
    <row r="157" spans="2:32" x14ac:dyDescent="0.25">
      <c r="B157" s="26"/>
      <c r="C157" s="26"/>
      <c r="D157" s="26" t="s">
        <v>623</v>
      </c>
      <c r="E157" s="26" t="s">
        <v>624</v>
      </c>
      <c r="F157" s="20" t="s">
        <v>206</v>
      </c>
      <c r="AF157" s="21"/>
    </row>
    <row r="158" spans="2:32" x14ac:dyDescent="0.25">
      <c r="B158" s="26"/>
      <c r="C158" s="26"/>
      <c r="D158" s="26" t="s">
        <v>625</v>
      </c>
      <c r="E158" s="26" t="s">
        <v>626</v>
      </c>
      <c r="F158" s="20" t="s">
        <v>206</v>
      </c>
      <c r="AF158" s="21"/>
    </row>
    <row r="159" spans="2:32" x14ac:dyDescent="0.25">
      <c r="B159" s="26"/>
      <c r="C159" s="26"/>
      <c r="D159" s="26" t="s">
        <v>627</v>
      </c>
      <c r="E159" s="26" t="s">
        <v>628</v>
      </c>
      <c r="F159" s="20" t="s">
        <v>206</v>
      </c>
      <c r="AF159" s="21"/>
    </row>
    <row r="160" spans="2:32" x14ac:dyDescent="0.25">
      <c r="B160" s="26"/>
      <c r="C160" s="26"/>
      <c r="D160" s="26" t="s">
        <v>629</v>
      </c>
      <c r="E160" s="26" t="s">
        <v>630</v>
      </c>
      <c r="F160" s="20" t="s">
        <v>206</v>
      </c>
      <c r="AF160" s="21"/>
    </row>
    <row r="161" spans="2:32" x14ac:dyDescent="0.25">
      <c r="B161" s="26"/>
      <c r="C161" s="26"/>
      <c r="D161" s="26" t="s">
        <v>631</v>
      </c>
      <c r="E161" s="26" t="s">
        <v>632</v>
      </c>
      <c r="F161" s="20" t="s">
        <v>206</v>
      </c>
      <c r="AF161" s="21"/>
    </row>
    <row r="162" spans="2:32" x14ac:dyDescent="0.25">
      <c r="B162" s="26"/>
      <c r="C162" s="26"/>
      <c r="D162" s="26" t="s">
        <v>633</v>
      </c>
      <c r="E162" s="26" t="s">
        <v>634</v>
      </c>
      <c r="F162" s="20" t="s">
        <v>206</v>
      </c>
      <c r="AF162" s="21"/>
    </row>
    <row r="163" spans="2:32" x14ac:dyDescent="0.25">
      <c r="B163" s="26"/>
      <c r="C163" s="26"/>
      <c r="D163" s="26" t="s">
        <v>635</v>
      </c>
      <c r="E163" s="26" t="s">
        <v>636</v>
      </c>
      <c r="F163" s="20" t="s">
        <v>206</v>
      </c>
      <c r="AF163" s="21"/>
    </row>
    <row r="164" spans="2:32" x14ac:dyDescent="0.25">
      <c r="B164" s="26"/>
      <c r="C164" s="26"/>
      <c r="D164" s="26" t="s">
        <v>637</v>
      </c>
      <c r="E164" s="26" t="s">
        <v>638</v>
      </c>
      <c r="F164" s="20" t="s">
        <v>206</v>
      </c>
      <c r="AF164" s="21"/>
    </row>
    <row r="165" spans="2:32" x14ac:dyDescent="0.25">
      <c r="B165" s="26"/>
      <c r="C165" s="26"/>
      <c r="D165" s="26" t="s">
        <v>639</v>
      </c>
      <c r="E165" s="26" t="s">
        <v>640</v>
      </c>
      <c r="F165" s="20" t="s">
        <v>206</v>
      </c>
      <c r="AF165" s="21"/>
    </row>
    <row r="166" spans="2:32" x14ac:dyDescent="0.25">
      <c r="B166" s="26"/>
      <c r="C166" s="26"/>
      <c r="D166" s="26" t="s">
        <v>641</v>
      </c>
      <c r="E166" s="26" t="s">
        <v>642</v>
      </c>
      <c r="F166" s="20" t="s">
        <v>206</v>
      </c>
      <c r="AF166" s="21"/>
    </row>
    <row r="167" spans="2:32" x14ac:dyDescent="0.25">
      <c r="B167" s="26"/>
      <c r="C167" s="26"/>
      <c r="D167" s="26" t="s">
        <v>643</v>
      </c>
      <c r="E167" s="26" t="s">
        <v>644</v>
      </c>
      <c r="F167" s="20" t="s">
        <v>206</v>
      </c>
      <c r="AF167" s="21"/>
    </row>
    <row r="168" spans="2:32" x14ac:dyDescent="0.25">
      <c r="B168" s="26"/>
      <c r="C168" s="26"/>
      <c r="D168" s="26" t="s">
        <v>645</v>
      </c>
      <c r="E168" s="26" t="s">
        <v>646</v>
      </c>
      <c r="F168" s="20" t="s">
        <v>206</v>
      </c>
      <c r="AF168" s="21"/>
    </row>
    <row r="169" spans="2:32" x14ac:dyDescent="0.25">
      <c r="B169" s="26"/>
      <c r="C169" s="26"/>
      <c r="D169" s="26" t="s">
        <v>647</v>
      </c>
      <c r="E169" s="26" t="s">
        <v>648</v>
      </c>
      <c r="F169" s="20" t="s">
        <v>206</v>
      </c>
      <c r="AF169" s="21"/>
    </row>
    <row r="170" spans="2:32" x14ac:dyDescent="0.25">
      <c r="B170" s="26"/>
      <c r="C170" s="26"/>
      <c r="D170" s="26" t="s">
        <v>649</v>
      </c>
      <c r="E170" s="26" t="s">
        <v>650</v>
      </c>
      <c r="F170" s="20" t="s">
        <v>206</v>
      </c>
      <c r="AF170" s="21"/>
    </row>
    <row r="171" spans="2:32" x14ac:dyDescent="0.25">
      <c r="B171" s="26"/>
      <c r="C171" s="26"/>
      <c r="D171" s="26" t="s">
        <v>651</v>
      </c>
      <c r="E171" s="26" t="s">
        <v>652</v>
      </c>
      <c r="F171" s="20" t="s">
        <v>206</v>
      </c>
      <c r="AF171" s="21"/>
    </row>
    <row r="172" spans="2:32" x14ac:dyDescent="0.25">
      <c r="B172" s="26"/>
      <c r="C172" s="26"/>
      <c r="D172" s="26" t="s">
        <v>653</v>
      </c>
      <c r="E172" s="26" t="s">
        <v>654</v>
      </c>
      <c r="F172" s="20" t="s">
        <v>206</v>
      </c>
      <c r="AF172" s="21"/>
    </row>
    <row r="173" spans="2:32" x14ac:dyDescent="0.25">
      <c r="B173" s="26"/>
      <c r="C173" s="26"/>
      <c r="D173" s="26" t="s">
        <v>655</v>
      </c>
      <c r="E173" s="26" t="s">
        <v>656</v>
      </c>
      <c r="F173" s="20" t="s">
        <v>206</v>
      </c>
      <c r="AF173" s="21"/>
    </row>
    <row r="174" spans="2:32" x14ac:dyDescent="0.25">
      <c r="B174" s="26"/>
      <c r="C174" s="26"/>
      <c r="D174" s="26" t="s">
        <v>657</v>
      </c>
      <c r="E174" s="26" t="s">
        <v>658</v>
      </c>
      <c r="F174" s="20" t="s">
        <v>206</v>
      </c>
      <c r="AF174" s="21"/>
    </row>
    <row r="175" spans="2:32" x14ac:dyDescent="0.25">
      <c r="B175" s="26"/>
      <c r="C175" s="26"/>
      <c r="D175" s="26" t="s">
        <v>659</v>
      </c>
      <c r="E175" s="26" t="s">
        <v>660</v>
      </c>
      <c r="F175" s="20" t="s">
        <v>206</v>
      </c>
      <c r="AF175" s="21"/>
    </row>
    <row r="176" spans="2:32" x14ac:dyDescent="0.25">
      <c r="B176" s="26"/>
      <c r="C176" s="26"/>
      <c r="D176" s="26" t="s">
        <v>657</v>
      </c>
      <c r="E176" s="26" t="s">
        <v>661</v>
      </c>
      <c r="F176" s="20" t="s">
        <v>206</v>
      </c>
      <c r="AF176" s="21"/>
    </row>
    <row r="177" spans="2:32" x14ac:dyDescent="0.25">
      <c r="B177" s="26"/>
      <c r="C177" s="26"/>
      <c r="D177" s="26" t="s">
        <v>662</v>
      </c>
      <c r="E177" s="26" t="s">
        <v>663</v>
      </c>
      <c r="F177" s="20" t="s">
        <v>206</v>
      </c>
      <c r="AF177" s="21"/>
    </row>
    <row r="178" spans="2:32" x14ac:dyDescent="0.25">
      <c r="B178" s="26"/>
      <c r="C178" s="26"/>
      <c r="D178" s="26" t="s">
        <v>664</v>
      </c>
      <c r="E178" s="26" t="s">
        <v>665</v>
      </c>
      <c r="F178" s="20" t="s">
        <v>206</v>
      </c>
      <c r="AF178" s="21"/>
    </row>
    <row r="179" spans="2:32" x14ac:dyDescent="0.25">
      <c r="B179" s="26"/>
      <c r="C179" s="26"/>
      <c r="D179" s="26" t="s">
        <v>666</v>
      </c>
      <c r="E179" s="26" t="s">
        <v>667</v>
      </c>
      <c r="F179" s="20" t="s">
        <v>206</v>
      </c>
      <c r="AF179" s="21"/>
    </row>
    <row r="180" spans="2:32" x14ac:dyDescent="0.25">
      <c r="B180" s="26"/>
      <c r="C180" s="26"/>
      <c r="D180" s="26" t="s">
        <v>668</v>
      </c>
      <c r="E180" s="26" t="s">
        <v>669</v>
      </c>
      <c r="F180" s="20" t="s">
        <v>206</v>
      </c>
      <c r="AF180" s="21"/>
    </row>
    <row r="181" spans="2:32" x14ac:dyDescent="0.25">
      <c r="B181" s="26"/>
      <c r="C181" s="26"/>
      <c r="D181" s="26" t="s">
        <v>670</v>
      </c>
      <c r="E181" s="26" t="s">
        <v>671</v>
      </c>
      <c r="F181" s="20" t="s">
        <v>206</v>
      </c>
      <c r="AF181" s="21"/>
    </row>
    <row r="182" spans="2:32" x14ac:dyDescent="0.25">
      <c r="B182" s="26"/>
      <c r="C182" s="26"/>
      <c r="D182" s="26" t="s">
        <v>672</v>
      </c>
      <c r="E182" s="26" t="s">
        <v>673</v>
      </c>
      <c r="F182" s="20" t="s">
        <v>206</v>
      </c>
      <c r="AF182" s="21"/>
    </row>
    <row r="183" spans="2:32" x14ac:dyDescent="0.25">
      <c r="B183" s="26"/>
      <c r="C183" s="26"/>
      <c r="D183" s="26" t="s">
        <v>674</v>
      </c>
      <c r="E183" s="26" t="s">
        <v>675</v>
      </c>
      <c r="F183" s="20" t="s">
        <v>206</v>
      </c>
      <c r="AF183" s="21"/>
    </row>
    <row r="184" spans="2:32" x14ac:dyDescent="0.25">
      <c r="B184" s="26"/>
      <c r="C184" s="26"/>
      <c r="D184" s="26" t="s">
        <v>676</v>
      </c>
      <c r="E184" s="26" t="s">
        <v>677</v>
      </c>
      <c r="F184" s="20" t="s">
        <v>206</v>
      </c>
      <c r="AF184" s="21"/>
    </row>
    <row r="185" spans="2:32" x14ac:dyDescent="0.25">
      <c r="B185" s="26"/>
      <c r="C185" s="26"/>
      <c r="D185" s="26" t="s">
        <v>678</v>
      </c>
      <c r="E185" s="26" t="s">
        <v>679</v>
      </c>
      <c r="F185" s="20" t="s">
        <v>206</v>
      </c>
      <c r="AF185" s="21"/>
    </row>
    <row r="186" spans="2:32" x14ac:dyDescent="0.25">
      <c r="B186" s="26"/>
      <c r="C186" s="26"/>
      <c r="D186" s="26" t="s">
        <v>680</v>
      </c>
      <c r="E186" s="26" t="s">
        <v>681</v>
      </c>
      <c r="F186" s="20" t="s">
        <v>206</v>
      </c>
      <c r="AF186" s="21"/>
    </row>
    <row r="187" spans="2:32" x14ac:dyDescent="0.25">
      <c r="B187" s="26"/>
      <c r="C187" s="26"/>
      <c r="D187" s="26" t="s">
        <v>682</v>
      </c>
      <c r="E187" s="26" t="s">
        <v>683</v>
      </c>
      <c r="F187" s="20" t="s">
        <v>206</v>
      </c>
      <c r="AF187" s="21"/>
    </row>
    <row r="188" spans="2:32" x14ac:dyDescent="0.25">
      <c r="B188" s="26"/>
      <c r="C188" s="26"/>
      <c r="D188" s="26" t="s">
        <v>684</v>
      </c>
      <c r="E188" s="26" t="s">
        <v>685</v>
      </c>
      <c r="F188" s="20" t="s">
        <v>206</v>
      </c>
      <c r="AF188" s="21"/>
    </row>
    <row r="189" spans="2:32" x14ac:dyDescent="0.25">
      <c r="B189" s="26"/>
      <c r="C189" s="26"/>
      <c r="D189" s="26" t="s">
        <v>686</v>
      </c>
      <c r="E189" s="26" t="s">
        <v>687</v>
      </c>
      <c r="F189" s="20" t="s">
        <v>206</v>
      </c>
      <c r="AF189" s="21"/>
    </row>
    <row r="190" spans="2:32" x14ac:dyDescent="0.25">
      <c r="B190" s="26"/>
      <c r="C190" s="26"/>
      <c r="D190" s="26" t="s">
        <v>688</v>
      </c>
      <c r="E190" s="26" t="s">
        <v>689</v>
      </c>
      <c r="F190" s="20" t="s">
        <v>206</v>
      </c>
      <c r="AF190" s="21"/>
    </row>
    <row r="191" spans="2:32" x14ac:dyDescent="0.25">
      <c r="B191" s="26"/>
      <c r="C191" s="26"/>
      <c r="D191" s="26" t="s">
        <v>690</v>
      </c>
      <c r="E191" s="26" t="s">
        <v>691</v>
      </c>
      <c r="F191" s="20" t="s">
        <v>206</v>
      </c>
      <c r="AF191" s="21"/>
    </row>
    <row r="192" spans="2:32" x14ac:dyDescent="0.25">
      <c r="B192" s="26"/>
      <c r="C192" s="26"/>
      <c r="D192" s="26" t="s">
        <v>692</v>
      </c>
      <c r="E192" s="26" t="s">
        <v>693</v>
      </c>
      <c r="F192" s="20" t="s">
        <v>206</v>
      </c>
      <c r="AF192" s="21"/>
    </row>
    <row r="193" spans="2:32" x14ac:dyDescent="0.25">
      <c r="B193" s="26"/>
      <c r="C193" s="26"/>
      <c r="D193" s="26" t="s">
        <v>694</v>
      </c>
      <c r="E193" s="26" t="s">
        <v>695</v>
      </c>
      <c r="F193" s="20" t="s">
        <v>206</v>
      </c>
      <c r="AF193" s="21"/>
    </row>
    <row r="194" spans="2:32" x14ac:dyDescent="0.25">
      <c r="B194" s="26"/>
      <c r="C194" s="26"/>
      <c r="D194" s="26" t="s">
        <v>696</v>
      </c>
      <c r="E194" s="26" t="s">
        <v>697</v>
      </c>
      <c r="F194" s="20" t="s">
        <v>206</v>
      </c>
      <c r="AF194" s="21"/>
    </row>
    <row r="195" spans="2:32" x14ac:dyDescent="0.25">
      <c r="B195" s="26"/>
      <c r="C195" s="26"/>
      <c r="D195" s="26" t="s">
        <v>698</v>
      </c>
      <c r="E195" s="26" t="s">
        <v>699</v>
      </c>
      <c r="F195" s="20" t="s">
        <v>206</v>
      </c>
      <c r="AF195" s="21"/>
    </row>
    <row r="196" spans="2:32" x14ac:dyDescent="0.25">
      <c r="B196" s="26"/>
      <c r="C196" s="26"/>
      <c r="D196" s="26" t="s">
        <v>700</v>
      </c>
      <c r="E196" s="26" t="s">
        <v>701</v>
      </c>
      <c r="F196" s="20" t="s">
        <v>206</v>
      </c>
      <c r="AF196" s="21"/>
    </row>
    <row r="197" spans="2:32" x14ac:dyDescent="0.25">
      <c r="B197" s="26"/>
      <c r="C197" s="26"/>
      <c r="D197" s="26" t="s">
        <v>702</v>
      </c>
      <c r="E197" s="26" t="s">
        <v>703</v>
      </c>
      <c r="F197" s="20" t="s">
        <v>206</v>
      </c>
      <c r="AF197" s="21"/>
    </row>
    <row r="198" spans="2:32" x14ac:dyDescent="0.25">
      <c r="B198" s="26"/>
      <c r="C198" s="26"/>
      <c r="D198" s="26" t="s">
        <v>704</v>
      </c>
      <c r="E198" s="26" t="s">
        <v>705</v>
      </c>
      <c r="F198" s="20" t="s">
        <v>206</v>
      </c>
      <c r="AF198" s="21"/>
    </row>
    <row r="199" spans="2:32" x14ac:dyDescent="0.25">
      <c r="B199" s="26"/>
      <c r="C199" s="26"/>
      <c r="D199" s="26" t="s">
        <v>706</v>
      </c>
      <c r="E199" s="26" t="s">
        <v>707</v>
      </c>
      <c r="F199" s="20" t="s">
        <v>206</v>
      </c>
      <c r="AF199" s="21"/>
    </row>
    <row r="200" spans="2:32" x14ac:dyDescent="0.25">
      <c r="B200" s="26"/>
      <c r="C200" s="26"/>
      <c r="D200" s="26" t="s">
        <v>708</v>
      </c>
      <c r="E200" s="26" t="s">
        <v>709</v>
      </c>
      <c r="F200" s="20" t="s">
        <v>206</v>
      </c>
      <c r="AF200" s="21"/>
    </row>
    <row r="201" spans="2:32" x14ac:dyDescent="0.25">
      <c r="B201" s="26"/>
      <c r="C201" s="26"/>
      <c r="D201" s="26" t="s">
        <v>710</v>
      </c>
      <c r="E201" s="26" t="s">
        <v>711</v>
      </c>
      <c r="F201" s="20" t="s">
        <v>206</v>
      </c>
      <c r="AF201" s="21"/>
    </row>
    <row r="202" spans="2:32" x14ac:dyDescent="0.25">
      <c r="B202" s="26"/>
      <c r="C202" s="26"/>
      <c r="D202" s="26" t="s">
        <v>712</v>
      </c>
      <c r="E202" s="26" t="s">
        <v>713</v>
      </c>
      <c r="F202" s="20" t="s">
        <v>206</v>
      </c>
      <c r="AF202" s="21"/>
    </row>
    <row r="203" spans="2:32" x14ac:dyDescent="0.25">
      <c r="B203" s="26"/>
      <c r="C203" s="26"/>
      <c r="D203" s="26" t="s">
        <v>714</v>
      </c>
      <c r="E203" s="26" t="s">
        <v>715</v>
      </c>
      <c r="F203" s="20" t="s">
        <v>206</v>
      </c>
      <c r="AF203" s="21"/>
    </row>
    <row r="204" spans="2:32" x14ac:dyDescent="0.25">
      <c r="B204" s="26"/>
      <c r="C204" s="26"/>
      <c r="D204" s="26" t="s">
        <v>716</v>
      </c>
      <c r="E204" s="26" t="s">
        <v>717</v>
      </c>
      <c r="F204" s="20" t="s">
        <v>206</v>
      </c>
      <c r="AF204" s="21"/>
    </row>
    <row r="205" spans="2:32" x14ac:dyDescent="0.25">
      <c r="B205" s="26"/>
      <c r="C205" s="26"/>
      <c r="D205" s="26" t="s">
        <v>718</v>
      </c>
      <c r="E205" s="26" t="s">
        <v>719</v>
      </c>
      <c r="F205" s="20" t="s">
        <v>206</v>
      </c>
      <c r="AF205" s="21"/>
    </row>
    <row r="206" spans="2:32" x14ac:dyDescent="0.25">
      <c r="B206" s="26"/>
      <c r="C206" s="26"/>
      <c r="D206" s="26" t="s">
        <v>720</v>
      </c>
      <c r="E206" s="26" t="s">
        <v>721</v>
      </c>
      <c r="F206" s="20" t="s">
        <v>206</v>
      </c>
      <c r="AF206" s="21"/>
    </row>
    <row r="207" spans="2:32" x14ac:dyDescent="0.25">
      <c r="B207" s="26"/>
      <c r="C207" s="26"/>
      <c r="D207" s="26" t="s">
        <v>722</v>
      </c>
      <c r="E207" s="26" t="s">
        <v>723</v>
      </c>
      <c r="F207" s="20" t="s">
        <v>206</v>
      </c>
      <c r="AF207" s="21"/>
    </row>
    <row r="208" spans="2:32" x14ac:dyDescent="0.25">
      <c r="B208" s="26"/>
      <c r="C208" s="26"/>
      <c r="D208" s="26" t="s">
        <v>720</v>
      </c>
      <c r="E208" s="26" t="s">
        <v>724</v>
      </c>
      <c r="F208" s="20" t="s">
        <v>206</v>
      </c>
      <c r="AF208" s="21"/>
    </row>
    <row r="209" spans="2:32" x14ac:dyDescent="0.25">
      <c r="B209" s="26"/>
      <c r="C209" s="26"/>
      <c r="D209" s="26" t="s">
        <v>725</v>
      </c>
      <c r="E209" s="26" t="s">
        <v>726</v>
      </c>
      <c r="F209" s="20" t="s">
        <v>206</v>
      </c>
      <c r="AF209" s="21"/>
    </row>
    <row r="210" spans="2:32" x14ac:dyDescent="0.25">
      <c r="B210" s="26"/>
      <c r="C210" s="26"/>
      <c r="D210" s="26" t="s">
        <v>727</v>
      </c>
      <c r="E210" s="26" t="s">
        <v>728</v>
      </c>
      <c r="F210" s="20" t="s">
        <v>206</v>
      </c>
      <c r="AF210" s="21"/>
    </row>
    <row r="211" spans="2:32" x14ac:dyDescent="0.25">
      <c r="B211" s="26"/>
      <c r="C211" s="26"/>
      <c r="D211" s="26" t="s">
        <v>729</v>
      </c>
      <c r="E211" s="26" t="s">
        <v>730</v>
      </c>
      <c r="F211" s="20" t="s">
        <v>206</v>
      </c>
      <c r="AF211" s="21"/>
    </row>
    <row r="212" spans="2:32" x14ac:dyDescent="0.25">
      <c r="B212" s="26"/>
      <c r="C212" s="26"/>
      <c r="D212" s="26" t="s">
        <v>731</v>
      </c>
      <c r="E212" s="26" t="s">
        <v>732</v>
      </c>
      <c r="F212" s="20" t="s">
        <v>206</v>
      </c>
      <c r="AF212" s="21"/>
    </row>
    <row r="213" spans="2:32" x14ac:dyDescent="0.25">
      <c r="B213" s="26"/>
      <c r="C213" s="26"/>
      <c r="D213" s="26" t="s">
        <v>733</v>
      </c>
      <c r="E213" s="26" t="s">
        <v>734</v>
      </c>
      <c r="F213" s="20" t="s">
        <v>206</v>
      </c>
      <c r="AF213" s="21"/>
    </row>
    <row r="214" spans="2:32" x14ac:dyDescent="0.25">
      <c r="B214" s="26"/>
      <c r="C214" s="26"/>
      <c r="D214" s="26" t="s">
        <v>735</v>
      </c>
      <c r="E214" s="26" t="s">
        <v>736</v>
      </c>
      <c r="F214" s="20" t="s">
        <v>206</v>
      </c>
      <c r="AF214" s="21"/>
    </row>
    <row r="215" spans="2:32" x14ac:dyDescent="0.25">
      <c r="B215" s="26"/>
      <c r="C215" s="26"/>
      <c r="D215" s="26" t="s">
        <v>737</v>
      </c>
      <c r="E215" s="26" t="s">
        <v>738</v>
      </c>
      <c r="F215" s="20" t="s">
        <v>206</v>
      </c>
      <c r="AF215" s="21"/>
    </row>
    <row r="216" spans="2:32" x14ac:dyDescent="0.25">
      <c r="B216" s="26"/>
      <c r="C216" s="26"/>
      <c r="D216" s="26" t="s">
        <v>739</v>
      </c>
      <c r="E216" s="26" t="s">
        <v>740</v>
      </c>
      <c r="F216" s="20" t="s">
        <v>206</v>
      </c>
      <c r="AF216" s="21"/>
    </row>
    <row r="217" spans="2:32" x14ac:dyDescent="0.25">
      <c r="B217" s="26"/>
      <c r="C217" s="26"/>
      <c r="D217" s="26" t="s">
        <v>741</v>
      </c>
      <c r="E217" s="26" t="s">
        <v>742</v>
      </c>
      <c r="F217" s="20" t="s">
        <v>206</v>
      </c>
      <c r="AF217" s="21"/>
    </row>
    <row r="218" spans="2:32" x14ac:dyDescent="0.25">
      <c r="B218" s="26"/>
      <c r="C218" s="26"/>
      <c r="D218" s="26" t="s">
        <v>743</v>
      </c>
      <c r="E218" s="26" t="s">
        <v>744</v>
      </c>
      <c r="F218" s="20" t="s">
        <v>206</v>
      </c>
      <c r="AF218" s="21"/>
    </row>
    <row r="219" spans="2:32" x14ac:dyDescent="0.25">
      <c r="B219" s="26"/>
      <c r="C219" s="26"/>
      <c r="D219" s="26" t="s">
        <v>745</v>
      </c>
      <c r="E219" s="26" t="s">
        <v>746</v>
      </c>
      <c r="F219" s="20" t="s">
        <v>206</v>
      </c>
      <c r="AF219" s="21"/>
    </row>
    <row r="220" spans="2:32" x14ac:dyDescent="0.25">
      <c r="B220" s="26"/>
      <c r="C220" s="26"/>
      <c r="D220" s="26" t="s">
        <v>747</v>
      </c>
      <c r="E220" s="26" t="s">
        <v>748</v>
      </c>
      <c r="F220" s="20" t="s">
        <v>206</v>
      </c>
      <c r="AF220" s="21"/>
    </row>
    <row r="221" spans="2:32" x14ac:dyDescent="0.25">
      <c r="B221" s="26"/>
      <c r="C221" s="26"/>
      <c r="D221" s="26" t="s">
        <v>749</v>
      </c>
      <c r="E221" s="26" t="s">
        <v>750</v>
      </c>
      <c r="F221" s="20" t="s">
        <v>206</v>
      </c>
      <c r="AF221" s="21"/>
    </row>
    <row r="222" spans="2:32" x14ac:dyDescent="0.25">
      <c r="B222" s="26"/>
      <c r="C222" s="26"/>
      <c r="D222" s="26" t="s">
        <v>751</v>
      </c>
      <c r="E222" s="26" t="s">
        <v>752</v>
      </c>
      <c r="F222" s="20" t="s">
        <v>206</v>
      </c>
      <c r="AF222" s="21"/>
    </row>
    <row r="223" spans="2:32" x14ac:dyDescent="0.25">
      <c r="B223" s="26"/>
      <c r="C223" s="26"/>
      <c r="D223" s="26" t="s">
        <v>753</v>
      </c>
      <c r="E223" s="26" t="s">
        <v>754</v>
      </c>
      <c r="F223" s="20" t="s">
        <v>206</v>
      </c>
      <c r="AF223" s="21"/>
    </row>
    <row r="224" spans="2:32" x14ac:dyDescent="0.25">
      <c r="B224" s="26"/>
      <c r="C224" s="26"/>
      <c r="D224" s="26" t="s">
        <v>755</v>
      </c>
      <c r="E224" s="26" t="s">
        <v>756</v>
      </c>
      <c r="F224" s="20" t="s">
        <v>206</v>
      </c>
      <c r="AF224" s="21"/>
    </row>
    <row r="225" spans="2:32" x14ac:dyDescent="0.25">
      <c r="B225" s="26"/>
      <c r="C225" s="26"/>
      <c r="D225" s="26" t="s">
        <v>757</v>
      </c>
      <c r="E225" s="26" t="s">
        <v>758</v>
      </c>
      <c r="F225" s="20" t="s">
        <v>206</v>
      </c>
      <c r="AF225" s="21"/>
    </row>
    <row r="226" spans="2:32" x14ac:dyDescent="0.25">
      <c r="B226" s="26"/>
      <c r="C226" s="26"/>
      <c r="D226" s="26" t="s">
        <v>759</v>
      </c>
      <c r="E226" s="26" t="s">
        <v>760</v>
      </c>
      <c r="F226" s="20" t="s">
        <v>206</v>
      </c>
      <c r="AF226" s="21"/>
    </row>
    <row r="227" spans="2:32" x14ac:dyDescent="0.25">
      <c r="B227" s="26"/>
      <c r="C227" s="26"/>
      <c r="D227" s="26" t="s">
        <v>761</v>
      </c>
      <c r="E227" s="26" t="s">
        <v>762</v>
      </c>
      <c r="F227" s="20" t="s">
        <v>206</v>
      </c>
      <c r="AF227" s="21"/>
    </row>
    <row r="228" spans="2:32" x14ac:dyDescent="0.25">
      <c r="B228" s="26"/>
      <c r="C228" s="26"/>
      <c r="D228" s="26" t="s">
        <v>763</v>
      </c>
      <c r="E228" s="26" t="s">
        <v>764</v>
      </c>
      <c r="F228" s="20" t="s">
        <v>206</v>
      </c>
      <c r="AF228" s="21"/>
    </row>
    <row r="229" spans="2:32" x14ac:dyDescent="0.25">
      <c r="B229" s="26"/>
      <c r="C229" s="26"/>
      <c r="D229" s="26" t="s">
        <v>765</v>
      </c>
      <c r="E229" s="26" t="s">
        <v>766</v>
      </c>
      <c r="F229" s="20" t="s">
        <v>206</v>
      </c>
      <c r="AF229" s="21"/>
    </row>
    <row r="230" spans="2:32" x14ac:dyDescent="0.25">
      <c r="B230" s="26"/>
      <c r="C230" s="26"/>
      <c r="D230" s="26" t="s">
        <v>767</v>
      </c>
      <c r="E230" s="26" t="s">
        <v>768</v>
      </c>
      <c r="F230" s="20" t="s">
        <v>206</v>
      </c>
      <c r="AF230" s="21"/>
    </row>
    <row r="231" spans="2:32" x14ac:dyDescent="0.25">
      <c r="B231" s="26"/>
      <c r="C231" s="26"/>
      <c r="D231" s="26" t="s">
        <v>769</v>
      </c>
      <c r="E231" s="26" t="s">
        <v>770</v>
      </c>
      <c r="F231" s="20" t="s">
        <v>206</v>
      </c>
      <c r="AF231" s="21"/>
    </row>
    <row r="232" spans="2:32" x14ac:dyDescent="0.25">
      <c r="B232" s="26"/>
      <c r="C232" s="26"/>
      <c r="D232" s="26" t="s">
        <v>771</v>
      </c>
      <c r="E232" s="26" t="s">
        <v>772</v>
      </c>
      <c r="F232" s="20" t="s">
        <v>206</v>
      </c>
      <c r="AF232" s="21"/>
    </row>
    <row r="233" spans="2:32" x14ac:dyDescent="0.25">
      <c r="B233" s="26"/>
      <c r="C233" s="26"/>
      <c r="D233" s="26" t="s">
        <v>773</v>
      </c>
      <c r="E233" s="26" t="s">
        <v>774</v>
      </c>
      <c r="F233" s="20" t="s">
        <v>206</v>
      </c>
      <c r="AF233" s="21"/>
    </row>
    <row r="234" spans="2:32" x14ac:dyDescent="0.25">
      <c r="B234" s="26"/>
      <c r="C234" s="26"/>
      <c r="D234" s="26" t="s">
        <v>775</v>
      </c>
      <c r="E234" s="26" t="s">
        <v>776</v>
      </c>
      <c r="F234" s="20" t="s">
        <v>206</v>
      </c>
      <c r="AF234" s="21"/>
    </row>
    <row r="235" spans="2:32" x14ac:dyDescent="0.25">
      <c r="B235" s="26"/>
      <c r="C235" s="26"/>
      <c r="D235" s="26" t="s">
        <v>777</v>
      </c>
      <c r="E235" s="26" t="s">
        <v>778</v>
      </c>
      <c r="F235" s="20" t="s">
        <v>206</v>
      </c>
      <c r="AF235" s="21"/>
    </row>
    <row r="236" spans="2:32" x14ac:dyDescent="0.25">
      <c r="B236" s="26"/>
      <c r="C236" s="26"/>
      <c r="D236" s="26" t="s">
        <v>779</v>
      </c>
      <c r="E236" s="26" t="s">
        <v>780</v>
      </c>
      <c r="F236" s="20" t="s">
        <v>206</v>
      </c>
      <c r="AF236" s="21"/>
    </row>
    <row r="237" spans="2:32" x14ac:dyDescent="0.25">
      <c r="B237" s="26"/>
      <c r="C237" s="26"/>
      <c r="D237" s="26" t="s">
        <v>781</v>
      </c>
      <c r="E237" s="26" t="s">
        <v>782</v>
      </c>
      <c r="F237" s="20" t="s">
        <v>206</v>
      </c>
      <c r="AF237" s="21"/>
    </row>
    <row r="238" spans="2:32" x14ac:dyDescent="0.25">
      <c r="B238" s="26"/>
      <c r="C238" s="26"/>
      <c r="D238" s="26" t="s">
        <v>783</v>
      </c>
      <c r="E238" s="26" t="s">
        <v>784</v>
      </c>
      <c r="F238" s="20" t="s">
        <v>206</v>
      </c>
      <c r="AF238" s="21"/>
    </row>
    <row r="239" spans="2:32" x14ac:dyDescent="0.25">
      <c r="B239" s="26"/>
      <c r="C239" s="26"/>
      <c r="D239" s="26" t="s">
        <v>785</v>
      </c>
      <c r="E239" s="26" t="s">
        <v>786</v>
      </c>
      <c r="F239" s="20" t="s">
        <v>206</v>
      </c>
      <c r="AF239" s="21"/>
    </row>
    <row r="240" spans="2:32" x14ac:dyDescent="0.25">
      <c r="B240" s="26"/>
      <c r="C240" s="26"/>
      <c r="D240" s="26" t="s">
        <v>783</v>
      </c>
      <c r="E240" s="26" t="s">
        <v>787</v>
      </c>
      <c r="F240" s="20" t="s">
        <v>206</v>
      </c>
      <c r="AF240" s="21"/>
    </row>
    <row r="241" spans="2:32" x14ac:dyDescent="0.25">
      <c r="B241" s="26"/>
      <c r="C241" s="26"/>
      <c r="D241" s="26" t="s">
        <v>788</v>
      </c>
      <c r="E241" s="26" t="s">
        <v>789</v>
      </c>
      <c r="F241" s="20" t="s">
        <v>206</v>
      </c>
      <c r="AF241" s="21"/>
    </row>
    <row r="242" spans="2:32" x14ac:dyDescent="0.25">
      <c r="B242" s="26"/>
      <c r="C242" s="26"/>
      <c r="D242" s="26" t="s">
        <v>790</v>
      </c>
      <c r="E242" s="26" t="s">
        <v>791</v>
      </c>
      <c r="F242" s="20" t="s">
        <v>206</v>
      </c>
      <c r="AF242" s="21"/>
    </row>
    <row r="243" spans="2:32" x14ac:dyDescent="0.25">
      <c r="B243" s="26"/>
      <c r="C243" s="26"/>
      <c r="D243" s="26" t="s">
        <v>792</v>
      </c>
      <c r="E243" s="26" t="s">
        <v>793</v>
      </c>
      <c r="F243" s="20" t="s">
        <v>206</v>
      </c>
      <c r="AF243" s="21"/>
    </row>
    <row r="244" spans="2:32" x14ac:dyDescent="0.25">
      <c r="B244" s="26"/>
      <c r="C244" s="26"/>
      <c r="D244" s="26" t="s">
        <v>794</v>
      </c>
      <c r="E244" s="26" t="s">
        <v>795</v>
      </c>
      <c r="F244" s="20" t="s">
        <v>206</v>
      </c>
      <c r="AF244" s="21"/>
    </row>
    <row r="245" spans="2:32" x14ac:dyDescent="0.25">
      <c r="B245" s="26"/>
      <c r="C245" s="26"/>
      <c r="D245" s="26" t="s">
        <v>796</v>
      </c>
      <c r="E245" s="26" t="s">
        <v>797</v>
      </c>
      <c r="F245" s="20" t="s">
        <v>206</v>
      </c>
      <c r="AF245" s="21"/>
    </row>
    <row r="246" spans="2:32" x14ac:dyDescent="0.25">
      <c r="B246" s="26"/>
      <c r="C246" s="26"/>
      <c r="D246" s="26" t="s">
        <v>798</v>
      </c>
      <c r="E246" s="26" t="s">
        <v>799</v>
      </c>
      <c r="F246" s="20" t="s">
        <v>206</v>
      </c>
      <c r="L246" s="22"/>
      <c r="AF246" s="21"/>
    </row>
    <row r="247" spans="2:32" x14ac:dyDescent="0.25">
      <c r="B247" s="26"/>
      <c r="C247" s="26"/>
      <c r="D247" s="26" t="s">
        <v>800</v>
      </c>
      <c r="E247" s="26" t="s">
        <v>801</v>
      </c>
      <c r="F247" s="20" t="s">
        <v>206</v>
      </c>
      <c r="AF247" s="21"/>
    </row>
    <row r="248" spans="2:32" x14ac:dyDescent="0.25">
      <c r="B248" s="26"/>
      <c r="C248" s="26"/>
      <c r="D248" s="26" t="s">
        <v>802</v>
      </c>
      <c r="E248" s="26" t="s">
        <v>803</v>
      </c>
      <c r="F248" s="20" t="s">
        <v>206</v>
      </c>
      <c r="AF248" s="21"/>
    </row>
    <row r="249" spans="2:32" x14ac:dyDescent="0.25">
      <c r="B249" s="26"/>
      <c r="C249" s="26"/>
      <c r="D249" s="26" t="s">
        <v>804</v>
      </c>
      <c r="E249" s="26" t="s">
        <v>805</v>
      </c>
      <c r="F249" s="20" t="s">
        <v>206</v>
      </c>
      <c r="AF249" s="21"/>
    </row>
    <row r="250" spans="2:32" x14ac:dyDescent="0.25">
      <c r="B250" s="26"/>
      <c r="C250" s="26"/>
      <c r="D250" s="26" t="s">
        <v>806</v>
      </c>
      <c r="E250" s="26" t="s">
        <v>807</v>
      </c>
      <c r="F250" s="20" t="s">
        <v>206</v>
      </c>
      <c r="AF250" s="21"/>
    </row>
    <row r="251" spans="2:32" x14ac:dyDescent="0.25">
      <c r="B251" s="26"/>
      <c r="C251" s="26"/>
      <c r="D251" s="26" t="s">
        <v>808</v>
      </c>
      <c r="E251" s="26" t="s">
        <v>809</v>
      </c>
      <c r="F251" s="20" t="s">
        <v>206</v>
      </c>
      <c r="AF251" s="21"/>
    </row>
    <row r="252" spans="2:32" x14ac:dyDescent="0.25">
      <c r="B252" s="26"/>
      <c r="C252" s="26"/>
      <c r="D252" s="26" t="s">
        <v>810</v>
      </c>
      <c r="E252" s="26" t="s">
        <v>811</v>
      </c>
      <c r="F252" s="20" t="s">
        <v>206</v>
      </c>
      <c r="AF252" s="21"/>
    </row>
    <row r="253" spans="2:32" x14ac:dyDescent="0.25">
      <c r="B253" s="26"/>
      <c r="C253" s="26"/>
      <c r="D253" s="26" t="s">
        <v>812</v>
      </c>
      <c r="E253" s="26" t="s">
        <v>813</v>
      </c>
      <c r="F253" s="20" t="s">
        <v>206</v>
      </c>
      <c r="AF253" s="21"/>
    </row>
    <row r="254" spans="2:32" x14ac:dyDescent="0.25">
      <c r="B254" s="26"/>
      <c r="C254" s="26"/>
      <c r="D254" s="26" t="s">
        <v>814</v>
      </c>
      <c r="E254" s="26" t="s">
        <v>815</v>
      </c>
      <c r="F254" s="20" t="s">
        <v>206</v>
      </c>
      <c r="AF254" s="21"/>
    </row>
    <row r="255" spans="2:32" x14ac:dyDescent="0.25">
      <c r="B255" s="26"/>
      <c r="C255" s="26"/>
      <c r="D255" s="26" t="s">
        <v>816</v>
      </c>
      <c r="E255" s="26" t="s">
        <v>817</v>
      </c>
      <c r="F255" s="20" t="s">
        <v>206</v>
      </c>
      <c r="AF255" s="21"/>
    </row>
    <row r="256" spans="2:32" x14ac:dyDescent="0.25">
      <c r="B256" s="26"/>
      <c r="C256" s="26"/>
      <c r="D256" s="26" t="s">
        <v>818</v>
      </c>
      <c r="E256" s="26" t="s">
        <v>819</v>
      </c>
      <c r="F256" s="20" t="s">
        <v>206</v>
      </c>
      <c r="AF256" s="21"/>
    </row>
    <row r="257" spans="2:32" x14ac:dyDescent="0.25">
      <c r="B257" s="26"/>
      <c r="C257" s="26"/>
      <c r="D257" s="26" t="s">
        <v>820</v>
      </c>
      <c r="E257" s="26" t="s">
        <v>821</v>
      </c>
      <c r="F257" s="20" t="s">
        <v>206</v>
      </c>
      <c r="AF257" s="21"/>
    </row>
    <row r="258" spans="2:32" x14ac:dyDescent="0.25">
      <c r="B258" s="26"/>
      <c r="C258" s="26"/>
      <c r="D258" s="26" t="s">
        <v>822</v>
      </c>
      <c r="E258" s="26" t="s">
        <v>823</v>
      </c>
      <c r="F258" s="20" t="s">
        <v>206</v>
      </c>
      <c r="AF258" s="21"/>
    </row>
    <row r="259" spans="2:32" x14ac:dyDescent="0.25">
      <c r="B259" s="26"/>
      <c r="C259" s="26"/>
      <c r="D259" s="26" t="s">
        <v>824</v>
      </c>
      <c r="E259" s="26" t="s">
        <v>825</v>
      </c>
      <c r="F259" s="20" t="s">
        <v>206</v>
      </c>
      <c r="AF259" s="21"/>
    </row>
    <row r="260" spans="2:32" x14ac:dyDescent="0.25">
      <c r="B260" s="26"/>
      <c r="C260" s="26"/>
      <c r="D260" s="26" t="s">
        <v>822</v>
      </c>
      <c r="E260" s="26" t="s">
        <v>826</v>
      </c>
      <c r="F260" s="20" t="s">
        <v>206</v>
      </c>
      <c r="AF260" s="21"/>
    </row>
    <row r="261" spans="2:32" x14ac:dyDescent="0.25">
      <c r="B261" s="26"/>
      <c r="C261" s="26"/>
      <c r="D261" s="26" t="s">
        <v>827</v>
      </c>
      <c r="E261" s="26" t="s">
        <v>828</v>
      </c>
      <c r="F261" s="20" t="s">
        <v>206</v>
      </c>
      <c r="AF261" s="21"/>
    </row>
    <row r="262" spans="2:32" x14ac:dyDescent="0.25">
      <c r="B262" s="26"/>
      <c r="C262" s="26"/>
      <c r="D262" s="26" t="s">
        <v>829</v>
      </c>
      <c r="E262" s="26" t="s">
        <v>830</v>
      </c>
      <c r="F262" s="20" t="s">
        <v>206</v>
      </c>
      <c r="AF262" s="21"/>
    </row>
    <row r="263" spans="2:32" x14ac:dyDescent="0.25">
      <c r="B263" s="26"/>
      <c r="C263" s="26"/>
      <c r="D263" s="26" t="s">
        <v>831</v>
      </c>
      <c r="E263" s="26" t="s">
        <v>832</v>
      </c>
      <c r="F263" s="20" t="s">
        <v>206</v>
      </c>
      <c r="AF263" s="21"/>
    </row>
    <row r="264" spans="2:32" x14ac:dyDescent="0.25">
      <c r="B264" s="26"/>
      <c r="C264" s="26"/>
      <c r="D264" s="26" t="s">
        <v>833</v>
      </c>
      <c r="E264" s="26" t="s">
        <v>834</v>
      </c>
      <c r="F264" s="20" t="s">
        <v>206</v>
      </c>
      <c r="AF264" s="21"/>
    </row>
    <row r="265" spans="2:32" x14ac:dyDescent="0.25">
      <c r="B265" s="26"/>
      <c r="C265" s="26"/>
      <c r="D265" s="26" t="s">
        <v>835</v>
      </c>
      <c r="E265" s="26" t="s">
        <v>836</v>
      </c>
      <c r="F265" s="20" t="s">
        <v>206</v>
      </c>
      <c r="AF265" s="21"/>
    </row>
    <row r="266" spans="2:32" x14ac:dyDescent="0.25">
      <c r="B266" s="26"/>
      <c r="C266" s="26"/>
      <c r="D266" s="26" t="s">
        <v>837</v>
      </c>
      <c r="E266" s="26" t="s">
        <v>838</v>
      </c>
      <c r="F266" s="20" t="s">
        <v>206</v>
      </c>
      <c r="AF266" s="21"/>
    </row>
    <row r="267" spans="2:32" x14ac:dyDescent="0.25">
      <c r="B267" s="26"/>
      <c r="C267" s="26"/>
      <c r="D267" s="26" t="s">
        <v>839</v>
      </c>
      <c r="E267" s="26" t="s">
        <v>840</v>
      </c>
      <c r="F267" s="20" t="s">
        <v>206</v>
      </c>
      <c r="AF267" s="21"/>
    </row>
    <row r="268" spans="2:32" x14ac:dyDescent="0.25">
      <c r="B268" s="26"/>
      <c r="C268" s="26"/>
      <c r="D268" s="26" t="s">
        <v>841</v>
      </c>
      <c r="E268" s="26" t="s">
        <v>842</v>
      </c>
      <c r="F268" s="20" t="s">
        <v>206</v>
      </c>
      <c r="AF268" s="21"/>
    </row>
    <row r="269" spans="2:32" x14ac:dyDescent="0.25">
      <c r="B269" s="26"/>
      <c r="C269" s="26"/>
      <c r="D269" s="26" t="s">
        <v>843</v>
      </c>
      <c r="E269" s="26" t="s">
        <v>844</v>
      </c>
      <c r="F269" s="20" t="s">
        <v>206</v>
      </c>
      <c r="AF269" s="21"/>
    </row>
    <row r="270" spans="2:32" x14ac:dyDescent="0.25">
      <c r="B270" s="26"/>
      <c r="C270" s="26"/>
      <c r="D270" s="26" t="s">
        <v>845</v>
      </c>
      <c r="E270" s="26" t="s">
        <v>846</v>
      </c>
      <c r="F270" s="20" t="s">
        <v>206</v>
      </c>
      <c r="M270" s="22"/>
      <c r="AF270" s="21"/>
    </row>
    <row r="271" spans="2:32" x14ac:dyDescent="0.25">
      <c r="B271" s="26"/>
      <c r="C271" s="26"/>
      <c r="D271" s="26" t="s">
        <v>847</v>
      </c>
      <c r="E271" s="26" t="s">
        <v>848</v>
      </c>
      <c r="F271" s="20" t="s">
        <v>206</v>
      </c>
      <c r="N271" s="22"/>
      <c r="O271" s="22"/>
      <c r="P271" s="22"/>
      <c r="Q271" s="22"/>
      <c r="R271" s="22"/>
      <c r="S271" s="22"/>
      <c r="T271" s="22"/>
      <c r="U271" s="22"/>
      <c r="V271" s="22"/>
      <c r="AF271" s="21"/>
    </row>
    <row r="272" spans="2:32" x14ac:dyDescent="0.25">
      <c r="B272" s="26"/>
      <c r="C272" s="26"/>
      <c r="D272" s="26" t="s">
        <v>849</v>
      </c>
      <c r="E272" s="26" t="s">
        <v>850</v>
      </c>
      <c r="F272" s="20" t="s">
        <v>206</v>
      </c>
      <c r="AF272" s="21"/>
    </row>
    <row r="273" spans="2:32" x14ac:dyDescent="0.25">
      <c r="B273" s="26"/>
      <c r="C273" s="26"/>
      <c r="D273" s="26" t="s">
        <v>851</v>
      </c>
      <c r="E273" s="26" t="s">
        <v>852</v>
      </c>
      <c r="F273" s="20" t="s">
        <v>206</v>
      </c>
      <c r="AF273" s="21"/>
    </row>
    <row r="274" spans="2:32" x14ac:dyDescent="0.25">
      <c r="B274" s="26"/>
      <c r="C274" s="26"/>
      <c r="D274" s="26" t="s">
        <v>853</v>
      </c>
      <c r="E274" s="26" t="s">
        <v>854</v>
      </c>
      <c r="F274" s="20" t="s">
        <v>206</v>
      </c>
      <c r="AF274" s="21"/>
    </row>
    <row r="275" spans="2:32" x14ac:dyDescent="0.25">
      <c r="B275" s="26"/>
      <c r="C275" s="26"/>
      <c r="D275" s="26" t="s">
        <v>855</v>
      </c>
      <c r="E275" s="26" t="s">
        <v>856</v>
      </c>
      <c r="F275" s="20" t="s">
        <v>206</v>
      </c>
      <c r="AF275" s="21"/>
    </row>
    <row r="276" spans="2:32" x14ac:dyDescent="0.25">
      <c r="B276" s="26"/>
      <c r="C276" s="26"/>
      <c r="D276" s="26" t="s">
        <v>857</v>
      </c>
      <c r="E276" s="26" t="s">
        <v>858</v>
      </c>
      <c r="F276" s="20" t="s">
        <v>206</v>
      </c>
      <c r="AF276" s="21"/>
    </row>
    <row r="277" spans="2:32" x14ac:dyDescent="0.25">
      <c r="B277" s="26"/>
      <c r="C277" s="26"/>
      <c r="D277" s="26" t="s">
        <v>859</v>
      </c>
      <c r="E277" s="26" t="s">
        <v>860</v>
      </c>
      <c r="F277" s="20" t="s">
        <v>206</v>
      </c>
      <c r="AF277" s="21"/>
    </row>
    <row r="278" spans="2:32" x14ac:dyDescent="0.25">
      <c r="B278" s="26"/>
      <c r="C278" s="26"/>
      <c r="D278" s="26" t="s">
        <v>861</v>
      </c>
      <c r="E278" s="26" t="s">
        <v>862</v>
      </c>
      <c r="F278" s="20" t="s">
        <v>206</v>
      </c>
      <c r="AF278" s="21"/>
    </row>
    <row r="279" spans="2:32" x14ac:dyDescent="0.25">
      <c r="B279" s="26"/>
      <c r="C279" s="26"/>
      <c r="D279" s="26" t="s">
        <v>863</v>
      </c>
      <c r="E279" s="26" t="s">
        <v>864</v>
      </c>
      <c r="F279" s="20" t="s">
        <v>206</v>
      </c>
      <c r="AF279" s="21"/>
    </row>
    <row r="280" spans="2:32" x14ac:dyDescent="0.25">
      <c r="B280" s="26"/>
      <c r="C280" s="26"/>
      <c r="D280" s="26" t="s">
        <v>865</v>
      </c>
      <c r="E280" s="26" t="s">
        <v>866</v>
      </c>
      <c r="F280" s="20" t="s">
        <v>206</v>
      </c>
      <c r="AF280" s="21"/>
    </row>
    <row r="281" spans="2:32" x14ac:dyDescent="0.25">
      <c r="B281" s="26"/>
      <c r="C281" s="26"/>
      <c r="D281" s="26" t="s">
        <v>867</v>
      </c>
      <c r="E281" s="26" t="s">
        <v>868</v>
      </c>
      <c r="F281" s="20" t="s">
        <v>206</v>
      </c>
      <c r="AF281" s="21"/>
    </row>
    <row r="282" spans="2:32" x14ac:dyDescent="0.25">
      <c r="B282" s="26"/>
      <c r="C282" s="26"/>
      <c r="D282" s="26" t="s">
        <v>869</v>
      </c>
      <c r="E282" s="26" t="s">
        <v>870</v>
      </c>
      <c r="F282" s="20" t="s">
        <v>206</v>
      </c>
      <c r="AF282" s="21"/>
    </row>
    <row r="283" spans="2:32" x14ac:dyDescent="0.25">
      <c r="B283" s="26"/>
      <c r="C283" s="26"/>
      <c r="D283" s="26" t="s">
        <v>871</v>
      </c>
      <c r="E283" s="26" t="s">
        <v>872</v>
      </c>
      <c r="F283" s="20" t="s">
        <v>206</v>
      </c>
      <c r="AF283" s="21"/>
    </row>
    <row r="284" spans="2:32" x14ac:dyDescent="0.25">
      <c r="B284" s="26"/>
      <c r="C284" s="26"/>
      <c r="D284" s="26" t="s">
        <v>873</v>
      </c>
      <c r="E284" s="26" t="s">
        <v>874</v>
      </c>
      <c r="F284" s="20" t="s">
        <v>206</v>
      </c>
      <c r="AF284" s="21"/>
    </row>
    <row r="285" spans="2:32" x14ac:dyDescent="0.25">
      <c r="B285" s="26"/>
      <c r="C285" s="26"/>
      <c r="D285" s="26" t="s">
        <v>875</v>
      </c>
      <c r="E285" s="26" t="s">
        <v>876</v>
      </c>
      <c r="F285" s="20" t="s">
        <v>206</v>
      </c>
      <c r="AF285" s="21"/>
    </row>
    <row r="286" spans="2:32" x14ac:dyDescent="0.25">
      <c r="B286" s="26"/>
      <c r="C286" s="26"/>
      <c r="D286" s="26" t="s">
        <v>877</v>
      </c>
      <c r="E286" s="26" t="s">
        <v>878</v>
      </c>
      <c r="F286" s="20" t="s">
        <v>206</v>
      </c>
      <c r="AF286" s="21"/>
    </row>
    <row r="287" spans="2:32" x14ac:dyDescent="0.25">
      <c r="B287" s="26"/>
      <c r="C287" s="26"/>
      <c r="D287" s="26" t="s">
        <v>879</v>
      </c>
      <c r="E287" s="26" t="s">
        <v>880</v>
      </c>
      <c r="F287" s="20" t="s">
        <v>206</v>
      </c>
      <c r="AF287" s="21"/>
    </row>
    <row r="288" spans="2:32" x14ac:dyDescent="0.25">
      <c r="B288" s="26"/>
      <c r="C288" s="26"/>
      <c r="D288" s="26" t="s">
        <v>881</v>
      </c>
      <c r="E288" s="26" t="s">
        <v>882</v>
      </c>
      <c r="F288" s="20" t="s">
        <v>206</v>
      </c>
      <c r="AF288" s="21"/>
    </row>
    <row r="289" spans="2:32" x14ac:dyDescent="0.25">
      <c r="B289" s="26"/>
      <c r="C289" s="26"/>
      <c r="D289" s="26" t="s">
        <v>883</v>
      </c>
      <c r="E289" s="26" t="s">
        <v>884</v>
      </c>
      <c r="F289" s="20" t="s">
        <v>206</v>
      </c>
      <c r="AF289" s="21"/>
    </row>
    <row r="290" spans="2:32" x14ac:dyDescent="0.25">
      <c r="B290" s="26"/>
      <c r="C290" s="26"/>
      <c r="D290" s="26" t="s">
        <v>885</v>
      </c>
      <c r="E290" s="26" t="s">
        <v>886</v>
      </c>
      <c r="F290" s="20" t="s">
        <v>206</v>
      </c>
      <c r="AF290" s="21"/>
    </row>
    <row r="291" spans="2:32" x14ac:dyDescent="0.25">
      <c r="B291" s="26"/>
      <c r="C291" s="26"/>
      <c r="D291" s="26" t="s">
        <v>883</v>
      </c>
      <c r="E291" s="26" t="s">
        <v>887</v>
      </c>
      <c r="F291" s="20" t="s">
        <v>206</v>
      </c>
      <c r="AF291" s="21"/>
    </row>
    <row r="292" spans="2:32" x14ac:dyDescent="0.25">
      <c r="B292" s="26"/>
      <c r="C292" s="26"/>
      <c r="D292" s="26" t="s">
        <v>888</v>
      </c>
      <c r="E292" s="26" t="s">
        <v>889</v>
      </c>
      <c r="F292" s="20" t="s">
        <v>206</v>
      </c>
      <c r="AF292" s="21"/>
    </row>
    <row r="293" spans="2:32" x14ac:dyDescent="0.25">
      <c r="B293" s="26"/>
      <c r="C293" s="26"/>
      <c r="D293" s="26" t="s">
        <v>890</v>
      </c>
      <c r="E293" s="26" t="s">
        <v>891</v>
      </c>
      <c r="F293" s="20" t="s">
        <v>206</v>
      </c>
      <c r="AF293" s="21"/>
    </row>
    <row r="294" spans="2:32" x14ac:dyDescent="0.25">
      <c r="B294" s="26"/>
      <c r="C294" s="26"/>
      <c r="D294" s="26" t="s">
        <v>892</v>
      </c>
      <c r="E294" s="26" t="s">
        <v>893</v>
      </c>
      <c r="F294" s="20" t="s">
        <v>206</v>
      </c>
      <c r="AF294" s="21"/>
    </row>
    <row r="295" spans="2:32" x14ac:dyDescent="0.25">
      <c r="B295" s="26"/>
      <c r="C295" s="26"/>
      <c r="D295" s="26" t="s">
        <v>894</v>
      </c>
      <c r="E295" s="26" t="s">
        <v>895</v>
      </c>
      <c r="F295" s="20" t="s">
        <v>206</v>
      </c>
      <c r="AF295" s="21"/>
    </row>
    <row r="296" spans="2:32" x14ac:dyDescent="0.25">
      <c r="B296" s="26"/>
      <c r="C296" s="26"/>
      <c r="D296" s="26" t="s">
        <v>896</v>
      </c>
      <c r="E296" s="26" t="s">
        <v>897</v>
      </c>
      <c r="F296" s="20" t="s">
        <v>206</v>
      </c>
      <c r="AF296" s="21"/>
    </row>
    <row r="297" spans="2:32" x14ac:dyDescent="0.25">
      <c r="B297" s="26"/>
      <c r="C297" s="26"/>
      <c r="D297" s="26" t="s">
        <v>898</v>
      </c>
      <c r="E297" s="26" t="s">
        <v>899</v>
      </c>
      <c r="F297" s="20" t="s">
        <v>206</v>
      </c>
      <c r="AF297" s="21"/>
    </row>
    <row r="298" spans="2:32" x14ac:dyDescent="0.25">
      <c r="B298" s="26"/>
      <c r="C298" s="26"/>
      <c r="D298" s="26" t="s">
        <v>900</v>
      </c>
      <c r="E298" s="26" t="s">
        <v>901</v>
      </c>
      <c r="F298" s="20" t="s">
        <v>206</v>
      </c>
      <c r="AF298" s="21"/>
    </row>
    <row r="299" spans="2:32" x14ac:dyDescent="0.25">
      <c r="B299" s="26"/>
      <c r="C299" s="26"/>
      <c r="D299" s="26" t="s">
        <v>902</v>
      </c>
      <c r="E299" s="26" t="s">
        <v>903</v>
      </c>
      <c r="F299" s="20" t="s">
        <v>206</v>
      </c>
      <c r="AF299" s="21"/>
    </row>
    <row r="300" spans="2:32" x14ac:dyDescent="0.25">
      <c r="B300" s="26"/>
      <c r="C300" s="26"/>
      <c r="D300" s="26" t="s">
        <v>904</v>
      </c>
      <c r="E300" s="26" t="s">
        <v>905</v>
      </c>
      <c r="F300" s="20" t="s">
        <v>206</v>
      </c>
      <c r="AF300" s="21"/>
    </row>
    <row r="301" spans="2:32" x14ac:dyDescent="0.25">
      <c r="B301" s="26"/>
      <c r="C301" s="26"/>
      <c r="D301" s="26" t="s">
        <v>906</v>
      </c>
      <c r="E301" s="26" t="s">
        <v>907</v>
      </c>
      <c r="F301" s="20" t="s">
        <v>206</v>
      </c>
      <c r="AF301" s="21"/>
    </row>
    <row r="302" spans="2:32" x14ac:dyDescent="0.25">
      <c r="B302" s="26"/>
      <c r="C302" s="26"/>
      <c r="D302" s="26" t="s">
        <v>908</v>
      </c>
      <c r="E302" s="26" t="s">
        <v>909</v>
      </c>
      <c r="F302" s="20" t="s">
        <v>206</v>
      </c>
      <c r="AF302" s="21"/>
    </row>
    <row r="303" spans="2:32" x14ac:dyDescent="0.25">
      <c r="B303" s="26"/>
      <c r="C303" s="26"/>
      <c r="D303" s="26" t="s">
        <v>910</v>
      </c>
      <c r="E303" s="26" t="s">
        <v>911</v>
      </c>
      <c r="F303" s="20" t="s">
        <v>206</v>
      </c>
      <c r="AF303" s="21"/>
    </row>
    <row r="304" spans="2:32" x14ac:dyDescent="0.25">
      <c r="B304" s="26"/>
      <c r="C304" s="26"/>
      <c r="D304" s="26" t="s">
        <v>912</v>
      </c>
      <c r="E304" s="26" t="s">
        <v>913</v>
      </c>
      <c r="F304" s="20" t="s">
        <v>206</v>
      </c>
      <c r="AF304" s="21"/>
    </row>
    <row r="305" spans="2:32" x14ac:dyDescent="0.25">
      <c r="B305" s="26"/>
      <c r="C305" s="26"/>
      <c r="D305" s="26" t="s">
        <v>914</v>
      </c>
      <c r="E305" s="26" t="s">
        <v>915</v>
      </c>
      <c r="F305" s="20" t="s">
        <v>206</v>
      </c>
      <c r="AF305" s="21"/>
    </row>
    <row r="306" spans="2:32" x14ac:dyDescent="0.25">
      <c r="B306" s="26"/>
      <c r="C306" s="26"/>
      <c r="D306" s="26" t="s">
        <v>916</v>
      </c>
      <c r="E306" s="26" t="s">
        <v>917</v>
      </c>
      <c r="F306" s="20" t="s">
        <v>206</v>
      </c>
      <c r="AF306" s="21"/>
    </row>
    <row r="307" spans="2:32" x14ac:dyDescent="0.25">
      <c r="B307" s="26"/>
      <c r="C307" s="26"/>
      <c r="D307" s="26" t="s">
        <v>918</v>
      </c>
      <c r="E307" s="26" t="s">
        <v>919</v>
      </c>
      <c r="F307" s="20" t="s">
        <v>206</v>
      </c>
      <c r="AF307" s="21"/>
    </row>
    <row r="308" spans="2:32" x14ac:dyDescent="0.25">
      <c r="B308" s="26"/>
      <c r="C308" s="26"/>
      <c r="D308" s="26" t="s">
        <v>920</v>
      </c>
      <c r="E308" s="26" t="s">
        <v>921</v>
      </c>
      <c r="F308" s="20" t="s">
        <v>206</v>
      </c>
      <c r="AF308" s="21"/>
    </row>
    <row r="309" spans="2:32" x14ac:dyDescent="0.25">
      <c r="B309" s="26"/>
      <c r="C309" s="26"/>
      <c r="D309" s="26" t="s">
        <v>922</v>
      </c>
      <c r="E309" s="26" t="s">
        <v>923</v>
      </c>
      <c r="F309" s="20" t="s">
        <v>206</v>
      </c>
      <c r="AF309" s="21"/>
    </row>
    <row r="310" spans="2:32" x14ac:dyDescent="0.25">
      <c r="B310" s="26"/>
      <c r="C310" s="26"/>
      <c r="D310" s="26" t="s">
        <v>924</v>
      </c>
      <c r="E310" s="26" t="s">
        <v>925</v>
      </c>
      <c r="F310" s="20" t="s">
        <v>206</v>
      </c>
      <c r="AF310" s="21"/>
    </row>
    <row r="311" spans="2:32" x14ac:dyDescent="0.25">
      <c r="B311" s="26"/>
      <c r="C311" s="26"/>
      <c r="D311" s="26" t="s">
        <v>926</v>
      </c>
      <c r="E311" s="26" t="s">
        <v>927</v>
      </c>
      <c r="F311" s="20" t="s">
        <v>206</v>
      </c>
      <c r="AF311" s="21"/>
    </row>
    <row r="312" spans="2:32" x14ac:dyDescent="0.25">
      <c r="B312" s="26"/>
      <c r="C312" s="26"/>
      <c r="D312" s="26" t="s">
        <v>928</v>
      </c>
      <c r="E312" s="26" t="s">
        <v>929</v>
      </c>
      <c r="F312" s="20" t="s">
        <v>206</v>
      </c>
      <c r="AF312" s="21"/>
    </row>
    <row r="313" spans="2:32" x14ac:dyDescent="0.25">
      <c r="B313" s="26"/>
      <c r="C313" s="26"/>
      <c r="D313" s="26" t="s">
        <v>930</v>
      </c>
      <c r="E313" s="26" t="s">
        <v>931</v>
      </c>
      <c r="F313" s="20" t="s">
        <v>206</v>
      </c>
      <c r="AF313" s="21"/>
    </row>
    <row r="314" spans="2:32" x14ac:dyDescent="0.25">
      <c r="B314" s="26"/>
      <c r="C314" s="26"/>
      <c r="D314" s="26" t="s">
        <v>932</v>
      </c>
      <c r="E314" s="26" t="s">
        <v>933</v>
      </c>
      <c r="F314" s="20" t="s">
        <v>206</v>
      </c>
      <c r="AF314" s="21"/>
    </row>
    <row r="315" spans="2:32" x14ac:dyDescent="0.25">
      <c r="B315" s="26"/>
      <c r="C315" s="26"/>
      <c r="D315" s="26" t="s">
        <v>934</v>
      </c>
      <c r="E315" s="26" t="s">
        <v>935</v>
      </c>
      <c r="F315" s="20" t="s">
        <v>206</v>
      </c>
      <c r="AF315" s="21"/>
    </row>
    <row r="316" spans="2:32" x14ac:dyDescent="0.25">
      <c r="B316" s="26"/>
      <c r="C316" s="26"/>
      <c r="D316" s="26" t="s">
        <v>936</v>
      </c>
      <c r="E316" s="26" t="s">
        <v>937</v>
      </c>
      <c r="F316" s="20" t="s">
        <v>206</v>
      </c>
      <c r="AF316" s="21"/>
    </row>
    <row r="317" spans="2:32" x14ac:dyDescent="0.25">
      <c r="B317" s="26"/>
      <c r="C317" s="26"/>
      <c r="D317" s="26" t="s">
        <v>938</v>
      </c>
      <c r="E317" s="26" t="s">
        <v>939</v>
      </c>
      <c r="F317" s="20" t="s">
        <v>206</v>
      </c>
      <c r="AF317" s="21"/>
    </row>
    <row r="318" spans="2:32" x14ac:dyDescent="0.25">
      <c r="B318" s="26"/>
      <c r="C318" s="26"/>
      <c r="D318" s="26" t="s">
        <v>940</v>
      </c>
      <c r="E318" s="26" t="s">
        <v>941</v>
      </c>
      <c r="F318" s="20" t="s">
        <v>206</v>
      </c>
      <c r="AF318" s="21"/>
    </row>
    <row r="319" spans="2:32" x14ac:dyDescent="0.25">
      <c r="B319" s="26"/>
      <c r="C319" s="26"/>
      <c r="D319" s="26" t="s">
        <v>942</v>
      </c>
      <c r="E319" s="26" t="s">
        <v>943</v>
      </c>
      <c r="F319" s="20" t="s">
        <v>206</v>
      </c>
      <c r="AF319" s="21"/>
    </row>
    <row r="320" spans="2:32" x14ac:dyDescent="0.25">
      <c r="B320" s="26"/>
      <c r="C320" s="26"/>
      <c r="D320" s="26" t="s">
        <v>944</v>
      </c>
      <c r="E320" s="26" t="s">
        <v>945</v>
      </c>
      <c r="F320" s="20" t="s">
        <v>206</v>
      </c>
      <c r="AF320" s="21"/>
    </row>
    <row r="321" spans="2:32" x14ac:dyDescent="0.25">
      <c r="B321" s="26"/>
      <c r="C321" s="26"/>
      <c r="D321" s="26" t="s">
        <v>946</v>
      </c>
      <c r="E321" s="26" t="s">
        <v>947</v>
      </c>
      <c r="F321" s="20" t="s">
        <v>206</v>
      </c>
      <c r="AF321" s="21"/>
    </row>
    <row r="322" spans="2:32" x14ac:dyDescent="0.25">
      <c r="B322" s="26"/>
      <c r="C322" s="26"/>
      <c r="D322" s="26" t="s">
        <v>948</v>
      </c>
      <c r="E322" s="26" t="s">
        <v>949</v>
      </c>
      <c r="F322" s="20" t="s">
        <v>206</v>
      </c>
      <c r="AF322" s="21"/>
    </row>
    <row r="323" spans="2:32" x14ac:dyDescent="0.25">
      <c r="B323" s="26"/>
      <c r="C323" s="26"/>
      <c r="D323" s="26" t="s">
        <v>950</v>
      </c>
      <c r="E323" s="26" t="s">
        <v>951</v>
      </c>
      <c r="F323" s="20" t="s">
        <v>206</v>
      </c>
      <c r="AF323" s="21"/>
    </row>
    <row r="324" spans="2:32" x14ac:dyDescent="0.25">
      <c r="B324" s="26"/>
      <c r="C324" s="26"/>
      <c r="D324" s="26" t="s">
        <v>952</v>
      </c>
      <c r="E324" s="26" t="s">
        <v>953</v>
      </c>
      <c r="F324" s="20" t="s">
        <v>206</v>
      </c>
      <c r="AF324" s="21"/>
    </row>
    <row r="325" spans="2:32" x14ac:dyDescent="0.25">
      <c r="B325" s="26"/>
      <c r="C325" s="26"/>
      <c r="D325" s="26" t="s">
        <v>954</v>
      </c>
      <c r="E325" s="26" t="s">
        <v>955</v>
      </c>
      <c r="F325" s="20" t="s">
        <v>206</v>
      </c>
      <c r="AF325" s="21"/>
    </row>
    <row r="326" spans="2:32" x14ac:dyDescent="0.25">
      <c r="B326" s="26"/>
      <c r="C326" s="26"/>
      <c r="D326" s="26" t="s">
        <v>956</v>
      </c>
      <c r="E326" s="26" t="s">
        <v>957</v>
      </c>
      <c r="F326" s="20" t="s">
        <v>206</v>
      </c>
    </row>
    <row r="327" spans="2:32" x14ac:dyDescent="0.25">
      <c r="B327" s="26"/>
      <c r="C327" s="26"/>
      <c r="D327" s="26" t="s">
        <v>958</v>
      </c>
      <c r="E327" s="26" t="s">
        <v>959</v>
      </c>
      <c r="F327" s="20" t="s">
        <v>206</v>
      </c>
    </row>
    <row r="328" spans="2:32" x14ac:dyDescent="0.25">
      <c r="B328" s="26"/>
      <c r="C328" s="26"/>
      <c r="D328" s="26" t="s">
        <v>956</v>
      </c>
      <c r="E328" s="26" t="s">
        <v>960</v>
      </c>
      <c r="F328" s="20" t="s">
        <v>206</v>
      </c>
    </row>
    <row r="329" spans="2:32" x14ac:dyDescent="0.25">
      <c r="B329" s="26"/>
      <c r="C329" s="26"/>
      <c r="D329" s="26" t="s">
        <v>961</v>
      </c>
      <c r="E329" s="26" t="s">
        <v>962</v>
      </c>
      <c r="F329" s="20" t="s">
        <v>206</v>
      </c>
    </row>
    <row r="330" spans="2:32" x14ac:dyDescent="0.25">
      <c r="B330" s="26"/>
      <c r="C330" s="26"/>
      <c r="D330" s="26" t="s">
        <v>963</v>
      </c>
      <c r="E330" s="26" t="s">
        <v>964</v>
      </c>
      <c r="F330" s="20" t="s">
        <v>206</v>
      </c>
    </row>
    <row r="331" spans="2:32" x14ac:dyDescent="0.25">
      <c r="B331" s="26"/>
      <c r="C331" s="26"/>
      <c r="D331" s="28" t="s">
        <v>965</v>
      </c>
      <c r="E331" s="28" t="s">
        <v>966</v>
      </c>
      <c r="F331" s="29" t="s">
        <v>206</v>
      </c>
    </row>
    <row r="332" spans="2:32" x14ac:dyDescent="0.25">
      <c r="B332" s="26"/>
      <c r="C332" s="26"/>
      <c r="D332" s="26" t="s">
        <v>967</v>
      </c>
      <c r="E332" s="26" t="s">
        <v>968</v>
      </c>
      <c r="F332" s="20" t="s">
        <v>206</v>
      </c>
    </row>
    <row r="333" spans="2:32" x14ac:dyDescent="0.25">
      <c r="B333" s="26"/>
      <c r="C333" s="26"/>
      <c r="D333" s="26" t="s">
        <v>969</v>
      </c>
      <c r="E333" s="26" t="s">
        <v>970</v>
      </c>
      <c r="F333" s="20" t="s">
        <v>206</v>
      </c>
    </row>
    <row r="334" spans="2:32" x14ac:dyDescent="0.25">
      <c r="B334" s="26"/>
      <c r="C334" s="26"/>
      <c r="D334" s="26" t="s">
        <v>971</v>
      </c>
      <c r="E334" s="26" t="s">
        <v>972</v>
      </c>
      <c r="F334" s="20" t="s">
        <v>206</v>
      </c>
    </row>
    <row r="335" spans="2:32" x14ac:dyDescent="0.25">
      <c r="B335" s="26"/>
      <c r="C335" s="26"/>
      <c r="D335" s="26" t="s">
        <v>973</v>
      </c>
      <c r="E335" s="26" t="s">
        <v>974</v>
      </c>
      <c r="F335" s="20" t="s">
        <v>206</v>
      </c>
    </row>
    <row r="336" spans="2:32" x14ac:dyDescent="0.25">
      <c r="B336" s="26"/>
      <c r="C336" s="26"/>
      <c r="D336" s="26" t="s">
        <v>193</v>
      </c>
      <c r="E336" s="26" t="s">
        <v>194</v>
      </c>
      <c r="F336" s="20" t="s">
        <v>206</v>
      </c>
    </row>
    <row r="337" spans="2:6" x14ac:dyDescent="0.25">
      <c r="B337" s="26"/>
      <c r="C337" s="26"/>
      <c r="D337" s="26" t="s">
        <v>195</v>
      </c>
      <c r="E337" s="26" t="s">
        <v>196</v>
      </c>
      <c r="F337" s="20" t="s">
        <v>206</v>
      </c>
    </row>
    <row r="338" spans="2:6" x14ac:dyDescent="0.25">
      <c r="B338" s="26"/>
      <c r="C338" s="26"/>
      <c r="D338" s="26" t="s">
        <v>975</v>
      </c>
      <c r="E338" s="26" t="s">
        <v>976</v>
      </c>
      <c r="F338" s="20" t="s">
        <v>206</v>
      </c>
    </row>
    <row r="339" spans="2:6" x14ac:dyDescent="0.25">
      <c r="B339" s="26"/>
      <c r="C339" s="26"/>
      <c r="D339" s="26" t="s">
        <v>977</v>
      </c>
      <c r="E339" s="26" t="s">
        <v>978</v>
      </c>
      <c r="F339" s="20" t="s">
        <v>206</v>
      </c>
    </row>
    <row r="340" spans="2:6" x14ac:dyDescent="0.25">
      <c r="B340" s="26"/>
      <c r="C340" s="26"/>
      <c r="D340" s="26" t="s">
        <v>197</v>
      </c>
      <c r="E340" s="26" t="s">
        <v>198</v>
      </c>
      <c r="F340" s="20" t="s">
        <v>206</v>
      </c>
    </row>
    <row r="341" spans="2:6" x14ac:dyDescent="0.25">
      <c r="B341" s="26"/>
      <c r="C341" s="26"/>
      <c r="D341" s="26" t="s">
        <v>199</v>
      </c>
      <c r="E341" s="26" t="s">
        <v>200</v>
      </c>
      <c r="F341" s="20" t="s">
        <v>206</v>
      </c>
    </row>
    <row r="342" spans="2:6" x14ac:dyDescent="0.25">
      <c r="B342" s="26"/>
      <c r="C342" s="26"/>
      <c r="D342" s="26" t="s">
        <v>979</v>
      </c>
      <c r="E342" s="26" t="s">
        <v>980</v>
      </c>
      <c r="F342" s="20" t="s">
        <v>206</v>
      </c>
    </row>
    <row r="343" spans="2:6" x14ac:dyDescent="0.25">
      <c r="B343" s="26"/>
      <c r="C343" s="26"/>
      <c r="D343" s="26" t="s">
        <v>981</v>
      </c>
      <c r="E343" s="26" t="s">
        <v>982</v>
      </c>
      <c r="F343" s="20" t="s">
        <v>206</v>
      </c>
    </row>
    <row r="344" spans="2:6" x14ac:dyDescent="0.25">
      <c r="B344" s="26"/>
      <c r="C344" s="26"/>
      <c r="D344" s="26" t="s">
        <v>983</v>
      </c>
      <c r="E344" s="26" t="s">
        <v>984</v>
      </c>
      <c r="F344" s="20" t="s">
        <v>206</v>
      </c>
    </row>
    <row r="345" spans="2:6" x14ac:dyDescent="0.25">
      <c r="B345" s="26"/>
      <c r="C345" s="26"/>
      <c r="D345" s="26" t="s">
        <v>985</v>
      </c>
      <c r="E345" s="26" t="s">
        <v>986</v>
      </c>
      <c r="F345" s="20" t="s">
        <v>206</v>
      </c>
    </row>
    <row r="346" spans="2:6" x14ac:dyDescent="0.25">
      <c r="B346" s="26"/>
      <c r="C346" s="26"/>
      <c r="D346" s="26" t="s">
        <v>965</v>
      </c>
      <c r="E346" s="26" t="s">
        <v>966</v>
      </c>
      <c r="F346" s="20" t="s">
        <v>206</v>
      </c>
    </row>
    <row r="347" spans="2:6" x14ac:dyDescent="0.25">
      <c r="B347" s="30"/>
      <c r="C347" s="30"/>
      <c r="D347" s="30" t="s">
        <v>201</v>
      </c>
      <c r="E347" s="30" t="s">
        <v>202</v>
      </c>
      <c r="F347" s="31" t="s">
        <v>206</v>
      </c>
    </row>
    <row r="348" spans="2:6" x14ac:dyDescent="0.25">
      <c r="D348" s="21" t="s">
        <v>987</v>
      </c>
      <c r="E348" s="21" t="s">
        <v>988</v>
      </c>
      <c r="F348" s="31" t="s">
        <v>206</v>
      </c>
    </row>
    <row r="349" spans="2:6" x14ac:dyDescent="0.25">
      <c r="D349" s="21" t="s">
        <v>989</v>
      </c>
      <c r="E349" s="21" t="s">
        <v>988</v>
      </c>
      <c r="F349" s="31" t="s">
        <v>206</v>
      </c>
    </row>
    <row r="350" spans="2:6" x14ac:dyDescent="0.25">
      <c r="D350" s="26" t="s">
        <v>990</v>
      </c>
      <c r="E350" s="26" t="s">
        <v>991</v>
      </c>
      <c r="F350" s="32" t="s">
        <v>206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8"/>
  <sheetViews>
    <sheetView zoomScale="70" zoomScaleNormal="70" workbookViewId="0">
      <selection activeCell="H223" sqref="H223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25.6640625" bestFit="1" customWidth="1"/>
    <col min="4" max="4" width="31.33203125" customWidth="1"/>
    <col min="5" max="5" width="20" customWidth="1"/>
  </cols>
  <sheetData>
    <row r="1" spans="1:6" ht="16.5" customHeight="1" x14ac:dyDescent="0.3">
      <c r="A1" s="1" t="s">
        <v>203</v>
      </c>
      <c r="B1" s="2"/>
      <c r="C1" s="2"/>
      <c r="E1" s="3" t="s">
        <v>204</v>
      </c>
      <c r="F1" s="4">
        <v>2017</v>
      </c>
    </row>
    <row r="2" spans="1:6" ht="16.5" customHeight="1" x14ac:dyDescent="0.3">
      <c r="A2" s="3" t="s">
        <v>205</v>
      </c>
      <c r="B2" s="5" t="s">
        <v>206</v>
      </c>
      <c r="C2" s="5"/>
      <c r="E2" s="3" t="s">
        <v>207</v>
      </c>
      <c r="F2" s="3">
        <v>2050</v>
      </c>
    </row>
    <row r="3" spans="1:6" ht="16.5" customHeight="1" x14ac:dyDescent="0.3">
      <c r="A3" s="3" t="s">
        <v>209</v>
      </c>
      <c r="B3" s="5" t="s">
        <v>438</v>
      </c>
      <c r="C3" s="5"/>
      <c r="E3" s="3"/>
      <c r="F3" s="3"/>
    </row>
    <row r="4" spans="1:6" ht="16.5" customHeight="1" x14ac:dyDescent="0.3">
      <c r="A4" s="3" t="s">
        <v>53</v>
      </c>
      <c r="B4" s="5" t="s">
        <v>210</v>
      </c>
      <c r="C4" s="5"/>
    </row>
    <row r="5" spans="1:6" ht="16.5" customHeight="1" x14ac:dyDescent="0.3">
      <c r="A5" s="3" t="s">
        <v>208</v>
      </c>
      <c r="B5" s="5" t="s">
        <v>224</v>
      </c>
      <c r="C5" s="5" t="s">
        <v>242</v>
      </c>
    </row>
    <row r="6" spans="1:6" ht="16.5" customHeight="1" x14ac:dyDescent="0.3">
      <c r="A6" s="3" t="s">
        <v>243</v>
      </c>
      <c r="B6" s="5" t="s">
        <v>284</v>
      </c>
      <c r="C6" s="5"/>
    </row>
    <row r="7" spans="1:6" ht="16.5" customHeight="1" x14ac:dyDescent="0.3">
      <c r="A7" s="3" t="s">
        <v>245</v>
      </c>
      <c r="B7" s="5" t="s">
        <v>246</v>
      </c>
      <c r="C7" s="5"/>
    </row>
    <row r="8" spans="1:6" ht="16.5" customHeight="1" x14ac:dyDescent="0.3">
      <c r="A8" s="33" t="s">
        <v>211</v>
      </c>
      <c r="B8" s="33"/>
    </row>
    <row r="10" spans="1:6" ht="16.5" customHeight="1" x14ac:dyDescent="0.3">
      <c r="A10" s="1" t="s">
        <v>212</v>
      </c>
      <c r="B10" s="1" t="s">
        <v>213</v>
      </c>
      <c r="C10" s="1" t="s">
        <v>214</v>
      </c>
      <c r="D10" s="1" t="s">
        <v>215</v>
      </c>
      <c r="E10" s="1" t="s">
        <v>216</v>
      </c>
    </row>
    <row r="11" spans="1:6" ht="16.5" customHeight="1" x14ac:dyDescent="0.3">
      <c r="A11" s="6" t="s">
        <v>220</v>
      </c>
      <c r="B11" s="3" t="s">
        <v>221</v>
      </c>
      <c r="C11" s="3" t="s">
        <v>219</v>
      </c>
      <c r="D11" s="13" t="s">
        <v>222</v>
      </c>
      <c r="E11" s="14"/>
    </row>
    <row r="12" spans="1:6" ht="16.5" customHeight="1" x14ac:dyDescent="0.3">
      <c r="A12" s="6" t="s">
        <v>45</v>
      </c>
      <c r="B12" s="3" t="s">
        <v>247</v>
      </c>
      <c r="C12" s="3" t="s">
        <v>248</v>
      </c>
      <c r="D12" s="14" t="s">
        <v>439</v>
      </c>
      <c r="E12" s="14" t="str">
        <f>B3&amp;"/"&amp;B2</f>
        <v>M$/PJ</v>
      </c>
    </row>
    <row r="13" spans="1:6" ht="16.5" customHeight="1" x14ac:dyDescent="0.3">
      <c r="A13" s="6" t="s">
        <v>41</v>
      </c>
      <c r="B13" s="3" t="s">
        <v>223</v>
      </c>
      <c r="C13" s="3" t="s">
        <v>219</v>
      </c>
      <c r="D13" s="13" t="str">
        <f>B2&amp;"/year"</f>
        <v>PJ/year</v>
      </c>
      <c r="E13" s="14"/>
    </row>
    <row r="14" spans="1:6" ht="16.5" customHeight="1" x14ac:dyDescent="0.3">
      <c r="A14" s="6" t="s">
        <v>5</v>
      </c>
      <c r="B14" s="3" t="s">
        <v>38</v>
      </c>
      <c r="C14" s="3" t="s">
        <v>219</v>
      </c>
      <c r="D14" s="14" t="s">
        <v>440</v>
      </c>
      <c r="E14" s="14" t="str">
        <f>B3&amp;"/"&amp;B2&amp;"/a"</f>
        <v>M$/PJ/a</v>
      </c>
    </row>
    <row r="15" spans="1:6" ht="16.5" customHeight="1" x14ac:dyDescent="0.3">
      <c r="A15" s="6" t="s">
        <v>34</v>
      </c>
      <c r="B15" s="3" t="s">
        <v>39</v>
      </c>
      <c r="C15" s="3" t="s">
        <v>219</v>
      </c>
      <c r="D15" s="14" t="s">
        <v>439</v>
      </c>
      <c r="E15" s="14" t="str">
        <f>B3&amp;"/"&amp;B2</f>
        <v>M$/PJ</v>
      </c>
    </row>
    <row r="16" spans="1:6" ht="18.75" customHeight="1" x14ac:dyDescent="0.3">
      <c r="A16" s="6" t="s">
        <v>50</v>
      </c>
      <c r="B16" s="3" t="s">
        <v>236</v>
      </c>
      <c r="C16" s="3" t="s">
        <v>219</v>
      </c>
      <c r="D16" s="14" t="s">
        <v>237</v>
      </c>
      <c r="E16" s="14" t="str">
        <f>B2&amp;"/"&amp;B5</f>
        <v>PJ/GW</v>
      </c>
    </row>
    <row r="17" spans="1:5" ht="16.5" customHeight="1" x14ac:dyDescent="0.3">
      <c r="A17" s="6" t="s">
        <v>220</v>
      </c>
      <c r="B17" s="3" t="s">
        <v>221</v>
      </c>
      <c r="C17" s="3" t="s">
        <v>219</v>
      </c>
      <c r="D17" s="13" t="s">
        <v>222</v>
      </c>
      <c r="E17" s="14"/>
    </row>
    <row r="18" spans="1:5" ht="16.5" customHeight="1" x14ac:dyDescent="0.3">
      <c r="A18" s="6" t="s">
        <v>51</v>
      </c>
      <c r="B18" s="3" t="s">
        <v>238</v>
      </c>
      <c r="C18" s="3" t="s">
        <v>217</v>
      </c>
      <c r="D18" s="13" t="s">
        <v>239</v>
      </c>
      <c r="E18" s="14"/>
    </row>
    <row r="19" spans="1:5" ht="16.5" customHeight="1" x14ac:dyDescent="0.3">
      <c r="A19" s="6" t="s">
        <v>50</v>
      </c>
      <c r="B19" s="3" t="s">
        <v>240</v>
      </c>
      <c r="C19" s="3"/>
      <c r="D19" s="13" t="str">
        <f>IF(B2="PJ","TJ/unit","GJ/unit")</f>
        <v>TJ/unit</v>
      </c>
      <c r="E19" s="14"/>
    </row>
    <row r="20" spans="1:5" ht="16.5" customHeight="1" x14ac:dyDescent="0.3">
      <c r="A20" s="6" t="s">
        <v>48</v>
      </c>
      <c r="B20" s="3" t="s">
        <v>218</v>
      </c>
      <c r="C20" s="3" t="s">
        <v>219</v>
      </c>
      <c r="D20" s="14" t="s">
        <v>40</v>
      </c>
      <c r="E20" s="14"/>
    </row>
    <row r="21" spans="1:5" ht="16.5" customHeight="1" x14ac:dyDescent="0.3">
      <c r="A21" s="6" t="s">
        <v>51</v>
      </c>
      <c r="B21" s="3" t="s">
        <v>238</v>
      </c>
      <c r="C21" s="3" t="s">
        <v>241</v>
      </c>
      <c r="D21" s="13" t="str">
        <f>B2&amp;"/year"</f>
        <v>PJ/year</v>
      </c>
      <c r="E21" s="14"/>
    </row>
    <row r="22" spans="1:5" ht="16.5" customHeight="1" x14ac:dyDescent="0.3">
      <c r="A22" s="6" t="s">
        <v>45</v>
      </c>
      <c r="B22" s="3" t="s">
        <v>249</v>
      </c>
      <c r="C22" s="3"/>
      <c r="D22" s="13" t="str">
        <f>B3&amp;"/"&amp;B6</f>
        <v>M$/Mt</v>
      </c>
      <c r="E22" s="14"/>
    </row>
    <row r="23" spans="1:5" ht="16.5" customHeight="1" x14ac:dyDescent="0.3">
      <c r="A23" s="6" t="s">
        <v>250</v>
      </c>
      <c r="B23" s="6" t="s">
        <v>251</v>
      </c>
      <c r="C23" s="6" t="s">
        <v>252</v>
      </c>
      <c r="D23" s="13" t="str">
        <f>B2&amp;"/"&amp;B6</f>
        <v>PJ/Mt</v>
      </c>
      <c r="E23" s="14"/>
    </row>
    <row r="24" spans="1:5" ht="16.5" customHeight="1" x14ac:dyDescent="0.3">
      <c r="A24" s="6" t="s">
        <v>5</v>
      </c>
      <c r="B24" s="3" t="s">
        <v>38</v>
      </c>
      <c r="C24" s="3"/>
      <c r="D24" s="13" t="s">
        <v>441</v>
      </c>
      <c r="E24" s="14" t="s">
        <v>445</v>
      </c>
    </row>
    <row r="25" spans="1:5" ht="16.5" customHeight="1" x14ac:dyDescent="0.3">
      <c r="A25" s="6" t="s">
        <v>34</v>
      </c>
      <c r="B25" s="3" t="s">
        <v>39</v>
      </c>
      <c r="C25" s="3"/>
      <c r="D25" s="13" t="s">
        <v>442</v>
      </c>
      <c r="E25" s="14" t="s">
        <v>439</v>
      </c>
    </row>
    <row r="26" spans="1:5" ht="16.5" customHeight="1" x14ac:dyDescent="0.3">
      <c r="A26" s="6" t="s">
        <v>253</v>
      </c>
      <c r="B26" s="3"/>
      <c r="C26" s="3"/>
      <c r="D26" s="13" t="s">
        <v>449</v>
      </c>
      <c r="E26" s="14"/>
    </row>
    <row r="27" spans="1:5" ht="16.5" customHeight="1" x14ac:dyDescent="0.3">
      <c r="A27" s="6" t="s">
        <v>254</v>
      </c>
      <c r="B27" s="3"/>
      <c r="C27" s="3"/>
      <c r="D27" s="13" t="s">
        <v>992</v>
      </c>
      <c r="E27" s="14"/>
    </row>
    <row r="28" spans="1:5" ht="16.5" customHeight="1" x14ac:dyDescent="0.3">
      <c r="A28" s="6" t="s">
        <v>36</v>
      </c>
      <c r="B28" s="3"/>
      <c r="C28" s="3"/>
      <c r="D28" s="5" t="s">
        <v>443</v>
      </c>
      <c r="E28" s="5" t="s">
        <v>444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4ECB-D94A-4918-86A7-D70207FEC637}">
  <dimension ref="A2:AS316"/>
  <sheetViews>
    <sheetView topLeftCell="A252" zoomScale="55" zoomScaleNormal="55" workbookViewId="0">
      <selection activeCell="B300" sqref="B300"/>
    </sheetView>
  </sheetViews>
  <sheetFormatPr defaultColWidth="9.109375" defaultRowHeight="13.2" x14ac:dyDescent="0.25"/>
  <cols>
    <col min="1" max="1" width="9.109375" style="174"/>
    <col min="2" max="2" width="31.6640625" style="174" customWidth="1"/>
    <col min="3" max="3" width="48.33203125" style="174" customWidth="1"/>
    <col min="4" max="4" width="16.88671875" style="174" bestFit="1" customWidth="1"/>
    <col min="5" max="5" width="18.88671875" style="174" bestFit="1" customWidth="1"/>
    <col min="6" max="6" width="25.109375" style="174" bestFit="1" customWidth="1"/>
    <col min="7" max="7" width="12.109375" style="174" bestFit="1" customWidth="1"/>
    <col min="8" max="11" width="20.5546875" style="174" customWidth="1"/>
    <col min="12" max="12" width="17.6640625" style="174" customWidth="1"/>
    <col min="13" max="13" width="19.44140625" style="174" bestFit="1" customWidth="1"/>
    <col min="14" max="14" width="19.88671875" style="174" customWidth="1"/>
    <col min="15" max="15" width="25" style="174" customWidth="1"/>
    <col min="16" max="16" width="27.88671875" style="174" bestFit="1" customWidth="1"/>
    <col min="17" max="17" width="14.109375" style="174" bestFit="1" customWidth="1"/>
    <col min="18" max="18" width="27.5546875" style="174" customWidth="1"/>
    <col min="19" max="20" width="9.109375" style="174"/>
    <col min="21" max="21" width="15.109375" style="174" customWidth="1"/>
    <col min="22" max="22" width="13.88671875" style="174" bestFit="1" customWidth="1"/>
    <col min="23" max="23" width="40.44140625" style="174" customWidth="1"/>
    <col min="24" max="24" width="65.5546875" style="174" bestFit="1" customWidth="1"/>
    <col min="25" max="26" width="13.44140625" style="174" bestFit="1" customWidth="1"/>
    <col min="27" max="27" width="33.44140625" style="174" bestFit="1" customWidth="1"/>
    <col min="28" max="28" width="26.44140625" style="174" bestFit="1" customWidth="1"/>
    <col min="29" max="29" width="16.6640625" style="174" bestFit="1" customWidth="1"/>
    <col min="30" max="31" width="9.109375" style="174"/>
    <col min="32" max="32" width="28.109375" style="174" bestFit="1" customWidth="1"/>
    <col min="33" max="33" width="17.109375" style="174" bestFit="1" customWidth="1"/>
    <col min="34" max="34" width="27.6640625" style="174" bestFit="1" customWidth="1"/>
    <col min="35" max="35" width="5.88671875" style="174" bestFit="1" customWidth="1"/>
    <col min="36" max="36" width="24.5546875" style="174" bestFit="1" customWidth="1"/>
    <col min="37" max="37" width="22.88671875" style="174" bestFit="1" customWidth="1"/>
    <col min="38" max="38" width="15.88671875" style="174" bestFit="1" customWidth="1"/>
    <col min="39" max="39" width="17.44140625" style="174" bestFit="1" customWidth="1"/>
    <col min="40" max="16384" width="9.109375" style="174"/>
  </cols>
  <sheetData>
    <row r="2" spans="1:45" s="176" customFormat="1" ht="17.399999999999999" x14ac:dyDescent="0.3">
      <c r="A2" s="175"/>
      <c r="B2" s="175" t="s">
        <v>346</v>
      </c>
      <c r="C2" s="175"/>
      <c r="D2" s="175"/>
      <c r="E2" s="175"/>
      <c r="G2" s="231" t="s">
        <v>274</v>
      </c>
      <c r="H2" s="232">
        <v>1</v>
      </c>
      <c r="I2" s="233"/>
      <c r="U2" s="177" t="s">
        <v>225</v>
      </c>
      <c r="V2" s="177"/>
    </row>
    <row r="3" spans="1:45" s="176" customFormat="1" ht="17.399999999999999" x14ac:dyDescent="0.3">
      <c r="B3" s="175" t="s">
        <v>347</v>
      </c>
      <c r="G3" s="234" t="s">
        <v>275</v>
      </c>
      <c r="H3" s="215">
        <v>2</v>
      </c>
      <c r="I3" s="235">
        <f>H3/H2</f>
        <v>2</v>
      </c>
    </row>
    <row r="4" spans="1:45" s="176" customFormat="1" ht="13.8" x14ac:dyDescent="0.25">
      <c r="B4" s="178"/>
      <c r="D4" s="179"/>
      <c r="E4" s="179"/>
      <c r="F4" s="179"/>
      <c r="G4" s="236" t="s">
        <v>276</v>
      </c>
      <c r="H4" s="237">
        <v>3</v>
      </c>
      <c r="I4" s="238">
        <f>H4/H3</f>
        <v>1.5</v>
      </c>
      <c r="L4" s="180"/>
      <c r="M4" s="180"/>
      <c r="N4" s="180"/>
      <c r="O4" s="181"/>
      <c r="U4" s="182" t="s">
        <v>226</v>
      </c>
      <c r="V4" s="182"/>
      <c r="W4" s="182" t="s">
        <v>232</v>
      </c>
      <c r="X4" s="182"/>
      <c r="Y4" s="182"/>
      <c r="Z4" s="182"/>
      <c r="AA4" s="182"/>
      <c r="AB4" s="182"/>
      <c r="AC4" s="182"/>
      <c r="AO4" s="174"/>
    </row>
    <row r="5" spans="1:45" s="176" customFormat="1" ht="13.8" x14ac:dyDescent="0.25">
      <c r="U5" s="183" t="s">
        <v>17</v>
      </c>
      <c r="V5" s="183"/>
      <c r="W5" s="182"/>
      <c r="X5" s="182"/>
      <c r="Y5" s="182"/>
      <c r="Z5" s="182"/>
      <c r="AA5" s="182"/>
      <c r="AB5" s="182"/>
      <c r="AC5" s="182"/>
      <c r="AF5" s="184" t="s">
        <v>308</v>
      </c>
      <c r="AG5" s="185"/>
      <c r="AH5" s="185"/>
      <c r="AI5" s="186"/>
      <c r="AJ5" s="186"/>
      <c r="AK5" s="185"/>
      <c r="AL5" s="185"/>
      <c r="AM5" s="185"/>
      <c r="AN5" s="174"/>
      <c r="AO5" s="187"/>
    </row>
    <row r="6" spans="1:45" s="176" customFormat="1" ht="13.8" x14ac:dyDescent="0.25">
      <c r="U6" s="188" t="s">
        <v>15</v>
      </c>
      <c r="V6" s="188" t="s">
        <v>54</v>
      </c>
      <c r="W6" s="188" t="s">
        <v>1</v>
      </c>
      <c r="X6" s="188" t="s">
        <v>2</v>
      </c>
      <c r="Y6" s="188" t="s">
        <v>18</v>
      </c>
      <c r="Z6" s="188" t="s">
        <v>19</v>
      </c>
      <c r="AA6" s="188" t="s">
        <v>20</v>
      </c>
      <c r="AB6" s="188" t="s">
        <v>21</v>
      </c>
      <c r="AC6" s="188" t="s">
        <v>22</v>
      </c>
      <c r="AF6" s="190" t="s">
        <v>7</v>
      </c>
      <c r="AG6" s="190" t="s">
        <v>6</v>
      </c>
      <c r="AH6" s="190" t="s">
        <v>8</v>
      </c>
      <c r="AI6" s="191" t="s">
        <v>9</v>
      </c>
      <c r="AJ6" s="191" t="s">
        <v>10</v>
      </c>
      <c r="AK6" s="192" t="s">
        <v>11</v>
      </c>
      <c r="AL6" s="192" t="s">
        <v>12</v>
      </c>
      <c r="AM6" s="192" t="s">
        <v>13</v>
      </c>
      <c r="AN6" s="174"/>
      <c r="AO6" s="193"/>
    </row>
    <row r="7" spans="1:45" s="176" customFormat="1" ht="28.2" thickBot="1" x14ac:dyDescent="0.3">
      <c r="E7" s="197"/>
      <c r="F7" s="187" t="s">
        <v>0</v>
      </c>
      <c r="G7" s="187"/>
      <c r="H7" s="198"/>
      <c r="I7" s="198"/>
      <c r="J7" s="198"/>
      <c r="K7" s="199"/>
      <c r="L7" s="199"/>
      <c r="M7" s="199"/>
      <c r="P7" s="206" t="s">
        <v>328</v>
      </c>
      <c r="Q7" s="206"/>
      <c r="U7" s="194" t="s">
        <v>228</v>
      </c>
      <c r="V7" s="194" t="s">
        <v>56</v>
      </c>
      <c r="W7" s="194" t="s">
        <v>27</v>
      </c>
      <c r="X7" s="194" t="s">
        <v>28</v>
      </c>
      <c r="Y7" s="194" t="s">
        <v>29</v>
      </c>
      <c r="Z7" s="194" t="s">
        <v>30</v>
      </c>
      <c r="AA7" s="194" t="s">
        <v>229</v>
      </c>
      <c r="AB7" s="194" t="s">
        <v>230</v>
      </c>
      <c r="AC7" s="194" t="s">
        <v>31</v>
      </c>
      <c r="AD7" s="195"/>
      <c r="AF7" s="87" t="s">
        <v>309</v>
      </c>
      <c r="AG7" s="87" t="s">
        <v>23</v>
      </c>
      <c r="AH7" s="87" t="s">
        <v>24</v>
      </c>
      <c r="AI7" s="88" t="s">
        <v>9</v>
      </c>
      <c r="AJ7" s="88" t="s">
        <v>310</v>
      </c>
      <c r="AK7" s="87" t="s">
        <v>311</v>
      </c>
      <c r="AL7" s="87" t="s">
        <v>25</v>
      </c>
      <c r="AM7" s="87" t="s">
        <v>26</v>
      </c>
      <c r="AN7" s="174"/>
      <c r="AO7" s="174"/>
    </row>
    <row r="8" spans="1:45" s="176" customFormat="1" ht="13.8" x14ac:dyDescent="0.25">
      <c r="B8" s="200" t="s">
        <v>1</v>
      </c>
      <c r="C8" s="201" t="s">
        <v>227</v>
      </c>
      <c r="D8" s="200" t="s">
        <v>3</v>
      </c>
      <c r="E8" s="200" t="s">
        <v>4</v>
      </c>
      <c r="F8" s="202" t="s">
        <v>233</v>
      </c>
      <c r="G8" s="203" t="s">
        <v>14</v>
      </c>
      <c r="H8" s="204" t="s">
        <v>250</v>
      </c>
      <c r="I8" s="205" t="s">
        <v>273</v>
      </c>
      <c r="J8" s="204" t="s">
        <v>50</v>
      </c>
      <c r="K8" s="204" t="s">
        <v>36</v>
      </c>
      <c r="L8" s="204" t="s">
        <v>5</v>
      </c>
      <c r="M8" s="204" t="s">
        <v>34</v>
      </c>
      <c r="N8" s="204" t="s">
        <v>48</v>
      </c>
      <c r="P8" s="93" t="s">
        <v>1001</v>
      </c>
      <c r="U8" s="244" t="s">
        <v>302</v>
      </c>
      <c r="W8" s="323" t="str">
        <f>$B$3&amp;"CHPAUT_"&amp;$W$4&amp;"_ST"</f>
        <v>INDNFMCHPAUT_N_ST</v>
      </c>
      <c r="X8" s="176" t="s">
        <v>348</v>
      </c>
      <c r="Y8" s="176" t="s">
        <v>206</v>
      </c>
      <c r="Z8" s="176" t="s">
        <v>224</v>
      </c>
      <c r="AA8" s="176" t="s">
        <v>42</v>
      </c>
      <c r="AB8" s="245"/>
      <c r="AC8" s="245"/>
      <c r="AF8" s="185"/>
      <c r="AG8" s="185"/>
      <c r="AH8" s="185"/>
      <c r="AI8" s="186"/>
      <c r="AJ8" s="196"/>
      <c r="AN8" s="174"/>
      <c r="AO8" s="174"/>
    </row>
    <row r="9" spans="1:45" s="176" customFormat="1" ht="28.2" thickBot="1" x14ac:dyDescent="0.3">
      <c r="B9" s="207" t="s">
        <v>234</v>
      </c>
      <c r="C9" s="207" t="s">
        <v>28</v>
      </c>
      <c r="D9" s="207" t="s">
        <v>32</v>
      </c>
      <c r="E9" s="207" t="s">
        <v>33</v>
      </c>
      <c r="F9" s="208"/>
      <c r="G9" s="209" t="s">
        <v>35</v>
      </c>
      <c r="H9" s="207" t="s">
        <v>251</v>
      </c>
      <c r="I9" s="207"/>
      <c r="J9" s="207" t="s">
        <v>329</v>
      </c>
      <c r="K9" s="207" t="s">
        <v>37</v>
      </c>
      <c r="L9" s="207" t="s">
        <v>38</v>
      </c>
      <c r="M9" s="207" t="s">
        <v>39</v>
      </c>
      <c r="N9" s="207" t="s">
        <v>218</v>
      </c>
      <c r="P9" s="262"/>
      <c r="W9" s="323" t="str">
        <f>$B$3&amp;"CHPAUT_"&amp;$W$4&amp;"_IM"</f>
        <v>INDNFMCHPAUT_N_IM</v>
      </c>
      <c r="X9" s="176" t="s">
        <v>349</v>
      </c>
      <c r="Y9" s="176" t="s">
        <v>206</v>
      </c>
      <c r="Z9" s="176" t="s">
        <v>224</v>
      </c>
      <c r="AA9" s="176" t="s">
        <v>42</v>
      </c>
      <c r="AB9" s="195"/>
      <c r="AC9" s="195"/>
      <c r="AG9" s="185"/>
      <c r="AH9" s="185"/>
      <c r="AI9" s="186"/>
      <c r="AJ9" s="196"/>
      <c r="AO9" s="174"/>
    </row>
    <row r="10" spans="1:45" s="176" customFormat="1" ht="15" x14ac:dyDescent="0.25">
      <c r="B10" s="210"/>
      <c r="C10" s="211"/>
      <c r="D10" s="211"/>
      <c r="E10" s="211" t="s">
        <v>231</v>
      </c>
      <c r="F10" s="212"/>
      <c r="G10" s="211"/>
      <c r="H10" s="211" t="s">
        <v>1067</v>
      </c>
      <c r="I10" s="213" t="s">
        <v>244</v>
      </c>
      <c r="J10" s="211"/>
      <c r="K10" s="211" t="s">
        <v>1068</v>
      </c>
      <c r="L10" s="211" t="s">
        <v>1068</v>
      </c>
      <c r="M10" s="211" t="s">
        <v>1069</v>
      </c>
      <c r="N10" s="211" t="s">
        <v>40</v>
      </c>
      <c r="W10" s="323" t="str">
        <f>$B$3&amp;"CHPAUT_"&amp;$W$4&amp;"_AD"</f>
        <v>INDNFMCHPAUT_N_AD</v>
      </c>
      <c r="X10" s="176" t="s">
        <v>350</v>
      </c>
      <c r="Y10" s="176" t="s">
        <v>206</v>
      </c>
      <c r="Z10" s="176" t="s">
        <v>224</v>
      </c>
      <c r="AA10" s="176" t="s">
        <v>42</v>
      </c>
      <c r="AB10" s="195"/>
      <c r="AC10" s="195"/>
      <c r="AG10" s="185"/>
      <c r="AH10" s="185"/>
      <c r="AI10" s="186"/>
      <c r="AO10" s="174"/>
    </row>
    <row r="11" spans="1:45" s="176" customFormat="1" ht="13.8" x14ac:dyDescent="0.25">
      <c r="B11" s="176" t="s">
        <v>1006</v>
      </c>
      <c r="C11" s="176" t="s">
        <v>1010</v>
      </c>
      <c r="D11" s="176" t="s">
        <v>199</v>
      </c>
      <c r="F11" s="268"/>
      <c r="G11" s="176">
        <v>2018</v>
      </c>
      <c r="H11" s="324">
        <f>P11*$Q$11/1000</f>
        <v>5.7665000000000001E-2</v>
      </c>
      <c r="J11" s="176">
        <v>1</v>
      </c>
      <c r="K11" s="325">
        <f>4500*1.12/1000</f>
        <v>5.0400000000000009</v>
      </c>
      <c r="L11" s="325">
        <f>155*1.12/1000</f>
        <v>0.17360000000000003</v>
      </c>
      <c r="M11" s="325">
        <f>552*1.12/1000</f>
        <v>0.61824000000000001</v>
      </c>
      <c r="N11" s="176">
        <v>50</v>
      </c>
      <c r="P11" s="324">
        <v>60.7</v>
      </c>
      <c r="Q11" s="326">
        <v>0.95</v>
      </c>
      <c r="U11" s="176" t="s">
        <v>272</v>
      </c>
      <c r="W11" s="323" t="str">
        <f>$B$3&amp;"BOI_"&amp;$W$4&amp;"_ST"</f>
        <v>INDNFMBOI_N_ST</v>
      </c>
      <c r="X11" s="176" t="s">
        <v>351</v>
      </c>
      <c r="Y11" s="176" t="s">
        <v>206</v>
      </c>
      <c r="Z11" s="176" t="s">
        <v>242</v>
      </c>
      <c r="AB11" s="195"/>
      <c r="AC11" s="195"/>
      <c r="AO11" s="174"/>
    </row>
    <row r="12" spans="1:45" s="176" customFormat="1" ht="13.8" x14ac:dyDescent="0.25">
      <c r="D12" s="176" t="s">
        <v>406</v>
      </c>
      <c r="F12" s="214"/>
      <c r="H12" s="324">
        <f>P12*$Q$11/1000</f>
        <v>0</v>
      </c>
      <c r="K12" s="325"/>
      <c r="L12" s="325"/>
      <c r="M12" s="325"/>
      <c r="P12" s="324"/>
      <c r="W12" s="323" t="str">
        <f>$B$3&amp;"BOI_"&amp;$W$4&amp;"_IM"</f>
        <v>INDNFMBOI_N_IM</v>
      </c>
      <c r="X12" s="176" t="s">
        <v>352</v>
      </c>
      <c r="Y12" s="176" t="s">
        <v>206</v>
      </c>
      <c r="Z12" s="176" t="s">
        <v>242</v>
      </c>
      <c r="AB12" s="195"/>
      <c r="AC12" s="195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</row>
    <row r="13" spans="1:45" s="176" customFormat="1" ht="13.8" x14ac:dyDescent="0.25">
      <c r="D13" s="176" t="s">
        <v>141</v>
      </c>
      <c r="F13" s="214"/>
      <c r="H13" s="324">
        <f>P13*$Q$11/1000</f>
        <v>6.6499999999999997E-3</v>
      </c>
      <c r="K13" s="325"/>
      <c r="L13" s="325"/>
      <c r="M13" s="325"/>
      <c r="P13" s="324">
        <v>7</v>
      </c>
      <c r="Q13" s="174"/>
      <c r="R13" s="174"/>
      <c r="S13" s="174"/>
      <c r="T13" s="174"/>
      <c r="W13" s="323" t="str">
        <f>$B$3&amp;"BOI_"&amp;$W$4&amp;"_AD"</f>
        <v>INDNFMBOI_N_AD</v>
      </c>
      <c r="X13" s="176" t="s">
        <v>353</v>
      </c>
      <c r="Y13" s="176" t="s">
        <v>206</v>
      </c>
      <c r="Z13" s="176" t="s">
        <v>242</v>
      </c>
      <c r="AB13" s="195"/>
      <c r="AC13" s="195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</row>
    <row r="14" spans="1:45" s="176" customFormat="1" ht="13.8" x14ac:dyDescent="0.25">
      <c r="D14" s="176" t="s">
        <v>265</v>
      </c>
      <c r="F14" s="214"/>
      <c r="H14" s="324">
        <f>P14*$Q$11/1000</f>
        <v>4.75E-4</v>
      </c>
      <c r="K14" s="325"/>
      <c r="L14" s="325"/>
      <c r="M14" s="325"/>
      <c r="P14" s="324">
        <v>0.5</v>
      </c>
      <c r="Q14" s="174"/>
      <c r="R14" s="174"/>
      <c r="S14" s="174"/>
      <c r="T14" s="174"/>
      <c r="W14" s="323" t="str">
        <f>$B$3&amp;"PCP_"&amp;$W$4&amp;"_ST"</f>
        <v>INDNFMPCP_N_ST</v>
      </c>
      <c r="X14" s="176" t="s">
        <v>354</v>
      </c>
      <c r="Y14" s="176" t="s">
        <v>244</v>
      </c>
      <c r="Z14" s="176" t="s">
        <v>255</v>
      </c>
      <c r="AB14" s="195"/>
      <c r="AC14" s="195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</row>
    <row r="15" spans="1:45" s="176" customFormat="1" ht="13.8" x14ac:dyDescent="0.25">
      <c r="D15" s="176" t="s">
        <v>164</v>
      </c>
      <c r="F15" s="214"/>
      <c r="H15" s="324">
        <f>P15*$Q$11/1000</f>
        <v>0</v>
      </c>
      <c r="K15" s="325"/>
      <c r="L15" s="325"/>
      <c r="M15" s="325"/>
      <c r="P15" s="324"/>
      <c r="Q15" s="174"/>
      <c r="R15" s="174"/>
      <c r="S15" s="174"/>
      <c r="T15" s="174"/>
      <c r="W15" s="323" t="str">
        <f>$B$3&amp;"PCP_"&amp;$W$4&amp;"_IM"</f>
        <v>INDNFMPCP_N_IM</v>
      </c>
      <c r="X15" s="176" t="s">
        <v>355</v>
      </c>
      <c r="Y15" s="176" t="s">
        <v>244</v>
      </c>
      <c r="Z15" s="176" t="s">
        <v>255</v>
      </c>
      <c r="AB15" s="195"/>
      <c r="AC15" s="195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</row>
    <row r="16" spans="1:45" s="176" customFormat="1" ht="13.8" x14ac:dyDescent="0.25">
      <c r="D16" s="176" t="s">
        <v>1002</v>
      </c>
      <c r="F16" s="214"/>
      <c r="H16" s="324">
        <v>1</v>
      </c>
      <c r="K16" s="325"/>
      <c r="L16" s="325"/>
      <c r="M16" s="325"/>
      <c r="P16" s="324">
        <v>1</v>
      </c>
      <c r="Q16" s="174"/>
      <c r="R16" s="174"/>
      <c r="S16" s="174"/>
      <c r="T16" s="174"/>
      <c r="W16" s="323" t="str">
        <f>$B$3&amp;"PCP_"&amp;$W$4&amp;"_AD"</f>
        <v>INDNFMPCP_N_AD</v>
      </c>
      <c r="X16" s="176" t="s">
        <v>356</v>
      </c>
      <c r="Y16" s="176" t="s">
        <v>244</v>
      </c>
      <c r="Z16" s="176" t="s">
        <v>255</v>
      </c>
      <c r="AB16" s="195"/>
      <c r="AC16" s="195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</row>
    <row r="17" spans="2:45" s="176" customFormat="1" ht="13.8" x14ac:dyDescent="0.25">
      <c r="B17" s="219"/>
      <c r="C17" s="219"/>
      <c r="D17" s="219"/>
      <c r="E17" s="219" t="s">
        <v>1003</v>
      </c>
      <c r="F17" s="220"/>
      <c r="G17" s="219"/>
      <c r="H17" s="219"/>
      <c r="I17" s="219">
        <v>1</v>
      </c>
      <c r="J17" s="219"/>
      <c r="K17" s="327"/>
      <c r="L17" s="327"/>
      <c r="M17" s="327"/>
      <c r="N17" s="219"/>
      <c r="P17" s="174"/>
      <c r="Q17" s="174"/>
      <c r="R17" s="174"/>
      <c r="S17" s="174"/>
      <c r="T17" s="174"/>
      <c r="W17" s="323" t="str">
        <f>$B$3&amp;"SCP_"&amp;$W$4&amp;"_ST"</f>
        <v>INDNFMSCP_N_ST</v>
      </c>
      <c r="X17" s="176" t="s">
        <v>357</v>
      </c>
      <c r="Y17" s="176" t="s">
        <v>244</v>
      </c>
      <c r="Z17" s="176" t="s">
        <v>255</v>
      </c>
      <c r="AB17" s="195"/>
      <c r="AC17" s="195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</row>
    <row r="18" spans="2:45" s="176" customFormat="1" ht="13.8" x14ac:dyDescent="0.25">
      <c r="B18" s="176" t="s">
        <v>1007</v>
      </c>
      <c r="C18" s="176" t="s">
        <v>1011</v>
      </c>
      <c r="D18" s="176" t="s">
        <v>199</v>
      </c>
      <c r="F18" s="214"/>
      <c r="G18" s="176">
        <v>2018</v>
      </c>
      <c r="H18" s="324">
        <f>P18/1000</f>
        <v>4.4999999999999998E-2</v>
      </c>
      <c r="J18" s="176">
        <v>1</v>
      </c>
      <c r="K18" s="325">
        <f>4900*1.12/1000</f>
        <v>5.4880000000000013</v>
      </c>
      <c r="L18" s="325">
        <f>155*1.12/1000</f>
        <v>0.17360000000000003</v>
      </c>
      <c r="M18" s="325">
        <f>552*1.12/1000</f>
        <v>0.61824000000000001</v>
      </c>
      <c r="N18" s="176">
        <v>50</v>
      </c>
      <c r="P18" s="269">
        <v>45</v>
      </c>
      <c r="Q18" s="174" t="s">
        <v>1044</v>
      </c>
      <c r="R18" s="174"/>
      <c r="S18" s="174"/>
      <c r="T18" s="174"/>
      <c r="W18" s="323" t="str">
        <f>$B$3&amp;"SCP_"&amp;$W$4&amp;"_IM"</f>
        <v>INDNFMSCP_N_IM</v>
      </c>
      <c r="X18" s="176" t="s">
        <v>358</v>
      </c>
      <c r="Y18" s="176" t="s">
        <v>244</v>
      </c>
      <c r="Z18" s="176" t="s">
        <v>255</v>
      </c>
      <c r="AB18" s="195"/>
      <c r="AC18" s="195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</row>
    <row r="19" spans="2:45" s="176" customFormat="1" ht="13.8" x14ac:dyDescent="0.25">
      <c r="D19" s="176" t="s">
        <v>406</v>
      </c>
      <c r="F19" s="214"/>
      <c r="H19" s="324">
        <f>P19/1000</f>
        <v>0</v>
      </c>
      <c r="K19" s="325"/>
      <c r="L19" s="325"/>
      <c r="M19" s="325"/>
      <c r="P19" s="269"/>
      <c r="Q19" s="174"/>
      <c r="R19" s="174"/>
      <c r="S19" s="174"/>
      <c r="T19" s="174"/>
      <c r="W19" s="323" t="str">
        <f>$B$3&amp;"SCP_"&amp;$W$4&amp;"_AD"</f>
        <v>INDNFMSCP_N_AD</v>
      </c>
      <c r="X19" s="176" t="s">
        <v>359</v>
      </c>
      <c r="Y19" s="176" t="s">
        <v>244</v>
      </c>
      <c r="Z19" s="176" t="s">
        <v>255</v>
      </c>
      <c r="AB19" s="195"/>
      <c r="AC19" s="195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</row>
    <row r="20" spans="2:45" s="176" customFormat="1" ht="13.8" x14ac:dyDescent="0.25">
      <c r="D20" s="176" t="s">
        <v>265</v>
      </c>
      <c r="F20" s="214"/>
      <c r="H20" s="324">
        <f>P20/1000</f>
        <v>3.0000000000000001E-3</v>
      </c>
      <c r="K20" s="325"/>
      <c r="L20" s="325"/>
      <c r="M20" s="325"/>
      <c r="P20" s="269">
        <v>3</v>
      </c>
      <c r="Q20" s="174"/>
      <c r="R20" s="174"/>
      <c r="S20" s="174"/>
      <c r="T20" s="174"/>
      <c r="U20" s="176" t="s">
        <v>277</v>
      </c>
      <c r="W20" s="323" t="str">
        <f>B$3&amp;"FCP_"&amp;$W$4&amp;"_ST"</f>
        <v>INDNFMFCP_N_ST</v>
      </c>
      <c r="X20" s="176" t="s">
        <v>360</v>
      </c>
      <c r="Y20" s="176" t="s">
        <v>244</v>
      </c>
      <c r="Z20" s="176" t="s">
        <v>255</v>
      </c>
      <c r="AB20" s="195"/>
      <c r="AC20" s="195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</row>
    <row r="21" spans="2:45" s="176" customFormat="1" ht="13.8" x14ac:dyDescent="0.25">
      <c r="D21" s="176" t="s">
        <v>164</v>
      </c>
      <c r="F21" s="214"/>
      <c r="H21" s="324">
        <f>P21/1000</f>
        <v>1.2E-2</v>
      </c>
      <c r="K21" s="325"/>
      <c r="L21" s="325"/>
      <c r="M21" s="325"/>
      <c r="P21" s="269">
        <v>12</v>
      </c>
      <c r="Q21" s="174"/>
      <c r="R21" s="174"/>
      <c r="S21" s="174"/>
      <c r="T21" s="174"/>
      <c r="U21" s="176" t="s">
        <v>277</v>
      </c>
      <c r="W21" s="323" t="str">
        <f>B$3&amp;"FCP_"&amp;$W$4&amp;"_IM"</f>
        <v>INDNFMFCP_N_IM</v>
      </c>
      <c r="X21" s="176" t="s">
        <v>361</v>
      </c>
      <c r="Y21" s="176" t="s">
        <v>244</v>
      </c>
      <c r="Z21" s="176" t="s">
        <v>255</v>
      </c>
      <c r="AB21" s="195"/>
      <c r="AC21" s="195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</row>
    <row r="22" spans="2:45" s="176" customFormat="1" ht="13.8" x14ac:dyDescent="0.25">
      <c r="D22" s="176" t="s">
        <v>1002</v>
      </c>
      <c r="F22" s="214"/>
      <c r="H22" s="324">
        <f t="shared" ref="H22" si="0">P22</f>
        <v>1</v>
      </c>
      <c r="K22" s="325"/>
      <c r="L22" s="325"/>
      <c r="M22" s="325"/>
      <c r="P22" s="195">
        <v>1</v>
      </c>
      <c r="Q22" s="174"/>
      <c r="R22" s="174"/>
      <c r="S22" s="174"/>
      <c r="T22" s="174"/>
      <c r="U22" s="176" t="s">
        <v>277</v>
      </c>
      <c r="W22" s="323" t="str">
        <f>B$3&amp;"FCP_"&amp;$W$4&amp;"_AD"</f>
        <v>INDNFMFCP_N_AD</v>
      </c>
      <c r="X22" s="176" t="s">
        <v>362</v>
      </c>
      <c r="Y22" s="176" t="s">
        <v>244</v>
      </c>
      <c r="Z22" s="176" t="s">
        <v>255</v>
      </c>
      <c r="AB22" s="195"/>
      <c r="AC22" s="195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</row>
    <row r="23" spans="2:45" s="176" customFormat="1" ht="13.8" x14ac:dyDescent="0.25">
      <c r="B23" s="219"/>
      <c r="C23" s="219"/>
      <c r="D23" s="219"/>
      <c r="E23" s="219" t="s">
        <v>1003</v>
      </c>
      <c r="F23" s="220"/>
      <c r="G23" s="219"/>
      <c r="H23" s="219"/>
      <c r="I23" s="219">
        <v>1</v>
      </c>
      <c r="J23" s="219"/>
      <c r="K23" s="327"/>
      <c r="L23" s="327"/>
      <c r="M23" s="327"/>
      <c r="N23" s="219"/>
      <c r="P23" s="174"/>
      <c r="Q23" s="174"/>
      <c r="R23" s="174"/>
      <c r="S23" s="174"/>
      <c r="T23" s="174"/>
      <c r="U23" s="176" t="s">
        <v>277</v>
      </c>
      <c r="W23" s="323" t="str">
        <f>B$3&amp;"LED_"&amp;$W$4&amp;"_ST"</f>
        <v>INDNFMLED_N_ST</v>
      </c>
      <c r="X23" s="176" t="s">
        <v>363</v>
      </c>
      <c r="Y23" s="176" t="s">
        <v>244</v>
      </c>
      <c r="Z23" s="176" t="s">
        <v>255</v>
      </c>
      <c r="AB23" s="195"/>
      <c r="AC23" s="195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</row>
    <row r="24" spans="2:45" s="176" customFormat="1" ht="13.8" x14ac:dyDescent="0.25">
      <c r="B24" s="176" t="s">
        <v>1008</v>
      </c>
      <c r="C24" s="176" t="s">
        <v>1012</v>
      </c>
      <c r="D24" s="176" t="s">
        <v>199</v>
      </c>
      <c r="F24" s="214"/>
      <c r="G24" s="176">
        <v>2018</v>
      </c>
      <c r="H24" s="324">
        <f>4/1000</f>
        <v>4.0000000000000001E-3</v>
      </c>
      <c r="J24" s="176">
        <v>1</v>
      </c>
      <c r="K24" s="325">
        <f>950*1.12/1000</f>
        <v>1.0640000000000001</v>
      </c>
      <c r="L24" s="325">
        <f>300*1.12/1000</f>
        <v>0.33600000000000008</v>
      </c>
      <c r="M24" s="325">
        <f>160*1.12/1000</f>
        <v>0.17920000000000003</v>
      </c>
      <c r="N24" s="176">
        <v>50</v>
      </c>
      <c r="P24" s="174"/>
      <c r="Q24" s="174"/>
      <c r="R24" s="174"/>
      <c r="S24" s="174"/>
      <c r="T24" s="174"/>
      <c r="U24" s="176" t="s">
        <v>277</v>
      </c>
      <c r="W24" s="323" t="str">
        <f>B$3&amp;"LED_"&amp;$W$4&amp;"_IM"</f>
        <v>INDNFMLED_N_IM</v>
      </c>
      <c r="X24" s="176" t="s">
        <v>364</v>
      </c>
      <c r="Y24" s="176" t="s">
        <v>244</v>
      </c>
      <c r="Z24" s="176" t="s">
        <v>255</v>
      </c>
      <c r="AB24" s="195"/>
      <c r="AC24" s="195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</row>
    <row r="25" spans="2:45" s="176" customFormat="1" ht="13.8" x14ac:dyDescent="0.25">
      <c r="D25" s="176" t="s">
        <v>164</v>
      </c>
      <c r="F25" s="214"/>
      <c r="H25" s="324">
        <f>5.5/1000</f>
        <v>5.4999999999999997E-3</v>
      </c>
      <c r="P25" s="174"/>
      <c r="Q25" s="174"/>
      <c r="R25" s="174"/>
      <c r="S25" s="174"/>
      <c r="T25" s="174"/>
      <c r="U25" s="176" t="s">
        <v>277</v>
      </c>
      <c r="W25" s="323" t="str">
        <f>B$3&amp;"LED_"&amp;$W$4&amp;"_AD"</f>
        <v>INDNFMLED_N_AD</v>
      </c>
      <c r="X25" s="176" t="s">
        <v>365</v>
      </c>
      <c r="Y25" s="176" t="s">
        <v>244</v>
      </c>
      <c r="Z25" s="176" t="s">
        <v>255</v>
      </c>
      <c r="AB25" s="195"/>
      <c r="AC25" s="195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</row>
    <row r="26" spans="2:45" s="176" customFormat="1" ht="13.8" x14ac:dyDescent="0.25">
      <c r="D26" s="176" t="s">
        <v>1004</v>
      </c>
      <c r="F26" s="214"/>
      <c r="H26" s="324">
        <v>1</v>
      </c>
      <c r="P26" s="174"/>
      <c r="Q26" s="174"/>
      <c r="R26" s="174"/>
      <c r="S26" s="174"/>
      <c r="T26" s="174"/>
      <c r="U26" s="176" t="s">
        <v>277</v>
      </c>
      <c r="W26" s="323" t="str">
        <f>B$3&amp;"ZNC_"&amp;$W$4&amp;"_ST"</f>
        <v>INDNFMZNC_N_ST</v>
      </c>
      <c r="X26" s="176" t="s">
        <v>366</v>
      </c>
      <c r="Y26" s="176" t="s">
        <v>244</v>
      </c>
      <c r="Z26" s="176" t="s">
        <v>255</v>
      </c>
      <c r="AB26" s="195"/>
      <c r="AC26" s="195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</row>
    <row r="27" spans="2:45" s="176" customFormat="1" ht="13.8" x14ac:dyDescent="0.25">
      <c r="D27" s="176" t="s">
        <v>1002</v>
      </c>
      <c r="F27" s="214"/>
      <c r="H27" s="324">
        <v>0.1</v>
      </c>
      <c r="P27" s="174"/>
      <c r="Q27" s="174"/>
      <c r="R27" s="174"/>
      <c r="S27" s="174"/>
      <c r="T27" s="174"/>
      <c r="U27" s="176" t="s">
        <v>277</v>
      </c>
      <c r="W27" s="323" t="str">
        <f>B$3&amp;"ZNC_"&amp;$W$4&amp;"_IM"</f>
        <v>INDNFMZNC_N_IM</v>
      </c>
      <c r="X27" s="176" t="s">
        <v>367</v>
      </c>
      <c r="Y27" s="176" t="s">
        <v>244</v>
      </c>
      <c r="Z27" s="176" t="s">
        <v>255</v>
      </c>
      <c r="AB27" s="195"/>
      <c r="AC27" s="195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</row>
    <row r="28" spans="2:45" s="176" customFormat="1" ht="13.8" x14ac:dyDescent="0.25">
      <c r="B28" s="219"/>
      <c r="C28" s="219"/>
      <c r="D28" s="219"/>
      <c r="E28" s="219" t="s">
        <v>1005</v>
      </c>
      <c r="F28" s="220"/>
      <c r="G28" s="219"/>
      <c r="H28" s="219"/>
      <c r="I28" s="219">
        <v>1</v>
      </c>
      <c r="J28" s="219"/>
      <c r="K28" s="219"/>
      <c r="L28" s="219"/>
      <c r="M28" s="219"/>
      <c r="N28" s="219"/>
      <c r="P28" s="174"/>
      <c r="Q28" s="174"/>
      <c r="R28" s="174"/>
      <c r="S28" s="174"/>
      <c r="T28" s="174"/>
      <c r="U28" s="176" t="s">
        <v>277</v>
      </c>
      <c r="W28" s="323" t="str">
        <f>B$3&amp;"ZNC_"&amp;$W$4&amp;"_AD"</f>
        <v>INDNFMZNC_N_AD</v>
      </c>
      <c r="X28" s="176" t="s">
        <v>368</v>
      </c>
      <c r="Y28" s="176" t="s">
        <v>244</v>
      </c>
      <c r="Z28" s="176" t="s">
        <v>255</v>
      </c>
      <c r="AB28" s="195"/>
      <c r="AC28" s="195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</row>
    <row r="29" spans="2:45" s="176" customFormat="1" ht="13.8" x14ac:dyDescent="0.25">
      <c r="B29" s="176" t="s">
        <v>1009</v>
      </c>
      <c r="C29" s="176" t="s">
        <v>1013</v>
      </c>
      <c r="D29" s="176" t="s">
        <v>199</v>
      </c>
      <c r="F29" s="214"/>
      <c r="G29" s="176">
        <v>2018</v>
      </c>
      <c r="H29" s="165">
        <f>P29</f>
        <v>0.5</v>
      </c>
      <c r="J29" s="176">
        <v>1</v>
      </c>
      <c r="K29" s="176">
        <f>500*1.12/1000</f>
        <v>0.56000000000000005</v>
      </c>
      <c r="L29" s="176">
        <f>25*1.12/1000</f>
        <v>2.8000000000000004E-2</v>
      </c>
      <c r="N29" s="176">
        <v>50</v>
      </c>
      <c r="P29" s="269">
        <v>0.5</v>
      </c>
      <c r="Q29" s="174"/>
      <c r="R29" s="174"/>
      <c r="S29" s="174"/>
      <c r="T29" s="174"/>
      <c r="U29" s="176" t="s">
        <v>277</v>
      </c>
      <c r="W29" s="323" t="str">
        <f>B$3&amp;"ONF_"&amp;$W$4&amp;"_ST"</f>
        <v>INDNFMONF_N_ST</v>
      </c>
      <c r="X29" s="176" t="s">
        <v>369</v>
      </c>
      <c r="Y29" s="176" t="s">
        <v>244</v>
      </c>
      <c r="Z29" s="176" t="s">
        <v>255</v>
      </c>
      <c r="AB29" s="195"/>
      <c r="AC29" s="195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</row>
    <row r="30" spans="2:45" s="176" customFormat="1" ht="13.8" x14ac:dyDescent="0.25">
      <c r="D30" s="176" t="s">
        <v>406</v>
      </c>
      <c r="F30" s="214"/>
      <c r="H30" s="165">
        <f t="shared" ref="H30:H34" si="1">P30</f>
        <v>0</v>
      </c>
      <c r="P30" s="269"/>
      <c r="Q30" s="174"/>
      <c r="R30" s="174"/>
      <c r="S30" s="174"/>
      <c r="T30" s="174"/>
      <c r="U30" s="176" t="s">
        <v>277</v>
      </c>
      <c r="W30" s="323" t="str">
        <f>B$3&amp;"ONF_"&amp;$W$4&amp;"_IM"</f>
        <v>INDNFMONF_N_IM</v>
      </c>
      <c r="X30" s="176" t="s">
        <v>370</v>
      </c>
      <c r="Y30" s="176" t="s">
        <v>244</v>
      </c>
      <c r="Z30" s="176" t="s">
        <v>255</v>
      </c>
      <c r="AB30" s="195"/>
      <c r="AC30" s="195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</row>
    <row r="31" spans="2:45" s="176" customFormat="1" ht="13.8" x14ac:dyDescent="0.25">
      <c r="D31" s="176" t="s">
        <v>265</v>
      </c>
      <c r="F31" s="214"/>
      <c r="H31" s="165">
        <f t="shared" si="1"/>
        <v>0.55000000000000004</v>
      </c>
      <c r="P31" s="269">
        <v>0.55000000000000004</v>
      </c>
      <c r="Q31" s="174"/>
      <c r="R31" s="174"/>
      <c r="S31" s="174"/>
      <c r="T31" s="174"/>
      <c r="U31" s="176" t="s">
        <v>277</v>
      </c>
      <c r="W31" s="323" t="str">
        <f>B$3&amp;"ONF_"&amp;$W$4&amp;"_AD"</f>
        <v>INDNFMONF_N_AD</v>
      </c>
      <c r="X31" s="176" t="s">
        <v>371</v>
      </c>
      <c r="Y31" s="176" t="s">
        <v>244</v>
      </c>
      <c r="Z31" s="176" t="s">
        <v>255</v>
      </c>
      <c r="AB31" s="195"/>
      <c r="AC31" s="195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</row>
    <row r="32" spans="2:45" s="176" customFormat="1" ht="13.8" x14ac:dyDescent="0.25">
      <c r="D32" s="176" t="s">
        <v>164</v>
      </c>
      <c r="F32" s="214"/>
      <c r="H32" s="165">
        <f t="shared" si="1"/>
        <v>0</v>
      </c>
      <c r="P32" s="269"/>
      <c r="Q32" s="174"/>
      <c r="R32" s="174"/>
      <c r="S32" s="174"/>
      <c r="T32" s="174"/>
      <c r="U32" s="176" t="s">
        <v>272</v>
      </c>
      <c r="W32" s="323" t="s">
        <v>1006</v>
      </c>
      <c r="X32" s="176" t="s">
        <v>1010</v>
      </c>
      <c r="Y32" s="176" t="s">
        <v>244</v>
      </c>
      <c r="Z32" s="176" t="s">
        <v>255</v>
      </c>
      <c r="AB32" s="195"/>
      <c r="AC32" s="195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</row>
    <row r="33" spans="2:45" s="176" customFormat="1" ht="13.8" x14ac:dyDescent="0.25">
      <c r="D33" s="176" t="s">
        <v>141</v>
      </c>
      <c r="F33" s="214"/>
      <c r="H33" s="165">
        <f t="shared" si="1"/>
        <v>5</v>
      </c>
      <c r="P33" s="269">
        <v>5</v>
      </c>
      <c r="Q33" s="174"/>
      <c r="R33" s="174"/>
      <c r="S33" s="174"/>
      <c r="T33" s="174"/>
      <c r="W33" s="323" t="s">
        <v>1007</v>
      </c>
      <c r="X33" s="176" t="s">
        <v>1011</v>
      </c>
      <c r="Y33" s="176" t="s">
        <v>244</v>
      </c>
      <c r="Z33" s="176" t="s">
        <v>255</v>
      </c>
      <c r="AB33" s="195"/>
      <c r="AC33" s="195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</row>
    <row r="34" spans="2:45" s="176" customFormat="1" ht="13.8" x14ac:dyDescent="0.25">
      <c r="D34" s="176" t="s">
        <v>1003</v>
      </c>
      <c r="F34" s="214"/>
      <c r="H34" s="165">
        <f t="shared" si="1"/>
        <v>1</v>
      </c>
      <c r="P34" s="269">
        <v>1</v>
      </c>
      <c r="Q34" s="174"/>
      <c r="R34" s="174"/>
      <c r="S34" s="174"/>
      <c r="T34" s="174"/>
      <c r="W34" s="323" t="s">
        <v>1008</v>
      </c>
      <c r="X34" s="176" t="s">
        <v>1012</v>
      </c>
      <c r="Y34" s="176" t="s">
        <v>244</v>
      </c>
      <c r="Z34" s="176" t="s">
        <v>255</v>
      </c>
      <c r="AB34" s="195"/>
      <c r="AC34" s="195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</row>
    <row r="35" spans="2:45" s="176" customFormat="1" ht="13.8" x14ac:dyDescent="0.25">
      <c r="B35" s="219"/>
      <c r="C35" s="219"/>
      <c r="D35" s="219"/>
      <c r="E35" s="219" t="s">
        <v>1005</v>
      </c>
      <c r="F35" s="220"/>
      <c r="G35" s="219"/>
      <c r="H35" s="219"/>
      <c r="I35" s="219">
        <v>1</v>
      </c>
      <c r="J35" s="219"/>
      <c r="K35" s="219"/>
      <c r="L35" s="219"/>
      <c r="M35" s="219"/>
      <c r="N35" s="219"/>
      <c r="P35" s="174"/>
      <c r="Q35" s="174"/>
      <c r="R35" s="174"/>
      <c r="S35" s="174"/>
      <c r="T35" s="174"/>
      <c r="U35" s="176" t="s">
        <v>277</v>
      </c>
      <c r="W35" s="323" t="s">
        <v>1009</v>
      </c>
      <c r="X35" s="176" t="s">
        <v>1013</v>
      </c>
      <c r="Y35" s="176" t="s">
        <v>244</v>
      </c>
      <c r="Z35" s="176" t="s">
        <v>255</v>
      </c>
      <c r="AB35" s="195"/>
      <c r="AC35" s="195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</row>
    <row r="36" spans="2:45" s="176" customFormat="1" ht="13.8" x14ac:dyDescent="0.25">
      <c r="B36" s="176" t="str">
        <f>W36</f>
        <v>INDDEMNFMFALE_AD</v>
      </c>
      <c r="C36" s="176" t="str">
        <f>X36</f>
        <v>Finishing Aluminium - Advanced</v>
      </c>
      <c r="D36" s="176" t="s">
        <v>199</v>
      </c>
      <c r="F36" s="214"/>
      <c r="G36" s="176">
        <v>2025</v>
      </c>
      <c r="H36" s="165">
        <f>2/1000</f>
        <v>2E-3</v>
      </c>
      <c r="J36" s="176">
        <v>1</v>
      </c>
      <c r="K36" s="176">
        <f>500*1.12/1000</f>
        <v>0.56000000000000005</v>
      </c>
      <c r="L36" s="176">
        <f>25*1.12/1000</f>
        <v>2.8000000000000004E-2</v>
      </c>
      <c r="N36" s="176">
        <v>50</v>
      </c>
      <c r="P36" s="174"/>
      <c r="Q36" s="174" t="s">
        <v>1047</v>
      </c>
      <c r="R36" s="174"/>
      <c r="S36" s="174"/>
      <c r="T36" s="174"/>
      <c r="U36" s="176" t="s">
        <v>277</v>
      </c>
      <c r="W36" s="323" t="s">
        <v>1045</v>
      </c>
      <c r="X36" s="176" t="s">
        <v>1046</v>
      </c>
      <c r="Y36" s="176" t="s">
        <v>244</v>
      </c>
      <c r="Z36" s="176" t="s">
        <v>255</v>
      </c>
      <c r="AB36" s="195"/>
      <c r="AC36" s="195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</row>
    <row r="37" spans="2:45" s="176" customFormat="1" ht="13.8" x14ac:dyDescent="0.25">
      <c r="D37" s="176" t="s">
        <v>406</v>
      </c>
      <c r="F37" s="214"/>
      <c r="H37" s="165">
        <f>H30/1000</f>
        <v>0</v>
      </c>
      <c r="P37" s="174"/>
      <c r="Q37" s="174"/>
      <c r="R37" s="174"/>
      <c r="S37" s="174"/>
      <c r="T37" s="174"/>
      <c r="U37" s="176" t="s">
        <v>277</v>
      </c>
      <c r="W37" s="323" t="s">
        <v>1065</v>
      </c>
      <c r="X37" s="176" t="s">
        <v>1066</v>
      </c>
      <c r="Y37" s="176" t="s">
        <v>244</v>
      </c>
      <c r="Z37" s="176" t="s">
        <v>255</v>
      </c>
      <c r="AB37" s="195"/>
      <c r="AC37" s="195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</row>
    <row r="38" spans="2:45" s="176" customFormat="1" ht="13.8" x14ac:dyDescent="0.25">
      <c r="D38" s="176" t="s">
        <v>265</v>
      </c>
      <c r="F38" s="214"/>
      <c r="H38" s="165">
        <v>0</v>
      </c>
      <c r="U38" s="183"/>
      <c r="V38" s="183"/>
      <c r="W38" s="182"/>
      <c r="X38" s="182"/>
      <c r="Y38" s="182"/>
      <c r="Z38" s="182"/>
      <c r="AA38" s="182"/>
      <c r="AB38" s="182"/>
      <c r="AC38" s="182"/>
      <c r="AF38" s="184"/>
      <c r="AG38" s="185"/>
      <c r="AH38" s="185"/>
      <c r="AI38" s="186"/>
      <c r="AJ38" s="186"/>
      <c r="AK38" s="185"/>
      <c r="AL38" s="185"/>
      <c r="AM38" s="185"/>
      <c r="AN38" s="174"/>
      <c r="AO38" s="187"/>
    </row>
    <row r="39" spans="2:45" s="176" customFormat="1" ht="13.8" x14ac:dyDescent="0.25">
      <c r="D39" s="176" t="s">
        <v>164</v>
      </c>
      <c r="F39" s="214"/>
      <c r="H39" s="165">
        <f>3/1000</f>
        <v>3.0000000000000001E-3</v>
      </c>
      <c r="U39" s="183"/>
      <c r="V39" s="183"/>
      <c r="W39" s="182"/>
      <c r="X39" s="182"/>
      <c r="Y39" s="182"/>
      <c r="Z39" s="182"/>
      <c r="AA39" s="182"/>
      <c r="AB39" s="182"/>
      <c r="AC39" s="182"/>
      <c r="AF39" s="184"/>
      <c r="AG39" s="185"/>
      <c r="AH39" s="185"/>
      <c r="AI39" s="186"/>
      <c r="AJ39" s="186"/>
      <c r="AK39" s="185"/>
      <c r="AL39" s="185"/>
      <c r="AM39" s="185"/>
      <c r="AN39" s="174"/>
      <c r="AO39" s="187"/>
    </row>
    <row r="40" spans="2:45" s="176" customFormat="1" ht="13.8" x14ac:dyDescent="0.25">
      <c r="D40" s="176" t="s">
        <v>141</v>
      </c>
      <c r="F40" s="214"/>
      <c r="H40" s="165">
        <v>0</v>
      </c>
      <c r="U40" s="183"/>
      <c r="V40" s="183"/>
      <c r="W40" s="182"/>
      <c r="X40" s="182"/>
      <c r="Y40" s="182"/>
      <c r="Z40" s="182"/>
      <c r="AA40" s="182"/>
      <c r="AB40" s="182"/>
      <c r="AC40" s="182"/>
      <c r="AF40" s="184"/>
      <c r="AG40" s="185"/>
      <c r="AH40" s="185"/>
      <c r="AI40" s="186"/>
      <c r="AJ40" s="186"/>
      <c r="AK40" s="185"/>
      <c r="AL40" s="185"/>
      <c r="AM40" s="185"/>
      <c r="AN40" s="174"/>
      <c r="AO40" s="187"/>
    </row>
    <row r="41" spans="2:45" s="176" customFormat="1" ht="13.8" x14ac:dyDescent="0.25">
      <c r="D41" s="176" t="s">
        <v>1003</v>
      </c>
      <c r="F41" s="214"/>
      <c r="H41" s="165">
        <f t="shared" ref="H41" si="2">H34</f>
        <v>1</v>
      </c>
      <c r="U41" s="183"/>
      <c r="V41" s="183"/>
      <c r="W41" s="182"/>
      <c r="X41" s="182"/>
      <c r="Y41" s="182"/>
      <c r="Z41" s="182"/>
      <c r="AA41" s="182"/>
      <c r="AB41" s="182"/>
      <c r="AC41" s="182"/>
      <c r="AF41" s="184"/>
      <c r="AG41" s="185"/>
      <c r="AH41" s="185"/>
      <c r="AI41" s="186"/>
      <c r="AJ41" s="186"/>
      <c r="AK41" s="185"/>
      <c r="AL41" s="185"/>
      <c r="AM41" s="185"/>
      <c r="AN41" s="174"/>
      <c r="AO41" s="187"/>
    </row>
    <row r="42" spans="2:45" s="176" customFormat="1" ht="13.8" x14ac:dyDescent="0.25">
      <c r="B42" s="219"/>
      <c r="C42" s="219"/>
      <c r="D42" s="219"/>
      <c r="E42" s="219" t="s">
        <v>1005</v>
      </c>
      <c r="F42" s="220"/>
      <c r="G42" s="219"/>
      <c r="H42" s="219"/>
      <c r="I42" s="219">
        <v>1</v>
      </c>
      <c r="J42" s="219"/>
      <c r="K42" s="219"/>
      <c r="L42" s="219"/>
      <c r="M42" s="219"/>
      <c r="N42" s="219"/>
      <c r="U42" s="183"/>
      <c r="V42" s="183"/>
      <c r="W42" s="182"/>
      <c r="X42" s="182"/>
      <c r="Y42" s="182"/>
      <c r="Z42" s="182"/>
      <c r="AA42" s="182"/>
      <c r="AB42" s="182"/>
      <c r="AC42" s="182"/>
      <c r="AF42" s="184"/>
      <c r="AG42" s="185"/>
      <c r="AH42" s="185"/>
      <c r="AI42" s="186"/>
      <c r="AJ42" s="186"/>
      <c r="AK42" s="185"/>
      <c r="AL42" s="185"/>
      <c r="AM42" s="185"/>
      <c r="AN42" s="174"/>
      <c r="AO42" s="187"/>
    </row>
    <row r="43" spans="2:45" s="176" customFormat="1" ht="13.8" x14ac:dyDescent="0.25">
      <c r="B43" s="176" t="str">
        <f>W37</f>
        <v>INDDEMNFMFALEH2_AD</v>
      </c>
      <c r="C43" s="176" t="str">
        <f>X37</f>
        <v>Finishing Aluminium (H2)- Advanced</v>
      </c>
      <c r="D43" s="176" t="s">
        <v>199</v>
      </c>
      <c r="F43" s="214"/>
      <c r="G43" s="176">
        <v>2025</v>
      </c>
      <c r="H43" s="165">
        <f>2/1000</f>
        <v>2E-3</v>
      </c>
      <c r="J43" s="176">
        <v>1</v>
      </c>
      <c r="K43" s="176">
        <f>K36*1.25</f>
        <v>0.70000000000000007</v>
      </c>
      <c r="L43" s="176">
        <f>25*1.12/1000</f>
        <v>2.8000000000000004E-2</v>
      </c>
      <c r="N43" s="176">
        <v>50</v>
      </c>
      <c r="U43" s="183"/>
      <c r="V43" s="183"/>
      <c r="W43" s="182"/>
      <c r="X43" s="182"/>
      <c r="Y43" s="182"/>
      <c r="Z43" s="182"/>
      <c r="AA43" s="182"/>
      <c r="AB43" s="182"/>
      <c r="AC43" s="182"/>
      <c r="AF43" s="184"/>
      <c r="AG43" s="185"/>
      <c r="AH43" s="185"/>
      <c r="AI43" s="186"/>
      <c r="AJ43" s="186"/>
      <c r="AK43" s="185"/>
      <c r="AL43" s="185"/>
      <c r="AM43" s="185"/>
      <c r="AN43" s="174"/>
      <c r="AO43" s="187"/>
    </row>
    <row r="44" spans="2:45" s="176" customFormat="1" ht="13.8" x14ac:dyDescent="0.25">
      <c r="D44" s="176" t="s">
        <v>406</v>
      </c>
      <c r="F44" s="214"/>
      <c r="H44" s="165">
        <f>H37/1000</f>
        <v>0</v>
      </c>
      <c r="U44" s="183"/>
      <c r="V44" s="183"/>
      <c r="W44" s="182"/>
      <c r="X44" s="182"/>
      <c r="Y44" s="182"/>
      <c r="Z44" s="182"/>
      <c r="AA44" s="182"/>
      <c r="AB44" s="182"/>
      <c r="AC44" s="182"/>
      <c r="AF44" s="184"/>
      <c r="AG44" s="185"/>
      <c r="AH44" s="185"/>
      <c r="AI44" s="186"/>
      <c r="AJ44" s="186"/>
      <c r="AK44" s="185"/>
      <c r="AL44" s="185"/>
      <c r="AM44" s="185"/>
      <c r="AN44" s="174"/>
      <c r="AO44" s="187"/>
    </row>
    <row r="45" spans="2:45" s="176" customFormat="1" ht="13.8" x14ac:dyDescent="0.25">
      <c r="D45" s="176" t="s">
        <v>265</v>
      </c>
      <c r="F45" s="214"/>
      <c r="H45" s="165">
        <v>0</v>
      </c>
      <c r="U45" s="183"/>
      <c r="V45" s="183"/>
      <c r="W45" s="182"/>
      <c r="X45" s="182"/>
      <c r="Y45" s="182"/>
      <c r="Z45" s="182"/>
      <c r="AA45" s="182"/>
      <c r="AB45" s="182"/>
      <c r="AC45" s="182"/>
      <c r="AF45" s="184"/>
      <c r="AG45" s="185"/>
      <c r="AH45" s="185"/>
      <c r="AI45" s="186"/>
      <c r="AJ45" s="186"/>
      <c r="AK45" s="185"/>
      <c r="AL45" s="185"/>
      <c r="AM45" s="185"/>
      <c r="AN45" s="174"/>
      <c r="AO45" s="187"/>
    </row>
    <row r="46" spans="2:45" s="176" customFormat="1" ht="13.8" x14ac:dyDescent="0.25">
      <c r="D46" s="176" t="s">
        <v>1062</v>
      </c>
      <c r="F46" s="214"/>
      <c r="H46" s="165">
        <f>3/1000</f>
        <v>3.0000000000000001E-3</v>
      </c>
      <c r="U46" s="183"/>
      <c r="V46" s="183"/>
      <c r="W46" s="182"/>
      <c r="X46" s="182"/>
      <c r="Y46" s="182"/>
      <c r="Z46" s="182"/>
      <c r="AA46" s="182"/>
      <c r="AB46" s="182"/>
      <c r="AC46" s="182"/>
      <c r="AF46" s="184"/>
      <c r="AG46" s="185"/>
      <c r="AH46" s="185"/>
      <c r="AI46" s="186"/>
      <c r="AJ46" s="186"/>
      <c r="AK46" s="185"/>
      <c r="AL46" s="185"/>
      <c r="AM46" s="185"/>
      <c r="AN46" s="174"/>
      <c r="AO46" s="187"/>
    </row>
    <row r="47" spans="2:45" s="176" customFormat="1" ht="13.8" x14ac:dyDescent="0.25">
      <c r="D47" s="176" t="s">
        <v>141</v>
      </c>
      <c r="F47" s="214"/>
      <c r="H47" s="165">
        <v>0</v>
      </c>
      <c r="U47" s="183"/>
      <c r="V47" s="183"/>
      <c r="W47" s="182"/>
      <c r="X47" s="182"/>
      <c r="Y47" s="182"/>
      <c r="Z47" s="182"/>
      <c r="AA47" s="182"/>
      <c r="AB47" s="182"/>
      <c r="AC47" s="182"/>
      <c r="AF47" s="184"/>
      <c r="AG47" s="185"/>
      <c r="AH47" s="185"/>
      <c r="AI47" s="186"/>
      <c r="AJ47" s="186"/>
      <c r="AK47" s="185"/>
      <c r="AL47" s="185"/>
      <c r="AM47" s="185"/>
      <c r="AN47" s="174"/>
      <c r="AO47" s="187"/>
    </row>
    <row r="48" spans="2:45" s="176" customFormat="1" ht="13.8" x14ac:dyDescent="0.25">
      <c r="D48" s="176" t="s">
        <v>1003</v>
      </c>
      <c r="F48" s="214"/>
      <c r="H48" s="165">
        <f t="shared" ref="H48" si="3">H41</f>
        <v>1</v>
      </c>
      <c r="U48" s="183"/>
      <c r="V48" s="183"/>
      <c r="W48" s="182"/>
      <c r="X48" s="182"/>
      <c r="Y48" s="182"/>
      <c r="Z48" s="182"/>
      <c r="AA48" s="182"/>
      <c r="AB48" s="182"/>
      <c r="AC48" s="182"/>
      <c r="AF48" s="184"/>
      <c r="AG48" s="185"/>
      <c r="AH48" s="185"/>
      <c r="AI48" s="186"/>
      <c r="AJ48" s="186"/>
      <c r="AK48" s="185"/>
      <c r="AL48" s="185"/>
      <c r="AM48" s="185"/>
      <c r="AN48" s="174"/>
      <c r="AO48" s="187"/>
    </row>
    <row r="49" spans="1:41" s="176" customFormat="1" ht="13.8" x14ac:dyDescent="0.25">
      <c r="B49" s="219"/>
      <c r="C49" s="219"/>
      <c r="D49" s="219"/>
      <c r="E49" s="219" t="s">
        <v>1005</v>
      </c>
      <c r="F49" s="220"/>
      <c r="G49" s="219"/>
      <c r="H49" s="219"/>
      <c r="I49" s="219">
        <v>1</v>
      </c>
      <c r="J49" s="219"/>
      <c r="K49" s="219"/>
      <c r="L49" s="219"/>
      <c r="M49" s="219"/>
      <c r="N49" s="219"/>
      <c r="U49" s="183"/>
      <c r="V49" s="183"/>
      <c r="W49" s="182"/>
      <c r="X49" s="182"/>
      <c r="Y49" s="182"/>
      <c r="Z49" s="182"/>
      <c r="AA49" s="182"/>
      <c r="AB49" s="182"/>
      <c r="AC49" s="182"/>
      <c r="AF49" s="184"/>
      <c r="AG49" s="185"/>
      <c r="AH49" s="185"/>
      <c r="AI49" s="186"/>
      <c r="AJ49" s="186"/>
      <c r="AK49" s="185"/>
      <c r="AL49" s="185"/>
      <c r="AM49" s="185"/>
      <c r="AN49" s="174"/>
      <c r="AO49" s="187"/>
    </row>
    <row r="50" spans="1:41" s="176" customFormat="1" ht="13.8" x14ac:dyDescent="0.25">
      <c r="U50" s="183"/>
      <c r="V50" s="183"/>
      <c r="W50" s="182"/>
      <c r="X50" s="182"/>
      <c r="Y50" s="182"/>
      <c r="Z50" s="182"/>
      <c r="AA50" s="182"/>
      <c r="AB50" s="182"/>
      <c r="AC50" s="182"/>
      <c r="AF50" s="184"/>
      <c r="AG50" s="185"/>
      <c r="AH50" s="185"/>
      <c r="AI50" s="186"/>
      <c r="AJ50" s="186"/>
      <c r="AK50" s="185"/>
      <c r="AL50" s="185"/>
      <c r="AM50" s="185"/>
      <c r="AN50" s="174"/>
      <c r="AO50" s="187"/>
    </row>
    <row r="51" spans="1:41" s="176" customFormat="1" ht="13.8" x14ac:dyDescent="0.25">
      <c r="U51" s="183"/>
      <c r="V51" s="183"/>
      <c r="W51" s="182"/>
      <c r="X51" s="182"/>
      <c r="Y51" s="182"/>
      <c r="Z51" s="182"/>
      <c r="AA51" s="182"/>
      <c r="AB51" s="182"/>
      <c r="AC51" s="182"/>
      <c r="AF51" s="184"/>
      <c r="AG51" s="185"/>
      <c r="AH51" s="185"/>
      <c r="AI51" s="186"/>
      <c r="AJ51" s="186"/>
      <c r="AK51" s="185"/>
      <c r="AL51" s="185"/>
      <c r="AM51" s="185"/>
      <c r="AN51" s="174"/>
      <c r="AO51" s="187"/>
    </row>
    <row r="52" spans="1:41" s="176" customFormat="1" ht="13.8" x14ac:dyDescent="0.25">
      <c r="E52" s="197"/>
      <c r="F52" s="187" t="s">
        <v>0</v>
      </c>
      <c r="G52" s="187"/>
      <c r="H52" s="198"/>
      <c r="I52" s="198"/>
      <c r="J52" s="198"/>
      <c r="K52" s="199"/>
      <c r="L52" s="199"/>
      <c r="M52" s="199"/>
    </row>
    <row r="53" spans="1:41" s="176" customFormat="1" ht="20.25" customHeight="1" x14ac:dyDescent="0.25">
      <c r="B53" s="200" t="s">
        <v>1</v>
      </c>
      <c r="C53" s="201" t="s">
        <v>227</v>
      </c>
      <c r="D53" s="200" t="s">
        <v>3</v>
      </c>
      <c r="E53" s="200" t="s">
        <v>4</v>
      </c>
      <c r="F53" s="202" t="s">
        <v>233</v>
      </c>
      <c r="G53" s="203" t="s">
        <v>14</v>
      </c>
      <c r="H53" s="204" t="s">
        <v>250</v>
      </c>
      <c r="I53" s="205" t="s">
        <v>273</v>
      </c>
      <c r="J53" s="204" t="s">
        <v>50</v>
      </c>
      <c r="K53" s="204" t="s">
        <v>36</v>
      </c>
      <c r="L53" s="204" t="s">
        <v>5</v>
      </c>
      <c r="M53" s="204" t="s">
        <v>34</v>
      </c>
      <c r="N53" s="204" t="s">
        <v>48</v>
      </c>
    </row>
    <row r="54" spans="1:41" s="176" customFormat="1" ht="17.25" customHeight="1" thickBot="1" x14ac:dyDescent="0.3">
      <c r="A54" s="174"/>
      <c r="B54" s="207" t="s">
        <v>234</v>
      </c>
      <c r="C54" s="207" t="s">
        <v>28</v>
      </c>
      <c r="D54" s="207" t="s">
        <v>32</v>
      </c>
      <c r="E54" s="207" t="s">
        <v>33</v>
      </c>
      <c r="F54" s="208"/>
      <c r="G54" s="209" t="s">
        <v>35</v>
      </c>
      <c r="H54" s="207" t="s">
        <v>251</v>
      </c>
      <c r="I54" s="207"/>
      <c r="J54" s="207" t="s">
        <v>329</v>
      </c>
      <c r="K54" s="207" t="s">
        <v>37</v>
      </c>
      <c r="L54" s="207" t="s">
        <v>38</v>
      </c>
      <c r="M54" s="207" t="s">
        <v>39</v>
      </c>
      <c r="N54" s="207" t="s">
        <v>218</v>
      </c>
    </row>
    <row r="55" spans="1:41" s="176" customFormat="1" ht="15" x14ac:dyDescent="0.25">
      <c r="A55" s="174"/>
      <c r="B55" s="210"/>
      <c r="C55" s="211"/>
      <c r="D55" s="211"/>
      <c r="E55" s="211" t="s">
        <v>231</v>
      </c>
      <c r="F55" s="212"/>
      <c r="G55" s="211"/>
      <c r="H55" s="211" t="s">
        <v>1067</v>
      </c>
      <c r="I55" s="213" t="s">
        <v>244</v>
      </c>
      <c r="J55" s="211"/>
      <c r="K55" s="211" t="s">
        <v>1068</v>
      </c>
      <c r="L55" s="211" t="s">
        <v>1068</v>
      </c>
      <c r="M55" s="211" t="s">
        <v>1069</v>
      </c>
      <c r="N55" s="211" t="s">
        <v>40</v>
      </c>
    </row>
    <row r="56" spans="1:41" s="176" customFormat="1" ht="13.8" x14ac:dyDescent="0.25">
      <c r="A56" s="174"/>
      <c r="B56" s="176" t="str">
        <f>W14</f>
        <v>INDNFMPCP_N_ST</v>
      </c>
      <c r="C56" s="176" t="str">
        <f>X14</f>
        <v>Primary Copper Production Standard</v>
      </c>
      <c r="D56" s="176" t="s">
        <v>183</v>
      </c>
      <c r="F56" s="214">
        <f>G56</f>
        <v>2018</v>
      </c>
      <c r="G56" s="174">
        <v>2018</v>
      </c>
      <c r="H56" s="165">
        <f t="shared" ref="H56:H62" si="4">P56*$Q$56/1000</f>
        <v>0</v>
      </c>
      <c r="J56" s="174">
        <v>1</v>
      </c>
      <c r="K56" s="174">
        <f>4400*1.12/1000</f>
        <v>4.9280000000000008</v>
      </c>
      <c r="L56" s="328">
        <f>200*1.12/1000</f>
        <v>0.22400000000000003</v>
      </c>
      <c r="M56" s="174"/>
      <c r="N56" s="174">
        <v>50</v>
      </c>
      <c r="P56" s="165"/>
      <c r="Q56" s="326">
        <v>0.95</v>
      </c>
    </row>
    <row r="57" spans="1:41" s="176" customFormat="1" ht="13.8" x14ac:dyDescent="0.25">
      <c r="A57" s="174"/>
      <c r="D57" s="176" t="s">
        <v>406</v>
      </c>
      <c r="F57" s="214">
        <f>F56</f>
        <v>2018</v>
      </c>
      <c r="G57" s="174"/>
      <c r="H57" s="165">
        <f t="shared" si="4"/>
        <v>9.5E-4</v>
      </c>
      <c r="I57" s="174"/>
      <c r="J57" s="174"/>
      <c r="K57" s="174"/>
      <c r="L57" s="174"/>
      <c r="M57" s="174"/>
      <c r="P57" s="324">
        <v>1</v>
      </c>
    </row>
    <row r="58" spans="1:41" s="176" customFormat="1" ht="13.8" x14ac:dyDescent="0.25">
      <c r="A58" s="174"/>
      <c r="D58" s="176" t="s">
        <v>265</v>
      </c>
      <c r="F58" s="214">
        <f t="shared" ref="F58:F62" si="5">F57</f>
        <v>2018</v>
      </c>
      <c r="G58" s="174"/>
      <c r="H58" s="165">
        <f t="shared" si="4"/>
        <v>2.8499999999999997E-3</v>
      </c>
      <c r="I58" s="174"/>
      <c r="J58" s="174"/>
      <c r="K58" s="174"/>
      <c r="L58" s="174"/>
      <c r="M58" s="174"/>
      <c r="N58" s="174"/>
      <c r="P58" s="324">
        <v>3</v>
      </c>
    </row>
    <row r="59" spans="1:41" ht="13.8" x14ac:dyDescent="0.25">
      <c r="B59" s="176"/>
      <c r="C59" s="176"/>
      <c r="D59" s="176" t="s">
        <v>164</v>
      </c>
      <c r="E59" s="176"/>
      <c r="F59" s="214">
        <f t="shared" si="5"/>
        <v>2018</v>
      </c>
      <c r="H59" s="165">
        <f t="shared" si="4"/>
        <v>0</v>
      </c>
      <c r="P59" s="324"/>
    </row>
    <row r="60" spans="1:41" ht="13.8" x14ac:dyDescent="0.25">
      <c r="B60" s="176"/>
      <c r="C60" s="176"/>
      <c r="D60" s="176" t="s">
        <v>199</v>
      </c>
      <c r="E60" s="176"/>
      <c r="F60" s="214">
        <f t="shared" si="5"/>
        <v>2018</v>
      </c>
      <c r="H60" s="165">
        <f t="shared" si="4"/>
        <v>9.4999999999999998E-3</v>
      </c>
      <c r="P60" s="324">
        <v>10</v>
      </c>
    </row>
    <row r="61" spans="1:41" ht="13.8" x14ac:dyDescent="0.25">
      <c r="B61" s="176"/>
      <c r="C61" s="176"/>
      <c r="D61" s="176" t="s">
        <v>141</v>
      </c>
      <c r="E61" s="176"/>
      <c r="F61" s="214">
        <f t="shared" si="5"/>
        <v>2018</v>
      </c>
      <c r="H61" s="165">
        <f t="shared" si="4"/>
        <v>1.1399999999999999E-2</v>
      </c>
      <c r="P61" s="324">
        <v>12</v>
      </c>
    </row>
    <row r="62" spans="1:41" ht="15.75" customHeight="1" x14ac:dyDescent="0.25">
      <c r="B62" s="176"/>
      <c r="C62" s="176"/>
      <c r="D62" s="176" t="s">
        <v>144</v>
      </c>
      <c r="E62" s="176"/>
      <c r="F62" s="214">
        <f t="shared" si="5"/>
        <v>2018</v>
      </c>
      <c r="H62" s="165">
        <f t="shared" si="4"/>
        <v>0</v>
      </c>
      <c r="P62" s="165"/>
    </row>
    <row r="63" spans="1:41" ht="14.4" x14ac:dyDescent="0.3">
      <c r="B63" s="176"/>
      <c r="C63" s="176"/>
      <c r="D63" s="176" t="s">
        <v>407</v>
      </c>
      <c r="E63" s="176"/>
      <c r="F63" s="214">
        <f>F62</f>
        <v>2018</v>
      </c>
      <c r="H63" s="329">
        <f>P63</f>
        <v>3.3</v>
      </c>
      <c r="P63" s="195">
        <v>3.3</v>
      </c>
    </row>
    <row r="64" spans="1:41" ht="13.8" x14ac:dyDescent="0.25">
      <c r="B64" s="219"/>
      <c r="C64" s="219"/>
      <c r="D64" s="219"/>
      <c r="E64" s="219" t="s">
        <v>410</v>
      </c>
      <c r="F64" s="220">
        <f>F63</f>
        <v>2018</v>
      </c>
      <c r="G64" s="221"/>
      <c r="H64" s="221"/>
      <c r="I64" s="221">
        <v>1</v>
      </c>
      <c r="J64" s="221"/>
      <c r="K64" s="221"/>
      <c r="L64" s="221"/>
      <c r="M64" s="221"/>
      <c r="N64" s="221"/>
    </row>
    <row r="65" spans="2:17" ht="13.8" x14ac:dyDescent="0.25">
      <c r="B65" s="176" t="str">
        <f>W15</f>
        <v>INDNFMPCP_N_IM</v>
      </c>
      <c r="C65" s="176" t="str">
        <f>X15</f>
        <v>Primary Copper Production Improved</v>
      </c>
      <c r="D65" s="176" t="s">
        <v>183</v>
      </c>
      <c r="E65" s="176"/>
      <c r="F65" s="214">
        <f>G65</f>
        <v>2025</v>
      </c>
      <c r="G65" s="174">
        <v>2025</v>
      </c>
      <c r="H65" s="165">
        <f>P56*$Q$65/1000</f>
        <v>0</v>
      </c>
      <c r="I65" s="176"/>
      <c r="J65" s="174">
        <v>1</v>
      </c>
      <c r="K65" s="328">
        <f>K56*1.1</f>
        <v>5.4208000000000016</v>
      </c>
      <c r="L65" s="328">
        <f>L56</f>
        <v>0.22400000000000003</v>
      </c>
      <c r="M65" s="328"/>
      <c r="N65" s="174">
        <v>50</v>
      </c>
      <c r="Q65" s="330">
        <v>0.9</v>
      </c>
    </row>
    <row r="66" spans="2:17" ht="13.8" x14ac:dyDescent="0.25">
      <c r="B66" s="176"/>
      <c r="C66" s="176"/>
      <c r="D66" s="176" t="s">
        <v>406</v>
      </c>
      <c r="E66" s="176"/>
      <c r="F66" s="214">
        <f>F65</f>
        <v>2025</v>
      </c>
      <c r="H66" s="165">
        <f>P57*$Q$65/1000</f>
        <v>8.9999999999999998E-4</v>
      </c>
      <c r="N66" s="176"/>
      <c r="Q66" s="174" t="s">
        <v>1050</v>
      </c>
    </row>
    <row r="67" spans="2:17" ht="13.8" x14ac:dyDescent="0.25">
      <c r="B67" s="176"/>
      <c r="C67" s="176"/>
      <c r="D67" s="176" t="s">
        <v>265</v>
      </c>
      <c r="E67" s="176"/>
      <c r="F67" s="214">
        <f t="shared" ref="F67:F72" si="6">F66</f>
        <v>2025</v>
      </c>
      <c r="H67" s="165">
        <f>P58*$Q$65/1000</f>
        <v>2.7000000000000001E-3</v>
      </c>
    </row>
    <row r="68" spans="2:17" ht="13.8" x14ac:dyDescent="0.25">
      <c r="B68" s="176"/>
      <c r="C68" s="176"/>
      <c r="D68" s="176" t="s">
        <v>164</v>
      </c>
      <c r="E68" s="176"/>
      <c r="F68" s="214">
        <f t="shared" si="6"/>
        <v>2025</v>
      </c>
      <c r="H68" s="165">
        <f>4.5/1000</f>
        <v>4.4999999999999997E-3</v>
      </c>
    </row>
    <row r="69" spans="2:17" ht="13.8" x14ac:dyDescent="0.25">
      <c r="B69" s="176"/>
      <c r="C69" s="176"/>
      <c r="D69" s="176" t="s">
        <v>199</v>
      </c>
      <c r="E69" s="176"/>
      <c r="F69" s="214">
        <f t="shared" si="6"/>
        <v>2025</v>
      </c>
      <c r="H69" s="165">
        <f>P60*$Q$65/1000</f>
        <v>8.9999999999999993E-3</v>
      </c>
    </row>
    <row r="70" spans="2:17" ht="13.8" x14ac:dyDescent="0.25">
      <c r="B70" s="176"/>
      <c r="C70" s="176"/>
      <c r="D70" s="176" t="s">
        <v>141</v>
      </c>
      <c r="E70" s="176"/>
      <c r="F70" s="214">
        <f t="shared" si="6"/>
        <v>2025</v>
      </c>
      <c r="H70" s="165">
        <f>4.5/1000</f>
        <v>4.4999999999999997E-3</v>
      </c>
    </row>
    <row r="71" spans="2:17" ht="13.8" x14ac:dyDescent="0.25">
      <c r="B71" s="176"/>
      <c r="C71" s="176"/>
      <c r="D71" s="176" t="s">
        <v>144</v>
      </c>
      <c r="E71" s="176"/>
      <c r="F71" s="214">
        <f t="shared" si="6"/>
        <v>2025</v>
      </c>
      <c r="H71" s="165">
        <f>P62*$Q$65/1000</f>
        <v>0</v>
      </c>
    </row>
    <row r="72" spans="2:17" ht="14.4" x14ac:dyDescent="0.3">
      <c r="B72" s="176"/>
      <c r="C72" s="176"/>
      <c r="D72" s="176" t="s">
        <v>407</v>
      </c>
      <c r="E72" s="176"/>
      <c r="F72" s="214">
        <f t="shared" si="6"/>
        <v>2025</v>
      </c>
      <c r="H72" s="329">
        <f>H63</f>
        <v>3.3</v>
      </c>
    </row>
    <row r="73" spans="2:17" ht="13.8" x14ac:dyDescent="0.25">
      <c r="B73" s="219"/>
      <c r="C73" s="219"/>
      <c r="D73" s="219"/>
      <c r="E73" s="219" t="s">
        <v>410</v>
      </c>
      <c r="F73" s="220">
        <f>F72</f>
        <v>2025</v>
      </c>
      <c r="G73" s="221"/>
      <c r="H73" s="221"/>
      <c r="I73" s="221">
        <v>1</v>
      </c>
      <c r="J73" s="221"/>
      <c r="K73" s="221"/>
      <c r="L73" s="221"/>
      <c r="M73" s="221"/>
      <c r="N73" s="221"/>
    </row>
    <row r="74" spans="2:17" ht="13.8" x14ac:dyDescent="0.25">
      <c r="B74" s="176" t="str">
        <f>W16</f>
        <v>INDNFMPCP_N_AD</v>
      </c>
      <c r="C74" s="176" t="str">
        <f>X16</f>
        <v>Primary Copper Production Advanced</v>
      </c>
      <c r="D74" s="176" t="s">
        <v>183</v>
      </c>
      <c r="E74" s="176"/>
      <c r="F74" s="214">
        <f>G74</f>
        <v>2030</v>
      </c>
      <c r="G74" s="174">
        <v>2030</v>
      </c>
      <c r="H74" s="269">
        <f>H65/1000</f>
        <v>0</v>
      </c>
      <c r="I74" s="176"/>
      <c r="J74" s="174">
        <v>1</v>
      </c>
      <c r="K74" s="328">
        <f>K56*1.2</f>
        <v>5.9136000000000006</v>
      </c>
      <c r="L74" s="328">
        <f>L65</f>
        <v>0.22400000000000003</v>
      </c>
      <c r="M74" s="328"/>
      <c r="N74" s="174">
        <v>50</v>
      </c>
      <c r="Q74" s="330">
        <v>0.9</v>
      </c>
    </row>
    <row r="75" spans="2:17" ht="13.8" x14ac:dyDescent="0.25">
      <c r="B75" s="176"/>
      <c r="C75" s="176"/>
      <c r="D75" s="176" t="s">
        <v>406</v>
      </c>
      <c r="E75" s="176"/>
      <c r="F75" s="214">
        <f>F74</f>
        <v>2030</v>
      </c>
      <c r="H75" s="269">
        <f>H66/1000</f>
        <v>8.9999999999999996E-7</v>
      </c>
      <c r="N75" s="176"/>
      <c r="Q75" s="174" t="s">
        <v>1051</v>
      </c>
    </row>
    <row r="76" spans="2:17" ht="13.8" x14ac:dyDescent="0.25">
      <c r="B76" s="176"/>
      <c r="C76" s="176"/>
      <c r="D76" s="176" t="s">
        <v>265</v>
      </c>
      <c r="E76" s="176"/>
      <c r="F76" s="214">
        <f t="shared" ref="F76:F81" si="7">F75</f>
        <v>2030</v>
      </c>
      <c r="H76" s="269">
        <v>0</v>
      </c>
    </row>
    <row r="77" spans="2:17" ht="13.8" x14ac:dyDescent="0.25">
      <c r="B77" s="176"/>
      <c r="C77" s="176"/>
      <c r="D77" s="176" t="s">
        <v>164</v>
      </c>
      <c r="E77" s="176"/>
      <c r="F77" s="214">
        <f t="shared" si="7"/>
        <v>2030</v>
      </c>
      <c r="H77" s="269">
        <f>6/1000</f>
        <v>6.0000000000000001E-3</v>
      </c>
    </row>
    <row r="78" spans="2:17" ht="13.8" x14ac:dyDescent="0.25">
      <c r="B78" s="176"/>
      <c r="C78" s="176"/>
      <c r="D78" s="176" t="s">
        <v>199</v>
      </c>
      <c r="E78" s="176"/>
      <c r="F78" s="214">
        <f t="shared" si="7"/>
        <v>2030</v>
      </c>
      <c r="H78" s="269">
        <f>14/1000</f>
        <v>1.4E-2</v>
      </c>
    </row>
    <row r="79" spans="2:17" ht="13.8" x14ac:dyDescent="0.25">
      <c r="B79" s="176"/>
      <c r="C79" s="176"/>
      <c r="D79" s="176" t="s">
        <v>141</v>
      </c>
      <c r="E79" s="176"/>
      <c r="F79" s="214">
        <f t="shared" si="7"/>
        <v>2030</v>
      </c>
      <c r="H79" s="269">
        <v>0</v>
      </c>
    </row>
    <row r="80" spans="2:17" ht="13.8" x14ac:dyDescent="0.25">
      <c r="B80" s="176"/>
      <c r="C80" s="176"/>
      <c r="D80" s="176" t="s">
        <v>144</v>
      </c>
      <c r="E80" s="176"/>
      <c r="F80" s="214">
        <f t="shared" si="7"/>
        <v>2030</v>
      </c>
      <c r="H80" s="269">
        <f t="shared" ref="H80:H81" si="8">H71</f>
        <v>0</v>
      </c>
    </row>
    <row r="81" spans="2:23" ht="14.4" x14ac:dyDescent="0.3">
      <c r="B81" s="176"/>
      <c r="C81" s="176"/>
      <c r="D81" s="176" t="s">
        <v>407</v>
      </c>
      <c r="E81" s="176"/>
      <c r="F81" s="214">
        <f t="shared" si="7"/>
        <v>2030</v>
      </c>
      <c r="H81" s="331">
        <f t="shared" si="8"/>
        <v>3.3</v>
      </c>
    </row>
    <row r="82" spans="2:23" ht="13.8" x14ac:dyDescent="0.25">
      <c r="B82" s="219"/>
      <c r="C82" s="219"/>
      <c r="D82" s="219"/>
      <c r="E82" s="219" t="s">
        <v>410</v>
      </c>
      <c r="F82" s="220">
        <f>F81</f>
        <v>2030</v>
      </c>
      <c r="G82" s="221"/>
      <c r="H82" s="221"/>
      <c r="I82" s="221">
        <v>1</v>
      </c>
      <c r="J82" s="221"/>
      <c r="K82" s="221"/>
      <c r="L82" s="221"/>
      <c r="M82" s="221"/>
      <c r="N82" s="221"/>
    </row>
    <row r="86" spans="2:23" ht="13.8" x14ac:dyDescent="0.25">
      <c r="B86" s="176"/>
      <c r="C86" s="176"/>
      <c r="D86" s="176"/>
      <c r="E86" s="197"/>
      <c r="F86" s="187" t="s">
        <v>0</v>
      </c>
      <c r="G86" s="187"/>
      <c r="H86" s="198"/>
      <c r="I86" s="198"/>
      <c r="J86" s="198"/>
      <c r="K86" s="199"/>
      <c r="L86" s="199"/>
      <c r="M86" s="199"/>
      <c r="N86" s="176"/>
    </row>
    <row r="87" spans="2:23" ht="13.8" x14ac:dyDescent="0.25">
      <c r="B87" s="200" t="s">
        <v>1</v>
      </c>
      <c r="C87" s="201" t="s">
        <v>227</v>
      </c>
      <c r="D87" s="200" t="s">
        <v>3</v>
      </c>
      <c r="E87" s="200" t="s">
        <v>4</v>
      </c>
      <c r="F87" s="202" t="s">
        <v>233</v>
      </c>
      <c r="G87" s="203" t="s">
        <v>14</v>
      </c>
      <c r="H87" s="204" t="s">
        <v>250</v>
      </c>
      <c r="I87" s="205" t="s">
        <v>273</v>
      </c>
      <c r="J87" s="204" t="s">
        <v>50</v>
      </c>
      <c r="K87" s="204" t="s">
        <v>36</v>
      </c>
      <c r="L87" s="204" t="s">
        <v>5</v>
      </c>
      <c r="M87" s="204" t="s">
        <v>34</v>
      </c>
      <c r="N87" s="204" t="s">
        <v>48</v>
      </c>
    </row>
    <row r="88" spans="2:23" ht="28.2" thickBot="1" x14ac:dyDescent="0.3">
      <c r="B88" s="207" t="s">
        <v>234</v>
      </c>
      <c r="C88" s="207" t="s">
        <v>28</v>
      </c>
      <c r="D88" s="207" t="s">
        <v>32</v>
      </c>
      <c r="E88" s="207" t="s">
        <v>33</v>
      </c>
      <c r="F88" s="208"/>
      <c r="G88" s="209" t="s">
        <v>35</v>
      </c>
      <c r="H88" s="207" t="s">
        <v>251</v>
      </c>
      <c r="I88" s="207"/>
      <c r="J88" s="207" t="s">
        <v>329</v>
      </c>
      <c r="K88" s="207" t="s">
        <v>37</v>
      </c>
      <c r="L88" s="207" t="s">
        <v>38</v>
      </c>
      <c r="M88" s="207" t="s">
        <v>39</v>
      </c>
      <c r="N88" s="207" t="s">
        <v>218</v>
      </c>
    </row>
    <row r="89" spans="2:23" ht="15" x14ac:dyDescent="0.25">
      <c r="B89" s="210"/>
      <c r="C89" s="211"/>
      <c r="D89" s="211"/>
      <c r="E89" s="211" t="s">
        <v>231</v>
      </c>
      <c r="F89" s="212"/>
      <c r="G89" s="211"/>
      <c r="H89" s="211" t="s">
        <v>1067</v>
      </c>
      <c r="I89" s="213" t="s">
        <v>244</v>
      </c>
      <c r="J89" s="211"/>
      <c r="K89" s="211" t="s">
        <v>1068</v>
      </c>
      <c r="L89" s="211" t="s">
        <v>1068</v>
      </c>
      <c r="M89" s="211" t="s">
        <v>1069</v>
      </c>
      <c r="N89" s="211" t="s">
        <v>40</v>
      </c>
    </row>
    <row r="90" spans="2:23" ht="13.8" x14ac:dyDescent="0.25">
      <c r="B90" s="176" t="str">
        <f>W17</f>
        <v>INDNFMSCP_N_ST</v>
      </c>
      <c r="C90" s="176" t="str">
        <f>X17</f>
        <v>Secondary Copper Production Standard</v>
      </c>
      <c r="D90" s="176" t="s">
        <v>183</v>
      </c>
      <c r="E90" s="176"/>
      <c r="F90" s="214">
        <f>G90</f>
        <v>2018</v>
      </c>
      <c r="G90" s="174">
        <v>2018</v>
      </c>
      <c r="H90" s="165">
        <f t="shared" ref="H90:H96" si="9">P90*$Q$90/1000</f>
        <v>0</v>
      </c>
      <c r="I90" s="176"/>
      <c r="J90" s="174">
        <v>1</v>
      </c>
      <c r="K90" s="174">
        <f>2400*1.12/1000</f>
        <v>2.6880000000000006</v>
      </c>
      <c r="L90" s="174">
        <f>120*1.12/1000</f>
        <v>0.13440000000000002</v>
      </c>
      <c r="N90" s="174">
        <v>50</v>
      </c>
      <c r="P90" s="269"/>
      <c r="Q90" s="330">
        <v>0.95</v>
      </c>
    </row>
    <row r="91" spans="2:23" ht="13.8" x14ac:dyDescent="0.25">
      <c r="B91" s="176"/>
      <c r="C91" s="176"/>
      <c r="D91" s="176" t="s">
        <v>406</v>
      </c>
      <c r="E91" s="176"/>
      <c r="F91" s="214">
        <f>F90</f>
        <v>2018</v>
      </c>
      <c r="H91" s="165">
        <f t="shared" si="9"/>
        <v>9.5E-4</v>
      </c>
      <c r="N91" s="176"/>
      <c r="P91" s="269">
        <v>1</v>
      </c>
    </row>
    <row r="92" spans="2:23" ht="13.8" x14ac:dyDescent="0.25">
      <c r="B92" s="176"/>
      <c r="C92" s="176"/>
      <c r="D92" s="176" t="s">
        <v>265</v>
      </c>
      <c r="E92" s="176"/>
      <c r="F92" s="214">
        <f t="shared" ref="F92:F98" si="10">F91</f>
        <v>2018</v>
      </c>
      <c r="H92" s="165">
        <f t="shared" si="9"/>
        <v>1.9E-3</v>
      </c>
      <c r="P92" s="269">
        <v>2</v>
      </c>
    </row>
    <row r="93" spans="2:23" ht="13.8" x14ac:dyDescent="0.25">
      <c r="B93" s="176"/>
      <c r="C93" s="176"/>
      <c r="D93" s="176" t="s">
        <v>164</v>
      </c>
      <c r="E93" s="176"/>
      <c r="F93" s="214">
        <f t="shared" si="10"/>
        <v>2018</v>
      </c>
      <c r="H93" s="165">
        <f t="shared" si="9"/>
        <v>0</v>
      </c>
      <c r="P93" s="269"/>
      <c r="U93" s="176"/>
      <c r="V93" s="176"/>
      <c r="W93" s="195"/>
    </row>
    <row r="94" spans="2:23" ht="13.8" x14ac:dyDescent="0.25">
      <c r="B94" s="176"/>
      <c r="C94" s="176"/>
      <c r="D94" s="176" t="s">
        <v>199</v>
      </c>
      <c r="E94" s="176"/>
      <c r="F94" s="214">
        <f t="shared" si="10"/>
        <v>2018</v>
      </c>
      <c r="H94" s="165">
        <f t="shared" si="9"/>
        <v>1.9E-3</v>
      </c>
      <c r="P94" s="269">
        <v>2</v>
      </c>
      <c r="U94" s="176"/>
      <c r="V94" s="176"/>
      <c r="W94" s="195"/>
    </row>
    <row r="95" spans="2:23" ht="13.8" x14ac:dyDescent="0.25">
      <c r="B95" s="176"/>
      <c r="C95" s="176"/>
      <c r="D95" s="176" t="s">
        <v>141</v>
      </c>
      <c r="E95" s="176"/>
      <c r="F95" s="214">
        <f t="shared" si="10"/>
        <v>2018</v>
      </c>
      <c r="H95" s="165">
        <f t="shared" si="9"/>
        <v>4.7499999999999999E-3</v>
      </c>
      <c r="P95" s="269">
        <v>5</v>
      </c>
      <c r="U95" s="176"/>
      <c r="V95" s="176"/>
      <c r="W95" s="195"/>
    </row>
    <row r="96" spans="2:23" ht="13.8" x14ac:dyDescent="0.25">
      <c r="B96" s="176"/>
      <c r="C96" s="176"/>
      <c r="D96" s="176" t="s">
        <v>144</v>
      </c>
      <c r="E96" s="176"/>
      <c r="F96" s="214">
        <f t="shared" si="10"/>
        <v>2018</v>
      </c>
      <c r="H96" s="165">
        <f t="shared" si="9"/>
        <v>0</v>
      </c>
      <c r="P96" s="269"/>
      <c r="U96" s="176"/>
      <c r="V96" s="176"/>
      <c r="W96" s="195"/>
    </row>
    <row r="97" spans="2:23" ht="14.4" x14ac:dyDescent="0.3">
      <c r="B97" s="176"/>
      <c r="C97" s="176"/>
      <c r="D97" s="176" t="s">
        <v>408</v>
      </c>
      <c r="E97" s="176"/>
      <c r="F97" s="214">
        <f t="shared" si="10"/>
        <v>2018</v>
      </c>
      <c r="H97" s="331">
        <f>P97</f>
        <v>1.05</v>
      </c>
      <c r="P97" s="195">
        <v>1.05</v>
      </c>
      <c r="U97" s="176"/>
      <c r="V97" s="176"/>
      <c r="W97" s="195"/>
    </row>
    <row r="98" spans="2:23" ht="13.8" x14ac:dyDescent="0.25">
      <c r="B98" s="219"/>
      <c r="C98" s="219"/>
      <c r="D98" s="219"/>
      <c r="E98" s="219" t="s">
        <v>409</v>
      </c>
      <c r="F98" s="220">
        <f t="shared" si="10"/>
        <v>2018</v>
      </c>
      <c r="G98" s="221"/>
      <c r="H98" s="221"/>
      <c r="I98" s="221">
        <v>1</v>
      </c>
      <c r="J98" s="221"/>
      <c r="K98" s="221"/>
      <c r="L98" s="221"/>
      <c r="M98" s="221"/>
      <c r="N98" s="221"/>
      <c r="U98" s="176"/>
      <c r="V98" s="176"/>
      <c r="W98" s="195"/>
    </row>
    <row r="99" spans="2:23" ht="13.8" x14ac:dyDescent="0.25">
      <c r="B99" s="176" t="str">
        <f>W18</f>
        <v>INDNFMSCP_N_IM</v>
      </c>
      <c r="C99" s="176" t="str">
        <f>X18</f>
        <v>Secondary Copper Production Improved</v>
      </c>
      <c r="D99" s="176" t="s">
        <v>183</v>
      </c>
      <c r="E99" s="176"/>
      <c r="F99" s="214">
        <f>G99</f>
        <v>2025</v>
      </c>
      <c r="G99" s="174">
        <v>2025</v>
      </c>
      <c r="H99" s="165">
        <f>P90*$Q$99/1000</f>
        <v>0</v>
      </c>
      <c r="I99" s="176"/>
      <c r="J99" s="174">
        <v>1</v>
      </c>
      <c r="K99" s="328">
        <f>K90*1.1</f>
        <v>2.9568000000000008</v>
      </c>
      <c r="L99" s="328">
        <f>L90</f>
        <v>0.13440000000000002</v>
      </c>
      <c r="M99" s="328"/>
      <c r="N99" s="174">
        <v>50</v>
      </c>
      <c r="Q99" s="330">
        <v>0.9</v>
      </c>
      <c r="U99" s="176"/>
      <c r="V99" s="176"/>
      <c r="W99" s="195"/>
    </row>
    <row r="100" spans="2:23" ht="13.8" x14ac:dyDescent="0.25">
      <c r="B100" s="176"/>
      <c r="C100" s="176"/>
      <c r="D100" s="176" t="s">
        <v>406</v>
      </c>
      <c r="E100" s="176"/>
      <c r="F100" s="214">
        <f>F99</f>
        <v>2025</v>
      </c>
      <c r="H100" s="165">
        <f>P91*$Q$99/1000</f>
        <v>8.9999999999999998E-4</v>
      </c>
      <c r="N100" s="176"/>
      <c r="U100" s="176"/>
      <c r="V100" s="176"/>
      <c r="W100" s="195"/>
    </row>
    <row r="101" spans="2:23" ht="13.8" x14ac:dyDescent="0.25">
      <c r="B101" s="176"/>
      <c r="C101" s="176"/>
      <c r="D101" s="176" t="s">
        <v>265</v>
      </c>
      <c r="E101" s="176"/>
      <c r="F101" s="214">
        <f t="shared" ref="F101:F107" si="11">F100</f>
        <v>2025</v>
      </c>
      <c r="H101" s="165">
        <v>0</v>
      </c>
      <c r="U101" s="176"/>
      <c r="V101" s="176"/>
      <c r="W101" s="195"/>
    </row>
    <row r="102" spans="2:23" ht="13.8" x14ac:dyDescent="0.25">
      <c r="B102" s="176"/>
      <c r="C102" s="176"/>
      <c r="D102" s="176" t="s">
        <v>164</v>
      </c>
      <c r="E102" s="176"/>
      <c r="F102" s="214">
        <f t="shared" si="11"/>
        <v>2025</v>
      </c>
      <c r="H102" s="165">
        <f>4.5/1000</f>
        <v>4.4999999999999997E-3</v>
      </c>
      <c r="U102" s="176"/>
      <c r="V102" s="176"/>
      <c r="W102" s="195"/>
    </row>
    <row r="103" spans="2:23" ht="13.8" x14ac:dyDescent="0.25">
      <c r="B103" s="176"/>
      <c r="C103" s="176"/>
      <c r="D103" s="176" t="s">
        <v>199</v>
      </c>
      <c r="E103" s="176"/>
      <c r="F103" s="214">
        <f t="shared" si="11"/>
        <v>2025</v>
      </c>
      <c r="H103" s="165">
        <f>P94*$Q$99/1000</f>
        <v>1.8E-3</v>
      </c>
      <c r="U103" s="176"/>
      <c r="V103" s="176"/>
      <c r="W103" s="195"/>
    </row>
    <row r="104" spans="2:23" ht="13.8" x14ac:dyDescent="0.25">
      <c r="B104" s="176"/>
      <c r="C104" s="176"/>
      <c r="D104" s="176" t="s">
        <v>141</v>
      </c>
      <c r="E104" s="176"/>
      <c r="F104" s="214">
        <f t="shared" si="11"/>
        <v>2025</v>
      </c>
      <c r="H104" s="165">
        <f>1.5/1000</f>
        <v>1.5E-3</v>
      </c>
      <c r="U104" s="176"/>
      <c r="V104" s="176"/>
      <c r="W104" s="195"/>
    </row>
    <row r="105" spans="2:23" ht="13.8" x14ac:dyDescent="0.25">
      <c r="B105" s="176"/>
      <c r="C105" s="176"/>
      <c r="D105" s="176" t="s">
        <v>144</v>
      </c>
      <c r="E105" s="176"/>
      <c r="F105" s="214">
        <f t="shared" si="11"/>
        <v>2025</v>
      </c>
      <c r="H105" s="165">
        <f>P96*$Q$99/1000</f>
        <v>0</v>
      </c>
      <c r="U105" s="176"/>
      <c r="V105" s="176"/>
      <c r="W105" s="195"/>
    </row>
    <row r="106" spans="2:23" ht="14.4" x14ac:dyDescent="0.3">
      <c r="B106" s="176"/>
      <c r="C106" s="176"/>
      <c r="D106" s="176" t="s">
        <v>408</v>
      </c>
      <c r="E106" s="176"/>
      <c r="F106" s="214">
        <f t="shared" si="11"/>
        <v>2025</v>
      </c>
      <c r="H106" s="331">
        <f>H97</f>
        <v>1.05</v>
      </c>
      <c r="U106" s="176"/>
      <c r="V106" s="176"/>
      <c r="W106" s="195"/>
    </row>
    <row r="107" spans="2:23" ht="13.8" x14ac:dyDescent="0.25">
      <c r="B107" s="219"/>
      <c r="C107" s="219"/>
      <c r="D107" s="219"/>
      <c r="E107" s="219" t="s">
        <v>409</v>
      </c>
      <c r="F107" s="220">
        <f t="shared" si="11"/>
        <v>2025</v>
      </c>
      <c r="G107" s="221"/>
      <c r="H107" s="221"/>
      <c r="I107" s="221">
        <v>1</v>
      </c>
      <c r="J107" s="221"/>
      <c r="K107" s="221"/>
      <c r="L107" s="221"/>
      <c r="M107" s="221"/>
      <c r="N107" s="221"/>
      <c r="U107" s="176"/>
      <c r="V107" s="176"/>
      <c r="W107" s="195"/>
    </row>
    <row r="108" spans="2:23" ht="13.8" x14ac:dyDescent="0.25">
      <c r="B108" s="176" t="str">
        <f>W19</f>
        <v>INDNFMSCP_N_AD</v>
      </c>
      <c r="C108" s="176" t="str">
        <f>X19</f>
        <v>Secondary Copper Production Advanced</v>
      </c>
      <c r="D108" s="176" t="s">
        <v>183</v>
      </c>
      <c r="E108" s="176"/>
      <c r="F108" s="214">
        <f>G108</f>
        <v>2030</v>
      </c>
      <c r="G108" s="174">
        <v>2030</v>
      </c>
      <c r="H108" s="269">
        <f>H99/1000</f>
        <v>0</v>
      </c>
      <c r="I108" s="176"/>
      <c r="J108" s="174">
        <v>1</v>
      </c>
      <c r="K108" s="328">
        <f>K90*1.2</f>
        <v>3.2256000000000005</v>
      </c>
      <c r="L108" s="328">
        <f>L99</f>
        <v>0.13440000000000002</v>
      </c>
      <c r="M108" s="328"/>
      <c r="N108" s="174">
        <v>50</v>
      </c>
      <c r="U108" s="176"/>
      <c r="V108" s="176"/>
      <c r="W108" s="195"/>
    </row>
    <row r="109" spans="2:23" ht="13.8" x14ac:dyDescent="0.25">
      <c r="B109" s="176"/>
      <c r="C109" s="176"/>
      <c r="D109" s="176" t="s">
        <v>406</v>
      </c>
      <c r="E109" s="176"/>
      <c r="F109" s="214">
        <f>F108</f>
        <v>2030</v>
      </c>
      <c r="H109" s="269">
        <f>H100/1000</f>
        <v>8.9999999999999996E-7</v>
      </c>
      <c r="N109" s="176"/>
      <c r="U109" s="176"/>
      <c r="V109" s="176"/>
      <c r="W109" s="195"/>
    </row>
    <row r="110" spans="2:23" ht="13.8" x14ac:dyDescent="0.25">
      <c r="B110" s="176"/>
      <c r="C110" s="176"/>
      <c r="D110" s="176" t="s">
        <v>265</v>
      </c>
      <c r="E110" s="176"/>
      <c r="F110" s="214">
        <f t="shared" ref="F110:F116" si="12">F109</f>
        <v>2030</v>
      </c>
      <c r="H110" s="269">
        <f>H101/1000</f>
        <v>0</v>
      </c>
      <c r="U110" s="176"/>
      <c r="V110" s="176"/>
      <c r="W110" s="195"/>
    </row>
    <row r="111" spans="2:23" ht="13.8" x14ac:dyDescent="0.25">
      <c r="B111" s="176"/>
      <c r="C111" s="176"/>
      <c r="D111" s="176" t="s">
        <v>164</v>
      </c>
      <c r="E111" s="176"/>
      <c r="F111" s="214">
        <f t="shared" si="12"/>
        <v>2030</v>
      </c>
      <c r="H111" s="269">
        <f>3/1000</f>
        <v>3.0000000000000001E-3</v>
      </c>
      <c r="U111" s="176"/>
      <c r="V111" s="176"/>
      <c r="W111" s="195"/>
    </row>
    <row r="112" spans="2:23" ht="13.8" x14ac:dyDescent="0.25">
      <c r="B112" s="176"/>
      <c r="C112" s="176"/>
      <c r="D112" s="176" t="s">
        <v>199</v>
      </c>
      <c r="E112" s="176"/>
      <c r="F112" s="214">
        <f t="shared" si="12"/>
        <v>2030</v>
      </c>
      <c r="H112" s="269">
        <f>4/1000</f>
        <v>4.0000000000000001E-3</v>
      </c>
      <c r="U112" s="176"/>
      <c r="V112" s="176"/>
      <c r="W112" s="195"/>
    </row>
    <row r="113" spans="2:23" ht="13.8" x14ac:dyDescent="0.25">
      <c r="B113" s="176"/>
      <c r="C113" s="176"/>
      <c r="D113" s="176" t="s">
        <v>141</v>
      </c>
      <c r="E113" s="176"/>
      <c r="F113" s="214">
        <f t="shared" si="12"/>
        <v>2030</v>
      </c>
      <c r="H113" s="269">
        <v>0</v>
      </c>
      <c r="U113" s="176"/>
      <c r="V113" s="176"/>
      <c r="W113" s="195"/>
    </row>
    <row r="114" spans="2:23" ht="13.8" x14ac:dyDescent="0.25">
      <c r="B114" s="176"/>
      <c r="C114" s="176"/>
      <c r="D114" s="176" t="s">
        <v>144</v>
      </c>
      <c r="E114" s="176"/>
      <c r="F114" s="214">
        <f t="shared" si="12"/>
        <v>2030</v>
      </c>
      <c r="H114" s="269">
        <f t="shared" ref="H114:H115" si="13">H105</f>
        <v>0</v>
      </c>
      <c r="U114" s="176"/>
      <c r="V114" s="176"/>
      <c r="W114" s="195"/>
    </row>
    <row r="115" spans="2:23" ht="14.4" x14ac:dyDescent="0.3">
      <c r="B115" s="176"/>
      <c r="C115" s="176"/>
      <c r="D115" s="176" t="s">
        <v>408</v>
      </c>
      <c r="E115" s="176"/>
      <c r="F115" s="214">
        <f t="shared" si="12"/>
        <v>2030</v>
      </c>
      <c r="H115" s="331">
        <f t="shared" si="13"/>
        <v>1.05</v>
      </c>
      <c r="U115" s="176"/>
      <c r="V115" s="176"/>
      <c r="W115" s="195"/>
    </row>
    <row r="116" spans="2:23" ht="13.8" x14ac:dyDescent="0.25">
      <c r="B116" s="219"/>
      <c r="C116" s="219"/>
      <c r="D116" s="219"/>
      <c r="E116" s="219" t="s">
        <v>409</v>
      </c>
      <c r="F116" s="220">
        <f t="shared" si="12"/>
        <v>2030</v>
      </c>
      <c r="G116" s="221"/>
      <c r="H116" s="221"/>
      <c r="I116" s="221">
        <v>1</v>
      </c>
      <c r="J116" s="221"/>
      <c r="K116" s="221"/>
      <c r="L116" s="221"/>
      <c r="M116" s="221"/>
      <c r="N116" s="221"/>
      <c r="U116" s="176"/>
      <c r="V116" s="176"/>
      <c r="W116" s="195"/>
    </row>
    <row r="117" spans="2:23" ht="13.8" x14ac:dyDescent="0.25">
      <c r="U117" s="176"/>
      <c r="V117" s="176"/>
      <c r="W117" s="195"/>
    </row>
    <row r="118" spans="2:23" ht="13.8" x14ac:dyDescent="0.25">
      <c r="U118" s="176"/>
      <c r="V118" s="176"/>
      <c r="W118" s="195"/>
    </row>
    <row r="119" spans="2:23" ht="13.8" x14ac:dyDescent="0.25">
      <c r="U119" s="176"/>
      <c r="V119" s="176"/>
      <c r="W119" s="195"/>
    </row>
    <row r="120" spans="2:23" ht="13.8" x14ac:dyDescent="0.25">
      <c r="B120" s="176"/>
      <c r="C120" s="176"/>
      <c r="D120" s="176"/>
      <c r="E120" s="197"/>
      <c r="F120" s="187" t="s">
        <v>0</v>
      </c>
      <c r="G120" s="187"/>
      <c r="H120" s="198"/>
      <c r="I120" s="198"/>
      <c r="J120" s="198"/>
      <c r="K120" s="199"/>
      <c r="L120" s="199"/>
      <c r="M120" s="199"/>
      <c r="N120" s="176"/>
      <c r="U120" s="176"/>
      <c r="V120" s="176"/>
      <c r="W120" s="195"/>
    </row>
    <row r="121" spans="2:23" ht="13.8" x14ac:dyDescent="0.25">
      <c r="B121" s="200" t="s">
        <v>1</v>
      </c>
      <c r="C121" s="201" t="s">
        <v>227</v>
      </c>
      <c r="D121" s="200" t="s">
        <v>3</v>
      </c>
      <c r="E121" s="200" t="s">
        <v>4</v>
      </c>
      <c r="F121" s="202" t="s">
        <v>233</v>
      </c>
      <c r="G121" s="203" t="s">
        <v>14</v>
      </c>
      <c r="H121" s="204" t="s">
        <v>250</v>
      </c>
      <c r="I121" s="205" t="s">
        <v>273</v>
      </c>
      <c r="J121" s="204" t="s">
        <v>50</v>
      </c>
      <c r="K121" s="204" t="s">
        <v>36</v>
      </c>
      <c r="L121" s="204" t="s">
        <v>5</v>
      </c>
      <c r="M121" s="204" t="s">
        <v>34</v>
      </c>
      <c r="N121" s="204" t="s">
        <v>48</v>
      </c>
      <c r="U121" s="176"/>
      <c r="V121" s="176"/>
      <c r="W121" s="195"/>
    </row>
    <row r="122" spans="2:23" ht="28.2" thickBot="1" x14ac:dyDescent="0.3">
      <c r="B122" s="207" t="s">
        <v>234</v>
      </c>
      <c r="C122" s="207" t="s">
        <v>28</v>
      </c>
      <c r="D122" s="207" t="s">
        <v>32</v>
      </c>
      <c r="E122" s="207" t="s">
        <v>33</v>
      </c>
      <c r="F122" s="208"/>
      <c r="G122" s="209" t="s">
        <v>35</v>
      </c>
      <c r="H122" s="207" t="s">
        <v>251</v>
      </c>
      <c r="I122" s="207"/>
      <c r="J122" s="207" t="s">
        <v>329</v>
      </c>
      <c r="K122" s="207" t="s">
        <v>37</v>
      </c>
      <c r="L122" s="207" t="s">
        <v>38</v>
      </c>
      <c r="M122" s="207" t="s">
        <v>39</v>
      </c>
      <c r="N122" s="207" t="s">
        <v>218</v>
      </c>
      <c r="U122" s="176"/>
      <c r="V122" s="176"/>
      <c r="W122" s="195"/>
    </row>
    <row r="123" spans="2:23" ht="15" x14ac:dyDescent="0.25">
      <c r="B123" s="210"/>
      <c r="C123" s="211"/>
      <c r="D123" s="211"/>
      <c r="E123" s="211" t="s">
        <v>231</v>
      </c>
      <c r="F123" s="212"/>
      <c r="G123" s="211"/>
      <c r="H123" s="211" t="s">
        <v>1067</v>
      </c>
      <c r="I123" s="213" t="s">
        <v>244</v>
      </c>
      <c r="J123" s="211"/>
      <c r="K123" s="211" t="s">
        <v>1068</v>
      </c>
      <c r="L123" s="211" t="s">
        <v>1068</v>
      </c>
      <c r="M123" s="211" t="s">
        <v>1069</v>
      </c>
      <c r="N123" s="211" t="s">
        <v>40</v>
      </c>
      <c r="U123" s="176"/>
      <c r="V123" s="176"/>
      <c r="W123" s="195"/>
    </row>
    <row r="124" spans="2:23" ht="13.8" x14ac:dyDescent="0.25">
      <c r="B124" s="176" t="str">
        <f>W20</f>
        <v>INDNFMFCP_N_ST</v>
      </c>
      <c r="C124" s="176" t="str">
        <f>X20</f>
        <v>Finishing Copper Production Standard</v>
      </c>
      <c r="D124" s="176" t="s">
        <v>183</v>
      </c>
      <c r="E124" s="176"/>
      <c r="F124" s="214">
        <f>G124</f>
        <v>2018</v>
      </c>
      <c r="G124" s="174">
        <v>2018</v>
      </c>
      <c r="H124" s="173">
        <v>0</v>
      </c>
      <c r="J124" s="174">
        <v>1</v>
      </c>
      <c r="K124" s="174">
        <f>500*1.12/1000</f>
        <v>0.56000000000000005</v>
      </c>
      <c r="N124" s="176">
        <v>50</v>
      </c>
      <c r="U124" s="176"/>
      <c r="V124" s="176"/>
      <c r="W124" s="195"/>
    </row>
    <row r="125" spans="2:23" ht="13.8" x14ac:dyDescent="0.25">
      <c r="B125" s="176"/>
      <c r="C125" s="176"/>
      <c r="D125" s="176" t="s">
        <v>406</v>
      </c>
      <c r="E125" s="176"/>
      <c r="F125" s="214">
        <f>F124</f>
        <v>2018</v>
      </c>
      <c r="H125" s="173">
        <v>0</v>
      </c>
      <c r="N125" s="176"/>
      <c r="U125" s="176"/>
      <c r="V125" s="176"/>
      <c r="W125" s="195"/>
    </row>
    <row r="126" spans="2:23" ht="13.8" x14ac:dyDescent="0.25">
      <c r="B126" s="176"/>
      <c r="C126" s="176"/>
      <c r="D126" s="176" t="s">
        <v>265</v>
      </c>
      <c r="E126" s="176"/>
      <c r="F126" s="214">
        <f t="shared" ref="F126:F132" si="14">F125</f>
        <v>2018</v>
      </c>
      <c r="H126" s="173">
        <v>0</v>
      </c>
      <c r="U126" s="176"/>
      <c r="V126" s="176"/>
      <c r="W126" s="195"/>
    </row>
    <row r="127" spans="2:23" ht="13.8" x14ac:dyDescent="0.25">
      <c r="B127" s="176"/>
      <c r="C127" s="176"/>
      <c r="D127" s="176" t="s">
        <v>164</v>
      </c>
      <c r="E127" s="176"/>
      <c r="F127" s="214">
        <f t="shared" si="14"/>
        <v>2018</v>
      </c>
      <c r="H127" s="173">
        <v>0</v>
      </c>
      <c r="U127" s="176"/>
      <c r="V127" s="176"/>
      <c r="W127" s="195"/>
    </row>
    <row r="128" spans="2:23" ht="13.8" x14ac:dyDescent="0.25">
      <c r="B128" s="176"/>
      <c r="C128" s="176"/>
      <c r="D128" s="176" t="s">
        <v>199</v>
      </c>
      <c r="E128" s="176"/>
      <c r="F128" s="214">
        <f t="shared" si="14"/>
        <v>2018</v>
      </c>
      <c r="H128" s="173">
        <v>0</v>
      </c>
      <c r="U128" s="176"/>
      <c r="V128" s="176"/>
      <c r="W128" s="195"/>
    </row>
    <row r="129" spans="2:23" ht="13.8" x14ac:dyDescent="0.25">
      <c r="B129" s="176"/>
      <c r="C129" s="176"/>
      <c r="D129" s="176" t="s">
        <v>166</v>
      </c>
      <c r="E129" s="176"/>
      <c r="F129" s="214">
        <f t="shared" si="14"/>
        <v>2018</v>
      </c>
      <c r="H129" s="173">
        <v>0</v>
      </c>
      <c r="U129" s="176"/>
      <c r="V129" s="176"/>
      <c r="W129" s="195"/>
    </row>
    <row r="130" spans="2:23" ht="13.8" x14ac:dyDescent="0.25">
      <c r="B130" s="176"/>
      <c r="C130" s="176"/>
      <c r="D130" s="176" t="s">
        <v>144</v>
      </c>
      <c r="E130" s="176"/>
      <c r="F130" s="214">
        <f t="shared" si="14"/>
        <v>2018</v>
      </c>
      <c r="H130" s="173">
        <v>0</v>
      </c>
      <c r="U130" s="176"/>
      <c r="V130" s="176"/>
      <c r="W130" s="195"/>
    </row>
    <row r="131" spans="2:23" ht="13.8" x14ac:dyDescent="0.25">
      <c r="B131" s="176"/>
      <c r="C131" s="176"/>
      <c r="D131" s="176" t="s">
        <v>409</v>
      </c>
      <c r="E131" s="176"/>
      <c r="F131" s="214">
        <f t="shared" si="14"/>
        <v>2018</v>
      </c>
      <c r="H131" s="173">
        <v>0.33300000000000002</v>
      </c>
      <c r="U131" s="176"/>
      <c r="V131" s="176"/>
      <c r="W131" s="195"/>
    </row>
    <row r="132" spans="2:23" ht="13.8" x14ac:dyDescent="0.25">
      <c r="B132" s="176"/>
      <c r="C132" s="176"/>
      <c r="D132" s="176" t="s">
        <v>410</v>
      </c>
      <c r="E132" s="176"/>
      <c r="F132" s="214">
        <f t="shared" si="14"/>
        <v>2018</v>
      </c>
      <c r="H132" s="173">
        <v>0.66700000000000004</v>
      </c>
      <c r="U132" s="176"/>
      <c r="V132" s="176"/>
      <c r="W132" s="195"/>
    </row>
    <row r="133" spans="2:23" ht="13.8" x14ac:dyDescent="0.25">
      <c r="B133" s="219"/>
      <c r="C133" s="219"/>
      <c r="D133" s="219"/>
      <c r="E133" s="219" t="s">
        <v>414</v>
      </c>
      <c r="F133" s="220">
        <f>F131</f>
        <v>2018</v>
      </c>
      <c r="G133" s="221"/>
      <c r="H133" s="221"/>
      <c r="I133" s="221">
        <v>1</v>
      </c>
      <c r="J133" s="221"/>
      <c r="K133" s="221"/>
      <c r="L133" s="221"/>
      <c r="M133" s="221"/>
      <c r="N133" s="221"/>
      <c r="U133" s="176"/>
      <c r="V133" s="176"/>
      <c r="W133" s="195"/>
    </row>
    <row r="134" spans="2:23" ht="13.8" x14ac:dyDescent="0.25">
      <c r="B134" s="176" t="str">
        <f>W21</f>
        <v>INDNFMFCP_N_IM</v>
      </c>
      <c r="C134" s="176" t="str">
        <f>X21</f>
        <v>Finishing Copper Production Improved</v>
      </c>
      <c r="D134" s="176" t="s">
        <v>183</v>
      </c>
      <c r="E134" s="176"/>
      <c r="F134" s="214">
        <f>G134</f>
        <v>2025</v>
      </c>
      <c r="G134" s="174">
        <v>2025</v>
      </c>
      <c r="H134" s="173">
        <v>0</v>
      </c>
      <c r="I134" s="176"/>
      <c r="J134" s="174">
        <v>1</v>
      </c>
      <c r="K134" s="328">
        <f>K124*1.2</f>
        <v>0.67200000000000004</v>
      </c>
      <c r="L134" s="328"/>
      <c r="M134" s="328"/>
      <c r="N134" s="174">
        <v>50</v>
      </c>
      <c r="U134" s="176"/>
      <c r="V134" s="176"/>
      <c r="W134" s="195"/>
    </row>
    <row r="135" spans="2:23" ht="13.8" x14ac:dyDescent="0.25">
      <c r="B135" s="176"/>
      <c r="C135" s="176"/>
      <c r="D135" s="176" t="s">
        <v>406</v>
      </c>
      <c r="E135" s="176"/>
      <c r="F135" s="214">
        <f>F134</f>
        <v>2025</v>
      </c>
      <c r="H135" s="173">
        <v>0</v>
      </c>
      <c r="N135" s="176"/>
      <c r="U135" s="176"/>
      <c r="V135" s="176"/>
      <c r="W135" s="195"/>
    </row>
    <row r="136" spans="2:23" ht="13.8" x14ac:dyDescent="0.25">
      <c r="B136" s="176"/>
      <c r="C136" s="176"/>
      <c r="D136" s="176" t="s">
        <v>265</v>
      </c>
      <c r="E136" s="176"/>
      <c r="F136" s="214">
        <f t="shared" ref="F136:F142" si="15">F135</f>
        <v>2025</v>
      </c>
      <c r="H136" s="173">
        <v>0</v>
      </c>
      <c r="U136" s="176"/>
      <c r="V136" s="176"/>
      <c r="W136" s="195"/>
    </row>
    <row r="137" spans="2:23" ht="13.8" x14ac:dyDescent="0.25">
      <c r="B137" s="176"/>
      <c r="C137" s="176"/>
      <c r="D137" s="176" t="s">
        <v>164</v>
      </c>
      <c r="E137" s="176"/>
      <c r="F137" s="214">
        <f t="shared" si="15"/>
        <v>2025</v>
      </c>
      <c r="H137" s="173">
        <v>0</v>
      </c>
      <c r="U137" s="176"/>
      <c r="V137" s="176"/>
      <c r="W137" s="195"/>
    </row>
    <row r="138" spans="2:23" ht="13.8" x14ac:dyDescent="0.25">
      <c r="B138" s="176"/>
      <c r="C138" s="176"/>
      <c r="D138" s="176" t="s">
        <v>199</v>
      </c>
      <c r="E138" s="176"/>
      <c r="F138" s="214">
        <f t="shared" si="15"/>
        <v>2025</v>
      </c>
      <c r="H138" s="173">
        <v>0</v>
      </c>
      <c r="U138" s="176"/>
      <c r="V138" s="176"/>
      <c r="W138" s="195"/>
    </row>
    <row r="139" spans="2:23" ht="13.8" x14ac:dyDescent="0.25">
      <c r="B139" s="176"/>
      <c r="C139" s="176"/>
      <c r="D139" s="176" t="s">
        <v>166</v>
      </c>
      <c r="E139" s="176"/>
      <c r="F139" s="214">
        <f t="shared" si="15"/>
        <v>2025</v>
      </c>
      <c r="H139" s="173">
        <v>0</v>
      </c>
      <c r="U139" s="176"/>
      <c r="V139" s="176"/>
      <c r="W139" s="195"/>
    </row>
    <row r="140" spans="2:23" ht="13.8" x14ac:dyDescent="0.25">
      <c r="B140" s="176"/>
      <c r="C140" s="176"/>
      <c r="D140" s="176" t="s">
        <v>144</v>
      </c>
      <c r="E140" s="176"/>
      <c r="F140" s="214">
        <f t="shared" si="15"/>
        <v>2025</v>
      </c>
      <c r="H140" s="173">
        <v>0</v>
      </c>
      <c r="U140" s="176"/>
      <c r="V140" s="176"/>
      <c r="W140" s="195"/>
    </row>
    <row r="141" spans="2:23" ht="13.8" x14ac:dyDescent="0.25">
      <c r="B141" s="176" t="str">
        <f>IF(H141=0,"*","")</f>
        <v/>
      </c>
      <c r="C141" s="176"/>
      <c r="D141" s="176" t="s">
        <v>409</v>
      </c>
      <c r="E141" s="176"/>
      <c r="F141" s="214">
        <f t="shared" si="15"/>
        <v>2025</v>
      </c>
      <c r="H141" s="173">
        <v>0.35</v>
      </c>
      <c r="U141" s="176"/>
      <c r="V141" s="176"/>
      <c r="W141" s="195"/>
    </row>
    <row r="142" spans="2:23" ht="13.8" x14ac:dyDescent="0.25">
      <c r="B142" s="176" t="str">
        <f>IF(H142=0,"*","")</f>
        <v/>
      </c>
      <c r="C142" s="176"/>
      <c r="D142" s="176" t="s">
        <v>410</v>
      </c>
      <c r="E142" s="176"/>
      <c r="F142" s="214">
        <f t="shared" si="15"/>
        <v>2025</v>
      </c>
      <c r="H142" s="173">
        <f>1-H141</f>
        <v>0.65</v>
      </c>
      <c r="U142" s="176"/>
      <c r="V142" s="176"/>
      <c r="W142" s="195"/>
    </row>
    <row r="143" spans="2:23" ht="13.8" x14ac:dyDescent="0.25">
      <c r="B143" s="219"/>
      <c r="C143" s="219"/>
      <c r="D143" s="219"/>
      <c r="E143" s="219" t="s">
        <v>414</v>
      </c>
      <c r="F143" s="220">
        <f>F141</f>
        <v>2025</v>
      </c>
      <c r="G143" s="221"/>
      <c r="H143" s="221"/>
      <c r="I143" s="221">
        <v>1</v>
      </c>
      <c r="J143" s="221"/>
      <c r="K143" s="332"/>
      <c r="L143" s="332"/>
      <c r="M143" s="332"/>
      <c r="N143" s="221"/>
      <c r="U143" s="176"/>
      <c r="V143" s="176"/>
      <c r="W143" s="195"/>
    </row>
    <row r="144" spans="2:23" ht="13.8" x14ac:dyDescent="0.25">
      <c r="B144" s="176" t="str">
        <f>W22</f>
        <v>INDNFMFCP_N_AD</v>
      </c>
      <c r="C144" s="176" t="str">
        <f>X22</f>
        <v>Finishing Copper Production Advanced</v>
      </c>
      <c r="D144" s="176" t="s">
        <v>183</v>
      </c>
      <c r="E144" s="176"/>
      <c r="F144" s="214">
        <f>G144</f>
        <v>2030</v>
      </c>
      <c r="G144" s="174">
        <v>2030</v>
      </c>
      <c r="H144" s="173">
        <v>0</v>
      </c>
      <c r="I144" s="176"/>
      <c r="J144" s="174">
        <v>1</v>
      </c>
      <c r="K144" s="328">
        <f>K124*1.5</f>
        <v>0.84000000000000008</v>
      </c>
      <c r="L144" s="328"/>
      <c r="M144" s="328"/>
      <c r="N144" s="174">
        <v>50</v>
      </c>
      <c r="U144" s="176"/>
      <c r="V144" s="176"/>
      <c r="W144" s="195"/>
    </row>
    <row r="145" spans="2:23" ht="13.8" x14ac:dyDescent="0.25">
      <c r="B145" s="176"/>
      <c r="C145" s="176"/>
      <c r="D145" s="176" t="s">
        <v>406</v>
      </c>
      <c r="E145" s="176"/>
      <c r="F145" s="214">
        <f>F144</f>
        <v>2030</v>
      </c>
      <c r="H145" s="173">
        <v>0</v>
      </c>
      <c r="N145" s="176"/>
      <c r="U145" s="176"/>
      <c r="V145" s="176"/>
      <c r="W145" s="195"/>
    </row>
    <row r="146" spans="2:23" ht="13.8" x14ac:dyDescent="0.25">
      <c r="B146" s="176"/>
      <c r="C146" s="176"/>
      <c r="D146" s="176" t="s">
        <v>265</v>
      </c>
      <c r="E146" s="176"/>
      <c r="F146" s="214">
        <f t="shared" ref="F146:F153" si="16">F145</f>
        <v>2030</v>
      </c>
      <c r="H146" s="173">
        <v>0</v>
      </c>
      <c r="U146" s="176"/>
      <c r="V146" s="176"/>
      <c r="W146" s="195"/>
    </row>
    <row r="147" spans="2:23" ht="13.8" x14ac:dyDescent="0.25">
      <c r="B147" s="176"/>
      <c r="C147" s="176"/>
      <c r="D147" s="176" t="s">
        <v>164</v>
      </c>
      <c r="E147" s="176"/>
      <c r="F147" s="214">
        <f t="shared" si="16"/>
        <v>2030</v>
      </c>
      <c r="H147" s="173">
        <v>0</v>
      </c>
      <c r="U147" s="176"/>
      <c r="V147" s="176"/>
      <c r="W147" s="195"/>
    </row>
    <row r="148" spans="2:23" ht="13.8" x14ac:dyDescent="0.25">
      <c r="B148" s="176"/>
      <c r="C148" s="176"/>
      <c r="D148" s="176" t="s">
        <v>199</v>
      </c>
      <c r="E148" s="176"/>
      <c r="F148" s="214">
        <f t="shared" si="16"/>
        <v>2030</v>
      </c>
      <c r="H148" s="173">
        <v>0</v>
      </c>
      <c r="U148" s="176"/>
      <c r="V148" s="176"/>
      <c r="W148" s="195"/>
    </row>
    <row r="149" spans="2:23" ht="13.8" x14ac:dyDescent="0.25">
      <c r="B149" s="176"/>
      <c r="C149" s="176"/>
      <c r="D149" s="176" t="s">
        <v>166</v>
      </c>
      <c r="E149" s="176"/>
      <c r="F149" s="214">
        <f t="shared" si="16"/>
        <v>2030</v>
      </c>
      <c r="H149" s="173">
        <v>0</v>
      </c>
      <c r="U149" s="176"/>
      <c r="V149" s="176"/>
      <c r="W149" s="195"/>
    </row>
    <row r="150" spans="2:23" ht="13.8" x14ac:dyDescent="0.25">
      <c r="B150" s="176"/>
      <c r="C150" s="176"/>
      <c r="D150" s="176" t="s">
        <v>144</v>
      </c>
      <c r="E150" s="176"/>
      <c r="F150" s="214">
        <f t="shared" si="16"/>
        <v>2030</v>
      </c>
      <c r="H150" s="173">
        <v>0</v>
      </c>
      <c r="U150" s="176"/>
      <c r="V150" s="176"/>
      <c r="W150" s="195"/>
    </row>
    <row r="151" spans="2:23" ht="13.8" x14ac:dyDescent="0.25">
      <c r="B151" s="176" t="str">
        <f>IF(H151=0,"*","")</f>
        <v/>
      </c>
      <c r="C151" s="176"/>
      <c r="D151" s="176" t="s">
        <v>409</v>
      </c>
      <c r="E151" s="176"/>
      <c r="F151" s="214">
        <f t="shared" si="16"/>
        <v>2030</v>
      </c>
      <c r="H151" s="173">
        <v>0.4</v>
      </c>
      <c r="U151" s="176"/>
      <c r="V151" s="176"/>
      <c r="W151" s="195"/>
    </row>
    <row r="152" spans="2:23" ht="13.8" x14ac:dyDescent="0.25">
      <c r="B152" s="176" t="str">
        <f>IF(H152=0,"*","")</f>
        <v/>
      </c>
      <c r="C152" s="176"/>
      <c r="D152" s="176" t="s">
        <v>410</v>
      </c>
      <c r="E152" s="176"/>
      <c r="F152" s="214">
        <f>F150</f>
        <v>2030</v>
      </c>
      <c r="H152" s="173">
        <f>1-H151</f>
        <v>0.6</v>
      </c>
      <c r="U152" s="176"/>
      <c r="V152" s="176"/>
      <c r="W152" s="195"/>
    </row>
    <row r="153" spans="2:23" ht="13.8" x14ac:dyDescent="0.25">
      <c r="B153" s="219"/>
      <c r="C153" s="219"/>
      <c r="D153" s="219"/>
      <c r="E153" s="219" t="s">
        <v>414</v>
      </c>
      <c r="F153" s="220">
        <f t="shared" si="16"/>
        <v>2030</v>
      </c>
      <c r="G153" s="221"/>
      <c r="H153" s="221"/>
      <c r="I153" s="221">
        <v>1</v>
      </c>
      <c r="J153" s="221"/>
      <c r="K153" s="332"/>
      <c r="L153" s="332"/>
      <c r="M153" s="332"/>
      <c r="N153" s="221"/>
      <c r="U153" s="176"/>
      <c r="V153" s="176"/>
      <c r="W153" s="195"/>
    </row>
    <row r="154" spans="2:23" ht="13.8" x14ac:dyDescent="0.25">
      <c r="U154" s="176"/>
      <c r="V154" s="176"/>
      <c r="W154" s="195"/>
    </row>
    <row r="155" spans="2:23" ht="13.8" x14ac:dyDescent="0.25">
      <c r="U155" s="176"/>
      <c r="V155" s="176"/>
      <c r="W155" s="195"/>
    </row>
    <row r="156" spans="2:23" ht="13.8" x14ac:dyDescent="0.25">
      <c r="U156" s="176"/>
      <c r="V156" s="176"/>
      <c r="W156" s="195"/>
    </row>
    <row r="157" spans="2:23" ht="13.8" x14ac:dyDescent="0.25">
      <c r="B157" s="176"/>
      <c r="C157" s="176"/>
      <c r="D157" s="176"/>
      <c r="E157" s="197"/>
      <c r="F157" s="187" t="s">
        <v>0</v>
      </c>
      <c r="G157" s="187"/>
      <c r="H157" s="198"/>
      <c r="I157" s="198"/>
      <c r="J157" s="198"/>
      <c r="K157" s="199"/>
      <c r="L157" s="199"/>
      <c r="M157" s="199"/>
      <c r="N157" s="176"/>
      <c r="U157" s="176"/>
      <c r="V157" s="176"/>
      <c r="W157" s="195"/>
    </row>
    <row r="158" spans="2:23" ht="13.8" x14ac:dyDescent="0.25">
      <c r="B158" s="200" t="s">
        <v>1</v>
      </c>
      <c r="C158" s="201" t="s">
        <v>227</v>
      </c>
      <c r="D158" s="200" t="s">
        <v>3</v>
      </c>
      <c r="E158" s="200" t="s">
        <v>4</v>
      </c>
      <c r="F158" s="202" t="s">
        <v>233</v>
      </c>
      <c r="G158" s="203" t="s">
        <v>14</v>
      </c>
      <c r="H158" s="204" t="s">
        <v>250</v>
      </c>
      <c r="I158" s="205" t="s">
        <v>273</v>
      </c>
      <c r="J158" s="204" t="s">
        <v>50</v>
      </c>
      <c r="K158" s="204" t="s">
        <v>36</v>
      </c>
      <c r="L158" s="204" t="s">
        <v>5</v>
      </c>
      <c r="M158" s="204" t="s">
        <v>34</v>
      </c>
      <c r="N158" s="204" t="s">
        <v>48</v>
      </c>
      <c r="U158" s="176"/>
      <c r="V158" s="176"/>
      <c r="W158" s="195"/>
    </row>
    <row r="159" spans="2:23" ht="28.2" thickBot="1" x14ac:dyDescent="0.3">
      <c r="B159" s="207" t="s">
        <v>234</v>
      </c>
      <c r="C159" s="207" t="s">
        <v>28</v>
      </c>
      <c r="D159" s="207" t="s">
        <v>32</v>
      </c>
      <c r="E159" s="207" t="s">
        <v>33</v>
      </c>
      <c r="F159" s="208"/>
      <c r="G159" s="209" t="s">
        <v>35</v>
      </c>
      <c r="H159" s="207" t="s">
        <v>251</v>
      </c>
      <c r="I159" s="207"/>
      <c r="J159" s="207" t="s">
        <v>329</v>
      </c>
      <c r="K159" s="207" t="s">
        <v>37</v>
      </c>
      <c r="L159" s="207" t="s">
        <v>38</v>
      </c>
      <c r="M159" s="207" t="s">
        <v>39</v>
      </c>
      <c r="N159" s="207" t="s">
        <v>218</v>
      </c>
      <c r="U159" s="176"/>
      <c r="V159" s="176"/>
      <c r="W159" s="195"/>
    </row>
    <row r="160" spans="2:23" ht="15" x14ac:dyDescent="0.25">
      <c r="B160" s="210"/>
      <c r="C160" s="211"/>
      <c r="D160" s="211"/>
      <c r="E160" s="211" t="s">
        <v>231</v>
      </c>
      <c r="F160" s="212"/>
      <c r="G160" s="211"/>
      <c r="H160" s="211" t="s">
        <v>1067</v>
      </c>
      <c r="I160" s="213" t="s">
        <v>244</v>
      </c>
      <c r="J160" s="211"/>
      <c r="K160" s="211" t="s">
        <v>1068</v>
      </c>
      <c r="L160" s="211" t="s">
        <v>1068</v>
      </c>
      <c r="M160" s="211" t="s">
        <v>1069</v>
      </c>
      <c r="N160" s="211" t="s">
        <v>40</v>
      </c>
      <c r="U160" s="176"/>
      <c r="V160" s="176"/>
      <c r="W160" s="195"/>
    </row>
    <row r="161" spans="2:23" ht="13.8" x14ac:dyDescent="0.25">
      <c r="B161" s="176" t="str">
        <f>W23</f>
        <v>INDNFMLED_N_ST</v>
      </c>
      <c r="C161" s="176" t="str">
        <f>X23</f>
        <v>Lead Production Standard</v>
      </c>
      <c r="D161" s="176" t="s">
        <v>183</v>
      </c>
      <c r="E161" s="176"/>
      <c r="F161" s="214">
        <f>G161</f>
        <v>2018</v>
      </c>
      <c r="G161" s="174">
        <v>2018</v>
      </c>
      <c r="H161" s="269">
        <f t="shared" ref="H161:H167" si="17">P161*$Q$161/1000</f>
        <v>0</v>
      </c>
      <c r="I161" s="176"/>
      <c r="J161" s="174">
        <v>1</v>
      </c>
      <c r="K161" s="224">
        <f>55*(1/0.9)/1000</f>
        <v>6.1111111111111116E-2</v>
      </c>
      <c r="L161" s="224">
        <f>2*(1/0.9)/1000</f>
        <v>2.2222222222222222E-3</v>
      </c>
      <c r="M161" s="174">
        <v>0</v>
      </c>
      <c r="N161" s="174">
        <v>50</v>
      </c>
      <c r="P161" s="165"/>
      <c r="Q161" s="330">
        <v>0.95</v>
      </c>
      <c r="U161" s="176"/>
      <c r="V161" s="176"/>
      <c r="W161" s="195"/>
    </row>
    <row r="162" spans="2:23" ht="13.8" x14ac:dyDescent="0.25">
      <c r="B162" s="176"/>
      <c r="C162" s="176"/>
      <c r="D162" s="176" t="s">
        <v>406</v>
      </c>
      <c r="E162" s="176"/>
      <c r="F162" s="214">
        <f>F161</f>
        <v>2018</v>
      </c>
      <c r="H162" s="269">
        <f t="shared" si="17"/>
        <v>0</v>
      </c>
      <c r="K162" s="224"/>
      <c r="L162" s="224"/>
      <c r="N162" s="176"/>
      <c r="P162" s="165"/>
      <c r="U162" s="176"/>
      <c r="V162" s="176"/>
      <c r="W162" s="195"/>
    </row>
    <row r="163" spans="2:23" ht="13.8" x14ac:dyDescent="0.25">
      <c r="B163" s="176"/>
      <c r="C163" s="176"/>
      <c r="D163" s="176" t="s">
        <v>265</v>
      </c>
      <c r="E163" s="176"/>
      <c r="F163" s="214">
        <f t="shared" ref="F163:F169" si="18">F162</f>
        <v>2018</v>
      </c>
      <c r="H163" s="269">
        <f t="shared" si="17"/>
        <v>9.5E-4</v>
      </c>
      <c r="K163" s="224"/>
      <c r="L163" s="224"/>
      <c r="P163" s="269">
        <v>1</v>
      </c>
      <c r="U163" s="176"/>
      <c r="V163" s="176"/>
      <c r="W163" s="195"/>
    </row>
    <row r="164" spans="2:23" ht="13.8" x14ac:dyDescent="0.25">
      <c r="B164" s="176"/>
      <c r="C164" s="176"/>
      <c r="D164" s="176" t="s">
        <v>164</v>
      </c>
      <c r="E164" s="176"/>
      <c r="F164" s="214">
        <f t="shared" si="18"/>
        <v>2018</v>
      </c>
      <c r="H164" s="269">
        <f t="shared" si="17"/>
        <v>0</v>
      </c>
      <c r="K164" s="224"/>
      <c r="L164" s="224"/>
      <c r="P164" s="269"/>
      <c r="U164" s="176"/>
      <c r="V164" s="176"/>
      <c r="W164" s="195"/>
    </row>
    <row r="165" spans="2:23" ht="13.8" x14ac:dyDescent="0.25">
      <c r="B165" s="176"/>
      <c r="C165" s="176"/>
      <c r="D165" s="176" t="s">
        <v>199</v>
      </c>
      <c r="E165" s="176"/>
      <c r="F165" s="214">
        <f t="shared" si="18"/>
        <v>2018</v>
      </c>
      <c r="H165" s="269">
        <f t="shared" si="17"/>
        <v>5.218663375721095E-3</v>
      </c>
      <c r="K165" s="224"/>
      <c r="L165" s="224"/>
      <c r="P165" s="269">
        <v>5.4933298691801005</v>
      </c>
      <c r="U165" s="176"/>
      <c r="V165" s="176"/>
      <c r="W165" s="195"/>
    </row>
    <row r="166" spans="2:23" ht="13.8" x14ac:dyDescent="0.25">
      <c r="B166" s="176"/>
      <c r="C166" s="176"/>
      <c r="D166" s="176" t="s">
        <v>141</v>
      </c>
      <c r="E166" s="176"/>
      <c r="F166" s="214">
        <f t="shared" si="18"/>
        <v>2018</v>
      </c>
      <c r="H166" s="269">
        <f t="shared" si="17"/>
        <v>8.5499999999999986E-3</v>
      </c>
      <c r="K166" s="224"/>
      <c r="L166" s="224"/>
      <c r="P166" s="324">
        <v>9</v>
      </c>
      <c r="U166" s="176"/>
      <c r="V166" s="176"/>
      <c r="W166" s="195"/>
    </row>
    <row r="167" spans="2:23" ht="13.8" x14ac:dyDescent="0.25">
      <c r="B167" s="176"/>
      <c r="C167" s="176"/>
      <c r="D167" s="176" t="s">
        <v>144</v>
      </c>
      <c r="E167" s="176"/>
      <c r="F167" s="214">
        <f t="shared" si="18"/>
        <v>2018</v>
      </c>
      <c r="H167" s="269">
        <f t="shared" si="17"/>
        <v>0</v>
      </c>
      <c r="K167" s="224"/>
      <c r="L167" s="224"/>
      <c r="P167" s="165"/>
      <c r="U167" s="176"/>
      <c r="V167" s="176"/>
      <c r="W167" s="195"/>
    </row>
    <row r="168" spans="2:23" ht="13.8" x14ac:dyDescent="0.25">
      <c r="B168" s="176"/>
      <c r="C168" s="176"/>
      <c r="D168" s="176" t="s">
        <v>411</v>
      </c>
      <c r="E168" s="176"/>
      <c r="F168" s="214">
        <f t="shared" si="18"/>
        <v>2018</v>
      </c>
      <c r="H168" s="269">
        <v>1</v>
      </c>
      <c r="K168" s="224"/>
      <c r="L168" s="224"/>
      <c r="P168" s="165">
        <v>1</v>
      </c>
      <c r="U168" s="176"/>
      <c r="V168" s="176"/>
      <c r="W168" s="195"/>
    </row>
    <row r="169" spans="2:23" ht="13.8" x14ac:dyDescent="0.25">
      <c r="B169" s="219"/>
      <c r="C169" s="219"/>
      <c r="D169" s="219"/>
      <c r="E169" s="219" t="s">
        <v>415</v>
      </c>
      <c r="F169" s="220">
        <f t="shared" si="18"/>
        <v>2018</v>
      </c>
      <c r="G169" s="221"/>
      <c r="H169" s="222"/>
      <c r="I169" s="221">
        <v>1</v>
      </c>
      <c r="J169" s="221"/>
      <c r="K169" s="225"/>
      <c r="L169" s="225"/>
      <c r="M169" s="221"/>
      <c r="N169" s="221"/>
      <c r="U169" s="176"/>
      <c r="V169" s="176"/>
      <c r="W169" s="195"/>
    </row>
    <row r="170" spans="2:23" ht="13.8" x14ac:dyDescent="0.25">
      <c r="B170" s="176" t="str">
        <f>W24</f>
        <v>INDNFMLED_N_IM</v>
      </c>
      <c r="C170" s="176" t="str">
        <f>X24</f>
        <v>Lead Production Improved</v>
      </c>
      <c r="D170" s="176" t="s">
        <v>183</v>
      </c>
      <c r="E170" s="176"/>
      <c r="F170" s="214">
        <f>G170</f>
        <v>2025</v>
      </c>
      <c r="G170" s="174">
        <v>2025</v>
      </c>
      <c r="H170" s="269">
        <v>0</v>
      </c>
      <c r="I170" s="176"/>
      <c r="J170" s="174">
        <v>1</v>
      </c>
      <c r="K170" s="224">
        <f>62.7345374558744*(1/0.9)/1000</f>
        <v>6.9705041617638228E-2</v>
      </c>
      <c r="L170" s="224">
        <f>2.28125590748634*(1/0.9)/1000</f>
        <v>2.5347287860959336E-3</v>
      </c>
      <c r="M170" s="328">
        <v>0</v>
      </c>
      <c r="N170" s="174">
        <v>50</v>
      </c>
      <c r="Q170" s="174" t="s">
        <v>1048</v>
      </c>
      <c r="U170" s="176"/>
      <c r="V170" s="176"/>
      <c r="W170" s="195"/>
    </row>
    <row r="171" spans="2:23" ht="13.8" x14ac:dyDescent="0.25">
      <c r="B171" s="176"/>
      <c r="C171" s="176"/>
      <c r="D171" s="176" t="s">
        <v>406</v>
      </c>
      <c r="E171" s="176"/>
      <c r="F171" s="214">
        <f>F170</f>
        <v>2025</v>
      </c>
      <c r="H171" s="269">
        <v>0</v>
      </c>
      <c r="K171" s="224"/>
      <c r="L171" s="224"/>
      <c r="N171" s="176"/>
      <c r="U171" s="176"/>
      <c r="V171" s="176"/>
      <c r="W171" s="195"/>
    </row>
    <row r="172" spans="2:23" ht="13.8" x14ac:dyDescent="0.25">
      <c r="B172" s="176"/>
      <c r="C172" s="176"/>
      <c r="D172" s="176" t="s">
        <v>265</v>
      </c>
      <c r="E172" s="176"/>
      <c r="F172" s="214">
        <f t="shared" ref="F172:F178" si="19">F171</f>
        <v>2025</v>
      </c>
      <c r="H172" s="269">
        <v>0</v>
      </c>
      <c r="K172" s="224"/>
      <c r="L172" s="224"/>
      <c r="U172" s="176"/>
      <c r="V172" s="176"/>
      <c r="W172" s="195"/>
    </row>
    <row r="173" spans="2:23" ht="13.8" x14ac:dyDescent="0.25">
      <c r="B173" s="176"/>
      <c r="C173" s="176"/>
      <c r="D173" s="176" t="s">
        <v>164</v>
      </c>
      <c r="E173" s="176"/>
      <c r="F173" s="214">
        <f t="shared" si="19"/>
        <v>2025</v>
      </c>
      <c r="H173" s="269">
        <f>7/1000</f>
        <v>7.0000000000000001E-3</v>
      </c>
      <c r="K173" s="224"/>
      <c r="L173" s="224"/>
      <c r="U173" s="176"/>
      <c r="V173" s="176"/>
      <c r="W173" s="195"/>
    </row>
    <row r="174" spans="2:23" ht="13.8" x14ac:dyDescent="0.25">
      <c r="B174" s="176"/>
      <c r="C174" s="176"/>
      <c r="D174" s="176" t="s">
        <v>199</v>
      </c>
      <c r="E174" s="176"/>
      <c r="F174" s="214">
        <f t="shared" si="19"/>
        <v>2025</v>
      </c>
      <c r="H174" s="269">
        <f>H165/1000</f>
        <v>5.2186633757210947E-6</v>
      </c>
      <c r="K174" s="224"/>
      <c r="L174" s="224"/>
      <c r="U174" s="176"/>
      <c r="V174" s="176"/>
      <c r="W174" s="195"/>
    </row>
    <row r="175" spans="2:23" ht="13.8" x14ac:dyDescent="0.25">
      <c r="B175" s="176"/>
      <c r="C175" s="176"/>
      <c r="D175" s="176" t="s">
        <v>141</v>
      </c>
      <c r="E175" s="176"/>
      <c r="F175" s="214">
        <f t="shared" si="19"/>
        <v>2025</v>
      </c>
      <c r="H175" s="269">
        <v>0</v>
      </c>
      <c r="K175" s="224"/>
      <c r="L175" s="224"/>
      <c r="U175" s="176"/>
      <c r="V175" s="176"/>
      <c r="W175" s="195"/>
    </row>
    <row r="176" spans="2:23" ht="13.8" x14ac:dyDescent="0.25">
      <c r="B176" s="176"/>
      <c r="C176" s="176"/>
      <c r="D176" s="176" t="s">
        <v>144</v>
      </c>
      <c r="E176" s="176"/>
      <c r="F176" s="214">
        <f t="shared" si="19"/>
        <v>2025</v>
      </c>
      <c r="H176" s="269">
        <v>0</v>
      </c>
      <c r="K176" s="224"/>
      <c r="L176" s="224"/>
      <c r="U176" s="176"/>
      <c r="V176" s="176"/>
      <c r="W176" s="195"/>
    </row>
    <row r="177" spans="2:23" ht="13.8" x14ac:dyDescent="0.25">
      <c r="B177" s="176"/>
      <c r="C177" s="176"/>
      <c r="D177" s="176" t="s">
        <v>411</v>
      </c>
      <c r="E177" s="176"/>
      <c r="F177" s="214">
        <f t="shared" si="19"/>
        <v>2025</v>
      </c>
      <c r="H177" s="269">
        <v>1</v>
      </c>
      <c r="K177" s="224"/>
      <c r="L177" s="224"/>
      <c r="U177" s="176"/>
      <c r="V177" s="176"/>
      <c r="W177" s="195"/>
    </row>
    <row r="178" spans="2:23" ht="13.8" x14ac:dyDescent="0.25">
      <c r="B178" s="219"/>
      <c r="C178" s="219"/>
      <c r="D178" s="219"/>
      <c r="E178" s="219" t="s">
        <v>415</v>
      </c>
      <c r="F178" s="220">
        <f t="shared" si="19"/>
        <v>2025</v>
      </c>
      <c r="G178" s="221"/>
      <c r="H178" s="222"/>
      <c r="I178" s="221">
        <v>1</v>
      </c>
      <c r="J178" s="221"/>
      <c r="K178" s="225"/>
      <c r="L178" s="225"/>
      <c r="M178" s="221"/>
      <c r="N178" s="221"/>
      <c r="U178" s="176"/>
      <c r="V178" s="176"/>
      <c r="W178" s="195"/>
    </row>
    <row r="179" spans="2:23" ht="13.8" x14ac:dyDescent="0.25">
      <c r="B179" s="176" t="str">
        <f>W25</f>
        <v>INDNFMLED_N_AD</v>
      </c>
      <c r="C179" s="176" t="str">
        <f>X25</f>
        <v>Lead Production Advanced</v>
      </c>
      <c r="D179" s="176" t="s">
        <v>183</v>
      </c>
      <c r="E179" s="176"/>
      <c r="F179" s="214">
        <f>G179</f>
        <v>2030</v>
      </c>
      <c r="G179" s="174">
        <v>2030</v>
      </c>
      <c r="H179" s="269">
        <v>0</v>
      </c>
      <c r="I179" s="176"/>
      <c r="J179" s="174">
        <v>1</v>
      </c>
      <c r="K179" s="224">
        <f>72.0540324112616*(1/0.9)/1000</f>
        <v>8.0060036012512895E-2</v>
      </c>
      <c r="L179" s="224">
        <f>2.62014663313678*(1/0.9)/1000</f>
        <v>2.9112740368186446E-3</v>
      </c>
      <c r="M179" s="328">
        <v>0</v>
      </c>
      <c r="N179" s="174">
        <v>50</v>
      </c>
      <c r="U179" s="176"/>
      <c r="V179" s="176"/>
      <c r="W179" s="195"/>
    </row>
    <row r="180" spans="2:23" ht="13.8" x14ac:dyDescent="0.25">
      <c r="B180" s="176"/>
      <c r="C180" s="176"/>
      <c r="D180" s="176" t="s">
        <v>406</v>
      </c>
      <c r="E180" s="176"/>
      <c r="F180" s="214">
        <f>F179</f>
        <v>2030</v>
      </c>
      <c r="H180" s="269">
        <v>0</v>
      </c>
      <c r="K180" s="224"/>
      <c r="L180" s="224"/>
      <c r="N180" s="176"/>
      <c r="U180" s="176"/>
      <c r="V180" s="176"/>
      <c r="W180" s="195"/>
    </row>
    <row r="181" spans="2:23" ht="13.8" x14ac:dyDescent="0.25">
      <c r="B181" s="176"/>
      <c r="C181" s="176"/>
      <c r="D181" s="176" t="s">
        <v>265</v>
      </c>
      <c r="E181" s="176"/>
      <c r="F181" s="214">
        <f t="shared" ref="F181:F187" si="20">F180</f>
        <v>2030</v>
      </c>
      <c r="H181" s="269">
        <v>0</v>
      </c>
      <c r="K181" s="224"/>
      <c r="L181" s="224"/>
      <c r="U181" s="176"/>
      <c r="V181" s="176"/>
      <c r="W181" s="195"/>
    </row>
    <row r="182" spans="2:23" ht="13.8" x14ac:dyDescent="0.25">
      <c r="B182" s="176"/>
      <c r="C182" s="176"/>
      <c r="D182" s="176" t="s">
        <v>164</v>
      </c>
      <c r="E182" s="176"/>
      <c r="F182" s="214">
        <f t="shared" si="20"/>
        <v>2030</v>
      </c>
      <c r="H182" s="269">
        <f>2/1000</f>
        <v>2E-3</v>
      </c>
      <c r="K182" s="224"/>
      <c r="L182" s="224"/>
      <c r="U182" s="176"/>
      <c r="V182" s="176"/>
      <c r="W182" s="195"/>
    </row>
    <row r="183" spans="2:23" ht="13.8" x14ac:dyDescent="0.25">
      <c r="B183" s="176"/>
      <c r="C183" s="176"/>
      <c r="D183" s="176" t="s">
        <v>199</v>
      </c>
      <c r="E183" s="176"/>
      <c r="F183" s="214">
        <f t="shared" si="20"/>
        <v>2030</v>
      </c>
      <c r="H183" s="269">
        <f>10/1000</f>
        <v>0.01</v>
      </c>
      <c r="Q183" s="174" t="s">
        <v>1049</v>
      </c>
      <c r="U183" s="176"/>
      <c r="V183" s="176"/>
      <c r="W183" s="195"/>
    </row>
    <row r="184" spans="2:23" ht="13.8" x14ac:dyDescent="0.25">
      <c r="B184" s="176"/>
      <c r="C184" s="176"/>
      <c r="D184" s="176" t="s">
        <v>141</v>
      </c>
      <c r="E184" s="176"/>
      <c r="F184" s="214">
        <f t="shared" si="20"/>
        <v>2030</v>
      </c>
      <c r="H184" s="269">
        <v>0</v>
      </c>
      <c r="U184" s="176"/>
      <c r="V184" s="176"/>
      <c r="W184" s="195"/>
    </row>
    <row r="185" spans="2:23" ht="13.8" x14ac:dyDescent="0.25">
      <c r="B185" s="176"/>
      <c r="C185" s="176"/>
      <c r="D185" s="176" t="s">
        <v>144</v>
      </c>
      <c r="E185" s="176"/>
      <c r="F185" s="214">
        <f t="shared" si="20"/>
        <v>2030</v>
      </c>
      <c r="H185" s="269">
        <v>0</v>
      </c>
      <c r="U185" s="176"/>
      <c r="V185" s="176"/>
      <c r="W185" s="195"/>
    </row>
    <row r="186" spans="2:23" ht="13.8" x14ac:dyDescent="0.25">
      <c r="B186" s="176"/>
      <c r="C186" s="176"/>
      <c r="D186" s="176" t="s">
        <v>411</v>
      </c>
      <c r="E186" s="176"/>
      <c r="F186" s="214">
        <f t="shared" si="20"/>
        <v>2030</v>
      </c>
      <c r="H186" s="269">
        <v>1</v>
      </c>
      <c r="U186" s="176"/>
      <c r="V186" s="176"/>
      <c r="W186" s="195"/>
    </row>
    <row r="187" spans="2:23" ht="13.8" x14ac:dyDescent="0.25">
      <c r="B187" s="219"/>
      <c r="C187" s="219"/>
      <c r="D187" s="219"/>
      <c r="E187" s="219" t="s">
        <v>415</v>
      </c>
      <c r="F187" s="220">
        <f t="shared" si="20"/>
        <v>2030</v>
      </c>
      <c r="G187" s="221"/>
      <c r="H187" s="221"/>
      <c r="I187" s="221">
        <v>1</v>
      </c>
      <c r="J187" s="221"/>
      <c r="K187" s="221"/>
      <c r="L187" s="221"/>
      <c r="M187" s="221"/>
      <c r="N187" s="221"/>
      <c r="U187" s="176"/>
      <c r="V187" s="176"/>
      <c r="W187" s="195"/>
    </row>
    <row r="188" spans="2:23" ht="13.8" x14ac:dyDescent="0.25">
      <c r="U188" s="176"/>
      <c r="V188" s="176"/>
      <c r="W188" s="195"/>
    </row>
    <row r="189" spans="2:23" ht="13.8" x14ac:dyDescent="0.25">
      <c r="U189" s="176"/>
      <c r="V189" s="176"/>
      <c r="W189" s="195"/>
    </row>
    <row r="190" spans="2:23" ht="13.8" x14ac:dyDescent="0.25">
      <c r="U190" s="176"/>
      <c r="V190" s="176"/>
      <c r="W190" s="195"/>
    </row>
    <row r="191" spans="2:23" ht="13.8" x14ac:dyDescent="0.25">
      <c r="B191" s="176"/>
      <c r="C191" s="176"/>
      <c r="D191" s="176"/>
      <c r="E191" s="197"/>
      <c r="F191" s="187" t="s">
        <v>0</v>
      </c>
      <c r="G191" s="187"/>
      <c r="H191" s="198"/>
      <c r="I191" s="198"/>
      <c r="J191" s="198"/>
      <c r="K191" s="199"/>
      <c r="L191" s="199"/>
      <c r="M191" s="199"/>
      <c r="N191" s="176"/>
      <c r="U191" s="176"/>
      <c r="V191" s="176"/>
      <c r="W191" s="195"/>
    </row>
    <row r="192" spans="2:23" ht="13.8" x14ac:dyDescent="0.25">
      <c r="B192" s="200" t="s">
        <v>1</v>
      </c>
      <c r="C192" s="201" t="s">
        <v>227</v>
      </c>
      <c r="D192" s="200" t="s">
        <v>3</v>
      </c>
      <c r="E192" s="200" t="s">
        <v>4</v>
      </c>
      <c r="F192" s="202" t="s">
        <v>233</v>
      </c>
      <c r="G192" s="203" t="s">
        <v>14</v>
      </c>
      <c r="H192" s="204" t="s">
        <v>250</v>
      </c>
      <c r="I192" s="205" t="s">
        <v>273</v>
      </c>
      <c r="J192" s="204" t="s">
        <v>50</v>
      </c>
      <c r="K192" s="204" t="s">
        <v>36</v>
      </c>
      <c r="L192" s="204" t="s">
        <v>5</v>
      </c>
      <c r="M192" s="204" t="s">
        <v>34</v>
      </c>
      <c r="N192" s="204" t="s">
        <v>48</v>
      </c>
      <c r="U192" s="176"/>
      <c r="V192" s="176"/>
      <c r="W192" s="195"/>
    </row>
    <row r="193" spans="2:23" ht="28.2" thickBot="1" x14ac:dyDescent="0.3">
      <c r="B193" s="207" t="s">
        <v>234</v>
      </c>
      <c r="C193" s="207" t="s">
        <v>28</v>
      </c>
      <c r="D193" s="207" t="s">
        <v>32</v>
      </c>
      <c r="E193" s="207" t="s">
        <v>33</v>
      </c>
      <c r="F193" s="208"/>
      <c r="G193" s="209" t="s">
        <v>35</v>
      </c>
      <c r="H193" s="207" t="s">
        <v>251</v>
      </c>
      <c r="I193" s="207"/>
      <c r="J193" s="207" t="s">
        <v>329</v>
      </c>
      <c r="K193" s="207" t="s">
        <v>37</v>
      </c>
      <c r="L193" s="207" t="s">
        <v>38</v>
      </c>
      <c r="M193" s="207" t="s">
        <v>39</v>
      </c>
      <c r="N193" s="207" t="s">
        <v>218</v>
      </c>
      <c r="U193" s="176"/>
      <c r="V193" s="176"/>
      <c r="W193" s="195"/>
    </row>
    <row r="194" spans="2:23" ht="15" x14ac:dyDescent="0.25">
      <c r="B194" s="210"/>
      <c r="C194" s="211"/>
      <c r="D194" s="211"/>
      <c r="E194" s="211" t="s">
        <v>231</v>
      </c>
      <c r="F194" s="212"/>
      <c r="G194" s="211"/>
      <c r="H194" s="211" t="s">
        <v>1067</v>
      </c>
      <c r="I194" s="213" t="s">
        <v>244</v>
      </c>
      <c r="J194" s="211"/>
      <c r="K194" s="211" t="s">
        <v>1068</v>
      </c>
      <c r="L194" s="211" t="s">
        <v>1068</v>
      </c>
      <c r="M194" s="211" t="s">
        <v>1069</v>
      </c>
      <c r="N194" s="211" t="s">
        <v>40</v>
      </c>
      <c r="U194" s="176"/>
      <c r="V194" s="176"/>
      <c r="W194" s="195"/>
    </row>
    <row r="195" spans="2:23" ht="13.8" x14ac:dyDescent="0.25">
      <c r="B195" s="176" t="str">
        <f>W26</f>
        <v>INDNFMZNC_N_ST</v>
      </c>
      <c r="C195" s="176" t="str">
        <f>X26</f>
        <v>Zinc Production Standard</v>
      </c>
      <c r="D195" s="176" t="s">
        <v>183</v>
      </c>
      <c r="E195" s="176"/>
      <c r="F195" s="214">
        <f>G195</f>
        <v>2018</v>
      </c>
      <c r="G195" s="174">
        <v>2018</v>
      </c>
      <c r="H195" s="173">
        <v>0</v>
      </c>
      <c r="I195" s="176"/>
      <c r="J195" s="174">
        <v>1</v>
      </c>
      <c r="K195" s="251">
        <f>70*(1/0.9)/1000</f>
        <v>7.7777777777777779E-2</v>
      </c>
      <c r="L195" s="251">
        <f>2*(1/0.9)/1000</f>
        <v>2.2222222222222222E-3</v>
      </c>
      <c r="M195" s="174">
        <v>0</v>
      </c>
      <c r="N195" s="174">
        <v>50</v>
      </c>
      <c r="U195" s="176"/>
      <c r="V195" s="176"/>
      <c r="W195" s="195"/>
    </row>
    <row r="196" spans="2:23" ht="13.8" x14ac:dyDescent="0.25">
      <c r="B196" s="176"/>
      <c r="C196" s="176"/>
      <c r="D196" s="176" t="s">
        <v>406</v>
      </c>
      <c r="E196" s="176"/>
      <c r="F196" s="214">
        <f>F195</f>
        <v>2018</v>
      </c>
      <c r="H196" s="269">
        <v>0</v>
      </c>
      <c r="N196" s="176"/>
      <c r="U196" s="176"/>
      <c r="V196" s="176"/>
      <c r="W196" s="195"/>
    </row>
    <row r="197" spans="2:23" ht="13.8" x14ac:dyDescent="0.25">
      <c r="B197" s="176"/>
      <c r="C197" s="176"/>
      <c r="D197" s="176" t="s">
        <v>265</v>
      </c>
      <c r="E197" s="176"/>
      <c r="F197" s="214">
        <f t="shared" ref="F197:F203" si="21">F196</f>
        <v>2018</v>
      </c>
      <c r="H197" s="269">
        <v>0</v>
      </c>
      <c r="U197" s="176"/>
      <c r="V197" s="176"/>
      <c r="W197" s="195"/>
    </row>
    <row r="198" spans="2:23" ht="13.8" x14ac:dyDescent="0.25">
      <c r="B198" s="176"/>
      <c r="C198" s="176"/>
      <c r="D198" s="176" t="s">
        <v>164</v>
      </c>
      <c r="E198" s="176"/>
      <c r="F198" s="214">
        <f t="shared" si="21"/>
        <v>2018</v>
      </c>
      <c r="H198" s="269">
        <v>0</v>
      </c>
      <c r="U198" s="176"/>
      <c r="V198" s="176"/>
      <c r="W198" s="195"/>
    </row>
    <row r="199" spans="2:23" ht="13.8" x14ac:dyDescent="0.25">
      <c r="B199" s="176"/>
      <c r="C199" s="176"/>
      <c r="D199" s="176" t="s">
        <v>199</v>
      </c>
      <c r="E199" s="176"/>
      <c r="F199" s="214">
        <f t="shared" si="21"/>
        <v>2018</v>
      </c>
      <c r="H199" s="269">
        <f>12.6/1000</f>
        <v>1.26E-2</v>
      </c>
      <c r="U199" s="176"/>
      <c r="V199" s="176"/>
      <c r="W199" s="195"/>
    </row>
    <row r="200" spans="2:23" ht="13.8" x14ac:dyDescent="0.25">
      <c r="B200" s="176"/>
      <c r="C200" s="176"/>
      <c r="D200" s="176" t="s">
        <v>141</v>
      </c>
      <c r="E200" s="176"/>
      <c r="F200" s="214">
        <f t="shared" si="21"/>
        <v>2018</v>
      </c>
      <c r="H200" s="269">
        <v>0</v>
      </c>
      <c r="U200" s="176"/>
      <c r="V200" s="176"/>
      <c r="W200" s="195"/>
    </row>
    <row r="201" spans="2:23" ht="13.8" x14ac:dyDescent="0.25">
      <c r="B201" s="176"/>
      <c r="C201" s="176"/>
      <c r="D201" s="176" t="s">
        <v>144</v>
      </c>
      <c r="E201" s="176"/>
      <c r="F201" s="214">
        <f t="shared" si="21"/>
        <v>2018</v>
      </c>
      <c r="H201" s="269">
        <v>0</v>
      </c>
      <c r="U201" s="176"/>
      <c r="V201" s="176"/>
      <c r="W201" s="195"/>
    </row>
    <row r="202" spans="2:23" ht="13.8" x14ac:dyDescent="0.25">
      <c r="B202" s="176"/>
      <c r="C202" s="176"/>
      <c r="D202" s="176" t="s">
        <v>412</v>
      </c>
      <c r="E202" s="176"/>
      <c r="F202" s="214">
        <f t="shared" si="21"/>
        <v>2018</v>
      </c>
      <c r="H202" s="269">
        <v>1</v>
      </c>
      <c r="U202" s="176"/>
      <c r="V202" s="176"/>
      <c r="W202" s="195"/>
    </row>
    <row r="203" spans="2:23" ht="13.8" x14ac:dyDescent="0.25">
      <c r="B203" s="219"/>
      <c r="C203" s="219"/>
      <c r="D203" s="219"/>
      <c r="E203" s="219" t="s">
        <v>416</v>
      </c>
      <c r="F203" s="220">
        <f t="shared" si="21"/>
        <v>2018</v>
      </c>
      <c r="G203" s="221"/>
      <c r="H203" s="222"/>
      <c r="I203" s="221">
        <v>1</v>
      </c>
      <c r="J203" s="221"/>
      <c r="K203" s="221"/>
      <c r="L203" s="221"/>
      <c r="M203" s="221"/>
      <c r="N203" s="221"/>
      <c r="U203" s="176"/>
      <c r="V203" s="176"/>
      <c r="W203" s="195"/>
    </row>
    <row r="204" spans="2:23" ht="13.8" x14ac:dyDescent="0.25">
      <c r="B204" s="176" t="str">
        <f>W27</f>
        <v>INDNFMZNC_N_IM</v>
      </c>
      <c r="C204" s="176" t="str">
        <f>X27</f>
        <v>Zinc Production Improved</v>
      </c>
      <c r="D204" s="176" t="s">
        <v>183</v>
      </c>
      <c r="E204" s="176"/>
      <c r="F204" s="214">
        <f>G204</f>
        <v>2025</v>
      </c>
      <c r="G204" s="174">
        <v>2025</v>
      </c>
      <c r="H204" s="269">
        <v>0</v>
      </c>
      <c r="I204" s="176"/>
      <c r="J204" s="174">
        <v>1</v>
      </c>
      <c r="K204" s="333">
        <f>79.843956762022*(1/0.9)/1000</f>
        <v>8.8715507513357772E-2</v>
      </c>
      <c r="L204" s="333">
        <f>2.28125590748634*(1/0.9)/1000</f>
        <v>2.5347287860959336E-3</v>
      </c>
      <c r="M204" s="328">
        <v>0</v>
      </c>
      <c r="N204" s="174">
        <v>50</v>
      </c>
      <c r="U204" s="176"/>
      <c r="V204" s="176"/>
      <c r="W204" s="195"/>
    </row>
    <row r="205" spans="2:23" ht="13.8" x14ac:dyDescent="0.25">
      <c r="B205" s="176"/>
      <c r="C205" s="176"/>
      <c r="D205" s="176" t="s">
        <v>406</v>
      </c>
      <c r="E205" s="176"/>
      <c r="F205" s="214">
        <f>F204</f>
        <v>2025</v>
      </c>
      <c r="H205" s="269">
        <v>0</v>
      </c>
      <c r="K205" s="333"/>
      <c r="L205" s="333"/>
      <c r="N205" s="176"/>
      <c r="U205" s="176"/>
      <c r="V205" s="176"/>
      <c r="W205" s="195"/>
    </row>
    <row r="206" spans="2:23" ht="13.8" x14ac:dyDescent="0.25">
      <c r="B206" s="176"/>
      <c r="C206" s="176"/>
      <c r="D206" s="176" t="s">
        <v>265</v>
      </c>
      <c r="E206" s="176"/>
      <c r="F206" s="214">
        <f t="shared" ref="F206:F212" si="22">F205</f>
        <v>2025</v>
      </c>
      <c r="H206" s="269">
        <v>0</v>
      </c>
      <c r="K206" s="333"/>
      <c r="L206" s="333"/>
      <c r="U206" s="176"/>
      <c r="V206" s="176"/>
      <c r="W206" s="195"/>
    </row>
    <row r="207" spans="2:23" ht="13.8" x14ac:dyDescent="0.25">
      <c r="B207" s="176"/>
      <c r="C207" s="176"/>
      <c r="D207" s="176" t="s">
        <v>164</v>
      </c>
      <c r="E207" s="176"/>
      <c r="F207" s="214">
        <f t="shared" si="22"/>
        <v>2025</v>
      </c>
      <c r="H207" s="269">
        <v>0</v>
      </c>
      <c r="K207" s="333"/>
      <c r="L207" s="333"/>
      <c r="U207" s="176"/>
      <c r="V207" s="176"/>
      <c r="W207" s="195"/>
    </row>
    <row r="208" spans="2:23" ht="13.8" x14ac:dyDescent="0.25">
      <c r="B208" s="176"/>
      <c r="C208" s="176"/>
      <c r="D208" s="176" t="s">
        <v>199</v>
      </c>
      <c r="E208" s="176"/>
      <c r="F208" s="214">
        <f t="shared" si="22"/>
        <v>2025</v>
      </c>
      <c r="H208" s="269">
        <f>H199*$Q$208/1000</f>
        <v>1.1969999999999999E-5</v>
      </c>
      <c r="K208" s="333"/>
      <c r="L208" s="333"/>
      <c r="Q208" s="330">
        <v>0.95</v>
      </c>
      <c r="U208" s="176"/>
      <c r="V208" s="176"/>
      <c r="W208" s="195"/>
    </row>
    <row r="209" spans="2:23" ht="13.8" x14ac:dyDescent="0.25">
      <c r="B209" s="176"/>
      <c r="C209" s="176"/>
      <c r="D209" s="176" t="s">
        <v>141</v>
      </c>
      <c r="E209" s="176"/>
      <c r="F209" s="214">
        <f t="shared" si="22"/>
        <v>2025</v>
      </c>
      <c r="H209" s="269">
        <v>0</v>
      </c>
      <c r="K209" s="333"/>
      <c r="L209" s="333"/>
      <c r="U209" s="176"/>
      <c r="V209" s="176"/>
      <c r="W209" s="195"/>
    </row>
    <row r="210" spans="2:23" ht="13.8" x14ac:dyDescent="0.25">
      <c r="B210" s="176"/>
      <c r="C210" s="176"/>
      <c r="D210" s="176" t="s">
        <v>144</v>
      </c>
      <c r="E210" s="176"/>
      <c r="F210" s="214">
        <f t="shared" si="22"/>
        <v>2025</v>
      </c>
      <c r="H210" s="269">
        <v>0</v>
      </c>
      <c r="K210" s="333"/>
      <c r="L210" s="333"/>
      <c r="U210" s="176"/>
      <c r="V210" s="176"/>
      <c r="W210" s="195"/>
    </row>
    <row r="211" spans="2:23" ht="13.8" x14ac:dyDescent="0.25">
      <c r="B211" s="176"/>
      <c r="C211" s="176"/>
      <c r="D211" s="176" t="s">
        <v>412</v>
      </c>
      <c r="E211" s="176"/>
      <c r="F211" s="214">
        <f t="shared" si="22"/>
        <v>2025</v>
      </c>
      <c r="H211" s="269">
        <v>1</v>
      </c>
      <c r="K211" s="333"/>
      <c r="L211" s="333"/>
      <c r="U211" s="176"/>
      <c r="V211" s="176"/>
      <c r="W211" s="195"/>
    </row>
    <row r="212" spans="2:23" ht="13.8" x14ac:dyDescent="0.25">
      <c r="B212" s="219"/>
      <c r="C212" s="219"/>
      <c r="D212" s="219"/>
      <c r="E212" s="219" t="s">
        <v>416</v>
      </c>
      <c r="F212" s="220">
        <f t="shared" si="22"/>
        <v>2025</v>
      </c>
      <c r="G212" s="221"/>
      <c r="H212" s="222"/>
      <c r="I212" s="221">
        <v>1</v>
      </c>
      <c r="J212" s="221"/>
      <c r="K212" s="334"/>
      <c r="L212" s="334"/>
      <c r="M212" s="221"/>
      <c r="N212" s="221"/>
      <c r="U212" s="176"/>
      <c r="V212" s="176"/>
      <c r="W212" s="195"/>
    </row>
    <row r="213" spans="2:23" ht="13.8" x14ac:dyDescent="0.25">
      <c r="B213" s="176" t="str">
        <f>W28</f>
        <v>INDNFMZNC_N_AD</v>
      </c>
      <c r="C213" s="176" t="str">
        <f>X28</f>
        <v>Zinc Production Advanced</v>
      </c>
      <c r="D213" s="176" t="s">
        <v>183</v>
      </c>
      <c r="E213" s="176"/>
      <c r="F213" s="214">
        <f>G213</f>
        <v>2030</v>
      </c>
      <c r="G213" s="174">
        <v>2030</v>
      </c>
      <c r="H213" s="269">
        <v>0</v>
      </c>
      <c r="I213" s="176"/>
      <c r="J213" s="174">
        <v>1</v>
      </c>
      <c r="K213" s="333">
        <f>91.7051321597874*(1/0.9)/1000</f>
        <v>0.10189459128865266</v>
      </c>
      <c r="L213" s="333">
        <f>2.62014663313678*(1/0.9)/1000</f>
        <v>2.9112740368186446E-3</v>
      </c>
      <c r="M213" s="328">
        <v>0</v>
      </c>
      <c r="N213" s="174">
        <v>50</v>
      </c>
      <c r="U213" s="176"/>
      <c r="V213" s="176"/>
      <c r="W213" s="195"/>
    </row>
    <row r="214" spans="2:23" ht="13.8" x14ac:dyDescent="0.25">
      <c r="B214" s="176"/>
      <c r="C214" s="176"/>
      <c r="D214" s="176" t="s">
        <v>406</v>
      </c>
      <c r="E214" s="176"/>
      <c r="F214" s="214">
        <f>F213</f>
        <v>2030</v>
      </c>
      <c r="H214" s="269">
        <v>0</v>
      </c>
      <c r="N214" s="176"/>
      <c r="U214" s="176"/>
      <c r="V214" s="176"/>
      <c r="W214" s="195"/>
    </row>
    <row r="215" spans="2:23" ht="13.8" x14ac:dyDescent="0.25">
      <c r="B215" s="176"/>
      <c r="C215" s="176"/>
      <c r="D215" s="176" t="s">
        <v>265</v>
      </c>
      <c r="E215" s="176"/>
      <c r="F215" s="214">
        <f t="shared" ref="F215:F221" si="23">F214</f>
        <v>2030</v>
      </c>
      <c r="H215" s="269">
        <v>0</v>
      </c>
      <c r="U215" s="176"/>
      <c r="V215" s="176"/>
      <c r="W215" s="195"/>
    </row>
    <row r="216" spans="2:23" ht="13.8" x14ac:dyDescent="0.25">
      <c r="B216" s="176"/>
      <c r="C216" s="176"/>
      <c r="D216" s="176" t="s">
        <v>164</v>
      </c>
      <c r="E216" s="176"/>
      <c r="F216" s="214">
        <f t="shared" si="23"/>
        <v>2030</v>
      </c>
      <c r="H216" s="269">
        <v>0</v>
      </c>
      <c r="U216" s="176"/>
      <c r="V216" s="176"/>
      <c r="W216" s="195"/>
    </row>
    <row r="217" spans="2:23" ht="13.8" x14ac:dyDescent="0.25">
      <c r="B217" s="176"/>
      <c r="C217" s="176"/>
      <c r="D217" s="176" t="s">
        <v>199</v>
      </c>
      <c r="E217" s="176"/>
      <c r="F217" s="214">
        <f t="shared" si="23"/>
        <v>2030</v>
      </c>
      <c r="H217" s="269">
        <f>H199*$Q$217/1000</f>
        <v>1.1340000000000002E-5</v>
      </c>
      <c r="Q217" s="330">
        <v>0.9</v>
      </c>
      <c r="U217" s="176"/>
      <c r="V217" s="176"/>
      <c r="W217" s="195"/>
    </row>
    <row r="218" spans="2:23" ht="13.8" x14ac:dyDescent="0.25">
      <c r="B218" s="176"/>
      <c r="C218" s="176"/>
      <c r="D218" s="176" t="s">
        <v>141</v>
      </c>
      <c r="E218" s="176"/>
      <c r="F218" s="214">
        <f t="shared" si="23"/>
        <v>2030</v>
      </c>
      <c r="H218" s="269">
        <v>0</v>
      </c>
      <c r="U218" s="176"/>
      <c r="V218" s="176"/>
      <c r="W218" s="195"/>
    </row>
    <row r="219" spans="2:23" ht="13.8" x14ac:dyDescent="0.25">
      <c r="B219" s="176"/>
      <c r="C219" s="176"/>
      <c r="D219" s="176" t="s">
        <v>144</v>
      </c>
      <c r="E219" s="176"/>
      <c r="F219" s="214">
        <f t="shared" si="23"/>
        <v>2030</v>
      </c>
      <c r="H219" s="269">
        <v>0</v>
      </c>
      <c r="U219" s="176"/>
      <c r="V219" s="176"/>
      <c r="W219" s="195"/>
    </row>
    <row r="220" spans="2:23" ht="13.8" x14ac:dyDescent="0.25">
      <c r="B220" s="176"/>
      <c r="C220" s="176"/>
      <c r="D220" s="176" t="s">
        <v>412</v>
      </c>
      <c r="E220" s="176"/>
      <c r="F220" s="214">
        <f t="shared" si="23"/>
        <v>2030</v>
      </c>
      <c r="H220" s="269">
        <v>1</v>
      </c>
      <c r="U220" s="176"/>
      <c r="V220" s="176"/>
      <c r="W220" s="195"/>
    </row>
    <row r="221" spans="2:23" ht="13.8" x14ac:dyDescent="0.25">
      <c r="B221" s="219"/>
      <c r="C221" s="219"/>
      <c r="D221" s="219"/>
      <c r="E221" s="219" t="s">
        <v>416</v>
      </c>
      <c r="F221" s="220">
        <f t="shared" si="23"/>
        <v>2030</v>
      </c>
      <c r="G221" s="221"/>
      <c r="H221" s="221"/>
      <c r="I221" s="221">
        <v>1</v>
      </c>
      <c r="J221" s="221"/>
      <c r="K221" s="221"/>
      <c r="L221" s="221"/>
      <c r="M221" s="221"/>
      <c r="N221" s="221"/>
      <c r="U221" s="176"/>
      <c r="V221" s="176"/>
      <c r="W221" s="195"/>
    </row>
    <row r="222" spans="2:23" ht="13.8" x14ac:dyDescent="0.25">
      <c r="U222" s="176"/>
      <c r="V222" s="176"/>
      <c r="W222" s="195"/>
    </row>
    <row r="223" spans="2:23" ht="13.8" x14ac:dyDescent="0.25">
      <c r="U223" s="176"/>
      <c r="V223" s="176"/>
      <c r="W223" s="195"/>
    </row>
    <row r="224" spans="2:23" ht="13.8" x14ac:dyDescent="0.25">
      <c r="U224" s="176"/>
      <c r="V224" s="176"/>
      <c r="W224" s="195"/>
    </row>
    <row r="225" spans="2:23" ht="13.8" x14ac:dyDescent="0.25">
      <c r="B225" s="176"/>
      <c r="C225" s="176"/>
      <c r="D225" s="176"/>
      <c r="E225" s="197"/>
      <c r="F225" s="187" t="s">
        <v>0</v>
      </c>
      <c r="G225" s="187"/>
      <c r="H225" s="198"/>
      <c r="I225" s="198"/>
      <c r="J225" s="198"/>
      <c r="K225" s="199"/>
      <c r="L225" s="199"/>
      <c r="M225" s="199"/>
      <c r="N225" s="176"/>
      <c r="U225" s="176"/>
      <c r="V225" s="176"/>
      <c r="W225" s="195"/>
    </row>
    <row r="226" spans="2:23" ht="13.8" x14ac:dyDescent="0.25">
      <c r="B226" s="200" t="s">
        <v>1</v>
      </c>
      <c r="C226" s="201" t="s">
        <v>227</v>
      </c>
      <c r="D226" s="200" t="s">
        <v>3</v>
      </c>
      <c r="E226" s="200" t="s">
        <v>4</v>
      </c>
      <c r="F226" s="202" t="s">
        <v>233</v>
      </c>
      <c r="G226" s="203" t="s">
        <v>14</v>
      </c>
      <c r="H226" s="204" t="s">
        <v>250</v>
      </c>
      <c r="I226" s="205" t="s">
        <v>273</v>
      </c>
      <c r="J226" s="204" t="s">
        <v>50</v>
      </c>
      <c r="K226" s="204" t="s">
        <v>36</v>
      </c>
      <c r="L226" s="204" t="s">
        <v>5</v>
      </c>
      <c r="M226" s="204" t="s">
        <v>34</v>
      </c>
      <c r="N226" s="204" t="s">
        <v>48</v>
      </c>
      <c r="U226" s="176"/>
      <c r="V226" s="176"/>
      <c r="W226" s="195"/>
    </row>
    <row r="227" spans="2:23" ht="28.2" thickBot="1" x14ac:dyDescent="0.3">
      <c r="B227" s="207" t="s">
        <v>234</v>
      </c>
      <c r="C227" s="207" t="s">
        <v>28</v>
      </c>
      <c r="D227" s="207" t="s">
        <v>32</v>
      </c>
      <c r="E227" s="207" t="s">
        <v>33</v>
      </c>
      <c r="F227" s="208"/>
      <c r="G227" s="209" t="s">
        <v>35</v>
      </c>
      <c r="H227" s="207" t="s">
        <v>251</v>
      </c>
      <c r="I227" s="207"/>
      <c r="J227" s="207" t="s">
        <v>329</v>
      </c>
      <c r="K227" s="207" t="s">
        <v>37</v>
      </c>
      <c r="L227" s="207" t="s">
        <v>38</v>
      </c>
      <c r="M227" s="207" t="s">
        <v>39</v>
      </c>
      <c r="N227" s="207" t="s">
        <v>218</v>
      </c>
      <c r="U227" s="176"/>
      <c r="V227" s="176"/>
      <c r="W227" s="195"/>
    </row>
    <row r="228" spans="2:23" ht="15" x14ac:dyDescent="0.25">
      <c r="B228" s="210"/>
      <c r="C228" s="211"/>
      <c r="D228" s="211"/>
      <c r="E228" s="211" t="s">
        <v>231</v>
      </c>
      <c r="F228" s="212"/>
      <c r="G228" s="211"/>
      <c r="H228" s="211" t="s">
        <v>1067</v>
      </c>
      <c r="I228" s="213" t="s">
        <v>244</v>
      </c>
      <c r="J228" s="211"/>
      <c r="K228" s="211" t="s">
        <v>1068</v>
      </c>
      <c r="L228" s="211" t="s">
        <v>1068</v>
      </c>
      <c r="M228" s="211" t="s">
        <v>1069</v>
      </c>
      <c r="N228" s="211" t="s">
        <v>40</v>
      </c>
      <c r="U228" s="176"/>
      <c r="V228" s="176"/>
      <c r="W228" s="195"/>
    </row>
    <row r="229" spans="2:23" ht="13.8" x14ac:dyDescent="0.25">
      <c r="B229" s="176" t="str">
        <f>W29</f>
        <v>INDNFMONF_N_ST</v>
      </c>
      <c r="C229" s="176" t="str">
        <f>X29</f>
        <v>Other Non-Ferrous Production Standard</v>
      </c>
      <c r="D229" s="176" t="s">
        <v>183</v>
      </c>
      <c r="E229" s="176"/>
      <c r="F229" s="214">
        <f>G229</f>
        <v>2018</v>
      </c>
      <c r="G229" s="174">
        <v>2018</v>
      </c>
      <c r="H229" s="269">
        <f t="shared" ref="H229:H235" si="24">P229*$Q$229/1000</f>
        <v>0</v>
      </c>
      <c r="I229" s="176"/>
      <c r="J229" s="174">
        <v>1</v>
      </c>
      <c r="K229" s="333">
        <f>100*(1/0.9)/1000</f>
        <v>0.11111111111111112</v>
      </c>
      <c r="L229" s="333">
        <f>4*(1/0.9)/1000</f>
        <v>4.4444444444444444E-3</v>
      </c>
      <c r="M229" s="174">
        <v>0</v>
      </c>
      <c r="N229" s="174">
        <v>50</v>
      </c>
      <c r="P229" s="165"/>
      <c r="Q229" s="330">
        <v>0.95</v>
      </c>
      <c r="U229" s="176"/>
      <c r="V229" s="176"/>
      <c r="W229" s="195"/>
    </row>
    <row r="230" spans="2:23" ht="13.8" x14ac:dyDescent="0.25">
      <c r="B230" s="176"/>
      <c r="C230" s="176"/>
      <c r="D230" s="176" t="s">
        <v>406</v>
      </c>
      <c r="E230" s="176"/>
      <c r="F230" s="214">
        <f>F229</f>
        <v>2018</v>
      </c>
      <c r="H230" s="269">
        <f t="shared" si="24"/>
        <v>0</v>
      </c>
      <c r="K230" s="333"/>
      <c r="L230" s="333"/>
      <c r="N230" s="176"/>
      <c r="P230" s="335"/>
      <c r="U230" s="176"/>
      <c r="V230" s="176"/>
      <c r="W230" s="195"/>
    </row>
    <row r="231" spans="2:23" ht="13.8" x14ac:dyDescent="0.25">
      <c r="B231" s="176"/>
      <c r="C231" s="176"/>
      <c r="D231" s="176" t="s">
        <v>265</v>
      </c>
      <c r="E231" s="176"/>
      <c r="F231" s="214">
        <f t="shared" ref="F231:F237" si="25">F230</f>
        <v>2018</v>
      </c>
      <c r="H231" s="269">
        <f t="shared" si="24"/>
        <v>2.8500000000000001E-2</v>
      </c>
      <c r="K231" s="333"/>
      <c r="L231" s="333"/>
      <c r="P231" s="335">
        <v>30</v>
      </c>
      <c r="U231" s="176"/>
      <c r="V231" s="176"/>
      <c r="W231" s="195"/>
    </row>
    <row r="232" spans="2:23" ht="13.8" x14ac:dyDescent="0.25">
      <c r="B232" s="176"/>
      <c r="C232" s="176"/>
      <c r="D232" s="176" t="s">
        <v>164</v>
      </c>
      <c r="E232" s="176"/>
      <c r="F232" s="214">
        <f t="shared" si="25"/>
        <v>2018</v>
      </c>
      <c r="H232" s="269">
        <f t="shared" si="24"/>
        <v>0</v>
      </c>
      <c r="K232" s="333"/>
      <c r="L232" s="333"/>
      <c r="P232" s="335"/>
      <c r="U232" s="176"/>
      <c r="V232" s="176"/>
      <c r="W232" s="195"/>
    </row>
    <row r="233" spans="2:23" ht="13.8" x14ac:dyDescent="0.25">
      <c r="B233" s="176"/>
      <c r="C233" s="176"/>
      <c r="D233" s="176" t="s">
        <v>199</v>
      </c>
      <c r="E233" s="176"/>
      <c r="F233" s="214">
        <f t="shared" si="25"/>
        <v>2018</v>
      </c>
      <c r="H233" s="269">
        <f t="shared" si="24"/>
        <v>0.42749999999999999</v>
      </c>
      <c r="K233" s="333"/>
      <c r="L233" s="333"/>
      <c r="P233" s="335">
        <v>450</v>
      </c>
      <c r="U233" s="176"/>
      <c r="V233" s="176"/>
      <c r="W233" s="195"/>
    </row>
    <row r="234" spans="2:23" ht="13.8" x14ac:dyDescent="0.25">
      <c r="B234" s="176"/>
      <c r="C234" s="176"/>
      <c r="D234" s="176" t="s">
        <v>141</v>
      </c>
      <c r="E234" s="176"/>
      <c r="F234" s="214">
        <f t="shared" si="25"/>
        <v>2018</v>
      </c>
      <c r="H234" s="269">
        <f t="shared" si="24"/>
        <v>0.33250000000000002</v>
      </c>
      <c r="K234" s="333"/>
      <c r="L234" s="333"/>
      <c r="P234" s="335">
        <v>350</v>
      </c>
      <c r="U234" s="176"/>
      <c r="V234" s="176"/>
      <c r="W234" s="195"/>
    </row>
    <row r="235" spans="2:23" ht="13.8" x14ac:dyDescent="0.25">
      <c r="B235" s="176"/>
      <c r="C235" s="176"/>
      <c r="D235" s="176" t="s">
        <v>144</v>
      </c>
      <c r="E235" s="176"/>
      <c r="F235" s="214">
        <f t="shared" si="25"/>
        <v>2018</v>
      </c>
      <c r="H235" s="269">
        <f t="shared" si="24"/>
        <v>0</v>
      </c>
      <c r="K235" s="333"/>
      <c r="L235" s="333"/>
      <c r="P235" s="165"/>
      <c r="U235" s="176"/>
      <c r="V235" s="176"/>
      <c r="W235" s="195"/>
    </row>
    <row r="236" spans="2:23" ht="13.8" x14ac:dyDescent="0.25">
      <c r="B236" s="176"/>
      <c r="C236" s="176"/>
      <c r="D236" s="176" t="s">
        <v>413</v>
      </c>
      <c r="E236" s="176"/>
      <c r="F236" s="214">
        <f t="shared" si="25"/>
        <v>2018</v>
      </c>
      <c r="H236" s="269">
        <v>1</v>
      </c>
      <c r="K236" s="333"/>
      <c r="L236" s="333"/>
      <c r="P236" s="324">
        <v>1</v>
      </c>
      <c r="U236" s="176"/>
      <c r="V236" s="176"/>
      <c r="W236" s="195"/>
    </row>
    <row r="237" spans="2:23" ht="13.8" x14ac:dyDescent="0.25">
      <c r="B237" s="219"/>
      <c r="C237" s="219"/>
      <c r="D237" s="219"/>
      <c r="E237" s="219" t="s">
        <v>417</v>
      </c>
      <c r="F237" s="220">
        <f t="shared" si="25"/>
        <v>2018</v>
      </c>
      <c r="G237" s="221"/>
      <c r="H237" s="221"/>
      <c r="I237" s="221">
        <v>1</v>
      </c>
      <c r="J237" s="221"/>
      <c r="K237" s="334"/>
      <c r="L237" s="334"/>
      <c r="M237" s="221"/>
      <c r="N237" s="221"/>
      <c r="U237" s="176"/>
      <c r="V237" s="176"/>
      <c r="W237" s="195"/>
    </row>
    <row r="238" spans="2:23" ht="13.8" x14ac:dyDescent="0.25">
      <c r="B238" s="176" t="str">
        <f>W30</f>
        <v>INDNFMONF_N_IM</v>
      </c>
      <c r="C238" s="176" t="str">
        <f>X30</f>
        <v>Other Non-Ferrous Production Improved</v>
      </c>
      <c r="D238" s="176" t="s">
        <v>183</v>
      </c>
      <c r="E238" s="176"/>
      <c r="F238" s="214">
        <f>G238</f>
        <v>2025</v>
      </c>
      <c r="G238" s="174">
        <v>2025</v>
      </c>
      <c r="H238" s="324">
        <f>P229*$Q$238/1000</f>
        <v>0</v>
      </c>
      <c r="I238" s="176"/>
      <c r="J238" s="174">
        <v>1</v>
      </c>
      <c r="K238" s="333">
        <f>114.062795374317*(1/0.9)/1000</f>
        <v>0.12673643930479667</v>
      </c>
      <c r="L238" s="333">
        <f>4.56251181497269*(1/0.9)/1000</f>
        <v>5.0694575721918775E-3</v>
      </c>
      <c r="M238" s="328">
        <v>0</v>
      </c>
      <c r="N238" s="174">
        <v>50</v>
      </c>
      <c r="Q238" s="330">
        <v>0.9</v>
      </c>
      <c r="U238" s="176"/>
      <c r="V238" s="176"/>
      <c r="W238" s="195"/>
    </row>
    <row r="239" spans="2:23" ht="13.8" x14ac:dyDescent="0.25">
      <c r="B239" s="176"/>
      <c r="C239" s="176"/>
      <c r="D239" s="176" t="s">
        <v>406</v>
      </c>
      <c r="E239" s="176"/>
      <c r="F239" s="214">
        <f>F238</f>
        <v>2025</v>
      </c>
      <c r="H239" s="324">
        <f>P230*$Q$238/1000</f>
        <v>0</v>
      </c>
      <c r="K239" s="333"/>
      <c r="L239" s="333"/>
      <c r="N239" s="176"/>
      <c r="U239" s="176"/>
      <c r="V239" s="176"/>
      <c r="W239" s="195"/>
    </row>
    <row r="240" spans="2:23" ht="13.8" x14ac:dyDescent="0.25">
      <c r="B240" s="176"/>
      <c r="C240" s="176"/>
      <c r="D240" s="176" t="s">
        <v>265</v>
      </c>
      <c r="E240" s="176"/>
      <c r="F240" s="214">
        <f t="shared" ref="F240:F246" si="26">F239</f>
        <v>2025</v>
      </c>
      <c r="H240" s="324">
        <f>P231*$Q$238/1000</f>
        <v>2.7E-2</v>
      </c>
      <c r="K240" s="333"/>
      <c r="L240" s="333"/>
      <c r="U240" s="176"/>
      <c r="V240" s="176"/>
      <c r="W240" s="195"/>
    </row>
    <row r="241" spans="2:23" ht="13.8" x14ac:dyDescent="0.25">
      <c r="B241" s="176"/>
      <c r="C241" s="176"/>
      <c r="D241" s="176" t="s">
        <v>164</v>
      </c>
      <c r="E241" s="176"/>
      <c r="F241" s="214">
        <f t="shared" si="26"/>
        <v>2025</v>
      </c>
      <c r="H241" s="324">
        <f>H234*Q238/1000</f>
        <v>2.9925000000000004E-4</v>
      </c>
      <c r="K241" s="333"/>
      <c r="L241" s="333"/>
      <c r="U241" s="176"/>
      <c r="V241" s="176"/>
      <c r="W241" s="195"/>
    </row>
    <row r="242" spans="2:23" ht="13.8" x14ac:dyDescent="0.25">
      <c r="B242" s="176"/>
      <c r="C242" s="176"/>
      <c r="D242" s="176" t="s">
        <v>199</v>
      </c>
      <c r="E242" s="176"/>
      <c r="F242" s="214">
        <f t="shared" si="26"/>
        <v>2025</v>
      </c>
      <c r="H242" s="324">
        <f>P233*$Q$238/1000</f>
        <v>0.40500000000000003</v>
      </c>
      <c r="K242" s="333"/>
      <c r="L242" s="333"/>
      <c r="U242" s="176"/>
      <c r="V242" s="176"/>
      <c r="W242" s="195"/>
    </row>
    <row r="243" spans="2:23" ht="13.8" x14ac:dyDescent="0.25">
      <c r="B243" s="176"/>
      <c r="C243" s="176"/>
      <c r="D243" s="176" t="s">
        <v>141</v>
      </c>
      <c r="E243" s="176"/>
      <c r="F243" s="214">
        <f t="shared" si="26"/>
        <v>2025</v>
      </c>
      <c r="H243" s="324">
        <v>0</v>
      </c>
      <c r="K243" s="333"/>
      <c r="L243" s="333"/>
      <c r="U243" s="176"/>
      <c r="V243" s="176"/>
      <c r="W243" s="195"/>
    </row>
    <row r="244" spans="2:23" ht="13.8" x14ac:dyDescent="0.25">
      <c r="B244" s="176"/>
      <c r="C244" s="176"/>
      <c r="D244" s="176" t="s">
        <v>144</v>
      </c>
      <c r="E244" s="176"/>
      <c r="F244" s="214">
        <f t="shared" si="26"/>
        <v>2025</v>
      </c>
      <c r="H244" s="324">
        <f>P235*$Q$238/1000</f>
        <v>0</v>
      </c>
      <c r="K244" s="333"/>
      <c r="L244" s="333"/>
      <c r="U244" s="176"/>
      <c r="V244" s="176"/>
      <c r="W244" s="195"/>
    </row>
    <row r="245" spans="2:23" ht="13.8" x14ac:dyDescent="0.25">
      <c r="B245" s="176"/>
      <c r="C245" s="176"/>
      <c r="D245" s="176" t="s">
        <v>413</v>
      </c>
      <c r="E245" s="176"/>
      <c r="F245" s="214">
        <f t="shared" si="26"/>
        <v>2025</v>
      </c>
      <c r="H245" s="269">
        <v>1</v>
      </c>
      <c r="K245" s="333"/>
      <c r="L245" s="333"/>
      <c r="U245" s="176"/>
      <c r="V245" s="176"/>
      <c r="W245" s="195"/>
    </row>
    <row r="246" spans="2:23" ht="13.8" x14ac:dyDescent="0.25">
      <c r="B246" s="219"/>
      <c r="C246" s="219"/>
      <c r="D246" s="219"/>
      <c r="E246" s="219" t="s">
        <v>417</v>
      </c>
      <c r="F246" s="220">
        <f t="shared" si="26"/>
        <v>2025</v>
      </c>
      <c r="G246" s="221"/>
      <c r="H246" s="221"/>
      <c r="I246" s="221">
        <v>1</v>
      </c>
      <c r="J246" s="221"/>
      <c r="K246" s="334"/>
      <c r="L246" s="334"/>
      <c r="M246" s="221"/>
      <c r="N246" s="221"/>
      <c r="U246" s="176"/>
      <c r="V246" s="176"/>
      <c r="W246" s="195"/>
    </row>
    <row r="247" spans="2:23" ht="13.8" x14ac:dyDescent="0.25">
      <c r="B247" s="176" t="str">
        <f>W31</f>
        <v>INDNFMONF_N_AD</v>
      </c>
      <c r="C247" s="176" t="str">
        <f>X31</f>
        <v>Other Non-Ferrous Production Advanced</v>
      </c>
      <c r="D247" s="176" t="s">
        <v>183</v>
      </c>
      <c r="E247" s="176"/>
      <c r="F247" s="214">
        <f>G247</f>
        <v>2030</v>
      </c>
      <c r="G247" s="174">
        <v>2030</v>
      </c>
      <c r="H247" s="324">
        <f>H238/1000</f>
        <v>0</v>
      </c>
      <c r="I247" s="176"/>
      <c r="J247" s="174">
        <v>1</v>
      </c>
      <c r="K247" s="333">
        <f>131.007331656839*(1/0.9)/1000</f>
        <v>0.14556370184093223</v>
      </c>
      <c r="L247" s="333">
        <f>5.24029326627357*(1/0.9)/1000</f>
        <v>5.8225480736372997E-3</v>
      </c>
      <c r="M247" s="328">
        <v>0</v>
      </c>
      <c r="N247" s="174">
        <v>50</v>
      </c>
      <c r="U247" s="176"/>
      <c r="V247" s="176"/>
      <c r="W247" s="195"/>
    </row>
    <row r="248" spans="2:23" ht="13.8" x14ac:dyDescent="0.25">
      <c r="B248" s="176"/>
      <c r="C248" s="176"/>
      <c r="D248" s="176" t="s">
        <v>406</v>
      </c>
      <c r="E248" s="176"/>
      <c r="F248" s="214">
        <f>F247</f>
        <v>2030</v>
      </c>
      <c r="H248" s="324">
        <f>H239/1000</f>
        <v>0</v>
      </c>
      <c r="K248" s="333"/>
      <c r="L248" s="333"/>
      <c r="N248" s="176"/>
      <c r="U248" s="176"/>
      <c r="V248" s="176"/>
      <c r="W248" s="195"/>
    </row>
    <row r="249" spans="2:23" ht="13.8" x14ac:dyDescent="0.25">
      <c r="B249" s="176"/>
      <c r="C249" s="176"/>
      <c r="D249" s="176" t="s">
        <v>265</v>
      </c>
      <c r="E249" s="176"/>
      <c r="F249" s="214">
        <f t="shared" ref="F249:F255" si="27">F248</f>
        <v>2030</v>
      </c>
      <c r="H249" s="324">
        <v>0</v>
      </c>
      <c r="U249" s="176"/>
      <c r="V249" s="176"/>
      <c r="W249" s="195"/>
    </row>
    <row r="250" spans="2:23" ht="13.8" x14ac:dyDescent="0.25">
      <c r="B250" s="176"/>
      <c r="C250" s="176"/>
      <c r="D250" s="176" t="s">
        <v>164</v>
      </c>
      <c r="E250" s="176"/>
      <c r="F250" s="214">
        <f t="shared" si="27"/>
        <v>2030</v>
      </c>
      <c r="H250" s="324">
        <f>100/1000</f>
        <v>0.1</v>
      </c>
      <c r="U250" s="176"/>
      <c r="V250" s="176"/>
      <c r="W250" s="195"/>
    </row>
    <row r="251" spans="2:23" ht="13.8" x14ac:dyDescent="0.25">
      <c r="B251" s="176"/>
      <c r="C251" s="176"/>
      <c r="D251" s="176" t="s">
        <v>199</v>
      </c>
      <c r="E251" s="176"/>
      <c r="F251" s="214">
        <f t="shared" si="27"/>
        <v>2030</v>
      </c>
      <c r="H251" s="324">
        <f>500/1000</f>
        <v>0.5</v>
      </c>
      <c r="U251" s="176"/>
      <c r="V251" s="176"/>
      <c r="W251" s="195"/>
    </row>
    <row r="252" spans="2:23" ht="13.8" x14ac:dyDescent="0.25">
      <c r="B252" s="176"/>
      <c r="C252" s="176"/>
      <c r="D252" s="176" t="s">
        <v>141</v>
      </c>
      <c r="E252" s="176"/>
      <c r="F252" s="214">
        <f t="shared" si="27"/>
        <v>2030</v>
      </c>
      <c r="H252" s="324">
        <f>H243/1000</f>
        <v>0</v>
      </c>
      <c r="U252" s="176"/>
      <c r="V252" s="176"/>
      <c r="W252" s="195"/>
    </row>
    <row r="253" spans="2:23" ht="13.8" x14ac:dyDescent="0.25">
      <c r="B253" s="176"/>
      <c r="C253" s="176"/>
      <c r="D253" s="176" t="s">
        <v>144</v>
      </c>
      <c r="E253" s="176"/>
      <c r="F253" s="214">
        <f t="shared" si="27"/>
        <v>2030</v>
      </c>
      <c r="H253" s="324">
        <f>H244/1000</f>
        <v>0</v>
      </c>
      <c r="U253" s="176"/>
      <c r="V253" s="176"/>
      <c r="W253" s="195"/>
    </row>
    <row r="254" spans="2:23" ht="13.8" x14ac:dyDescent="0.25">
      <c r="B254" s="176"/>
      <c r="C254" s="176"/>
      <c r="D254" s="176" t="s">
        <v>413</v>
      </c>
      <c r="E254" s="176"/>
      <c r="F254" s="214">
        <f t="shared" si="27"/>
        <v>2030</v>
      </c>
      <c r="H254" s="324">
        <v>1</v>
      </c>
      <c r="U254" s="176"/>
      <c r="V254" s="176"/>
      <c r="W254" s="195"/>
    </row>
    <row r="255" spans="2:23" ht="13.8" x14ac:dyDescent="0.25">
      <c r="B255" s="219"/>
      <c r="C255" s="219"/>
      <c r="D255" s="219"/>
      <c r="E255" s="219" t="s">
        <v>417</v>
      </c>
      <c r="F255" s="220">
        <f t="shared" si="27"/>
        <v>2030</v>
      </c>
      <c r="G255" s="221"/>
      <c r="H255" s="221"/>
      <c r="I255" s="221">
        <v>1</v>
      </c>
      <c r="J255" s="221"/>
      <c r="K255" s="221"/>
      <c r="L255" s="221"/>
      <c r="M255" s="221"/>
      <c r="N255" s="221"/>
      <c r="U255" s="176"/>
      <c r="V255" s="176"/>
      <c r="W255" s="195"/>
    </row>
    <row r="256" spans="2:23" ht="13.8" x14ac:dyDescent="0.25">
      <c r="U256" s="176"/>
      <c r="V256" s="176"/>
      <c r="W256" s="195"/>
    </row>
    <row r="257" spans="1:23" ht="13.8" x14ac:dyDescent="0.25">
      <c r="U257" s="176"/>
      <c r="V257" s="176"/>
      <c r="W257" s="195"/>
    </row>
    <row r="258" spans="1:23" ht="13.8" x14ac:dyDescent="0.25">
      <c r="U258" s="176"/>
      <c r="V258" s="176"/>
      <c r="W258" s="195"/>
    </row>
    <row r="259" spans="1:23" ht="17.399999999999999" x14ac:dyDescent="0.3">
      <c r="A259" s="175"/>
      <c r="B259" s="175" t="s">
        <v>372</v>
      </c>
      <c r="C259" s="175"/>
      <c r="D259" s="175"/>
      <c r="E259" s="175"/>
      <c r="F259" s="176"/>
    </row>
    <row r="260" spans="1:23" ht="13.8" x14ac:dyDescent="0.25">
      <c r="A260" s="176"/>
      <c r="B260" s="176"/>
      <c r="C260" s="176"/>
      <c r="D260" s="176"/>
      <c r="E260" s="195"/>
      <c r="F260" s="176"/>
    </row>
    <row r="261" spans="1:23" ht="13.8" x14ac:dyDescent="0.25">
      <c r="A261" s="176"/>
      <c r="B261" s="176"/>
      <c r="C261" s="176"/>
      <c r="D261" s="176"/>
      <c r="E261" s="195"/>
      <c r="F261" s="176"/>
    </row>
    <row r="263" spans="1:23" ht="13.8" x14ac:dyDescent="0.25">
      <c r="B263" s="176"/>
      <c r="C263" s="176"/>
      <c r="D263" s="176"/>
      <c r="E263" s="197"/>
      <c r="F263" s="187" t="s">
        <v>0</v>
      </c>
      <c r="G263" s="187"/>
      <c r="H263" s="198"/>
      <c r="I263" s="198"/>
      <c r="J263" s="198"/>
      <c r="K263" s="198"/>
      <c r="L263" s="199"/>
      <c r="M263" s="199"/>
      <c r="N263" s="199"/>
      <c r="O263" s="176"/>
      <c r="P263" s="176"/>
    </row>
    <row r="264" spans="1:23" ht="13.8" x14ac:dyDescent="0.25">
      <c r="B264" s="200" t="s">
        <v>1</v>
      </c>
      <c r="C264" s="201" t="s">
        <v>227</v>
      </c>
      <c r="D264" s="200" t="s">
        <v>3</v>
      </c>
      <c r="E264" s="200" t="s">
        <v>4</v>
      </c>
      <c r="F264" s="202" t="s">
        <v>233</v>
      </c>
      <c r="G264" s="203" t="s">
        <v>14</v>
      </c>
      <c r="H264" s="204" t="s">
        <v>16</v>
      </c>
      <c r="I264" s="204" t="s">
        <v>50</v>
      </c>
      <c r="J264" s="204" t="s">
        <v>46</v>
      </c>
      <c r="K264" s="204" t="s">
        <v>36</v>
      </c>
      <c r="L264" s="204" t="s">
        <v>5</v>
      </c>
      <c r="M264" s="204" t="s">
        <v>34</v>
      </c>
      <c r="N264" s="204" t="s">
        <v>48</v>
      </c>
      <c r="O264" s="204" t="s">
        <v>342</v>
      </c>
    </row>
    <row r="265" spans="1:23" ht="28.2" thickBot="1" x14ac:dyDescent="0.3">
      <c r="B265" s="207" t="s">
        <v>234</v>
      </c>
      <c r="C265" s="207" t="s">
        <v>28</v>
      </c>
      <c r="D265" s="207" t="s">
        <v>32</v>
      </c>
      <c r="E265" s="207" t="s">
        <v>33</v>
      </c>
      <c r="F265" s="208"/>
      <c r="G265" s="209" t="s">
        <v>35</v>
      </c>
      <c r="H265" s="207" t="s">
        <v>303</v>
      </c>
      <c r="I265" s="207" t="s">
        <v>329</v>
      </c>
      <c r="J265" s="207" t="s">
        <v>304</v>
      </c>
      <c r="K265" s="207" t="s">
        <v>37</v>
      </c>
      <c r="L265" s="207" t="s">
        <v>38</v>
      </c>
      <c r="M265" s="207" t="s">
        <v>39</v>
      </c>
      <c r="N265" s="207" t="s">
        <v>218</v>
      </c>
      <c r="O265" s="207"/>
      <c r="Q265" s="206" t="s">
        <v>328</v>
      </c>
      <c r="R265" s="206"/>
    </row>
    <row r="266" spans="1:23" ht="13.8" x14ac:dyDescent="0.25">
      <c r="B266" s="210"/>
      <c r="C266" s="211"/>
      <c r="D266" s="211"/>
      <c r="E266" s="211" t="s">
        <v>231</v>
      </c>
      <c r="F266" s="212"/>
      <c r="G266" s="211"/>
      <c r="H266" s="211" t="s">
        <v>343</v>
      </c>
      <c r="I266" s="211"/>
      <c r="J266" s="211" t="s">
        <v>306</v>
      </c>
      <c r="K266" s="211" t="s">
        <v>442</v>
      </c>
      <c r="L266" s="211" t="s">
        <v>440</v>
      </c>
      <c r="M266" s="211" t="s">
        <v>439</v>
      </c>
      <c r="N266" s="211" t="s">
        <v>40</v>
      </c>
      <c r="O266" s="211"/>
    </row>
    <row r="267" spans="1:23" ht="13.8" x14ac:dyDescent="0.25">
      <c r="B267" s="255" t="str">
        <f>W11</f>
        <v>INDNFMBOI_N_ST</v>
      </c>
      <c r="C267" s="255" t="str">
        <f>X11</f>
        <v>Boilers Non Ferrous Metals NEW Standard</v>
      </c>
      <c r="D267" s="255" t="s">
        <v>426</v>
      </c>
      <c r="E267" s="255"/>
      <c r="F267" s="256">
        <v>2018</v>
      </c>
      <c r="G267" s="257">
        <v>2018</v>
      </c>
      <c r="H267" s="259">
        <v>0.85</v>
      </c>
      <c r="I267" s="259">
        <v>1</v>
      </c>
      <c r="J267" s="259">
        <v>0.7</v>
      </c>
      <c r="K267" s="259">
        <f>20*(1/0.9)</f>
        <v>22.222222222222221</v>
      </c>
      <c r="L267" s="259">
        <f>0.6*(1/0.9)</f>
        <v>0.66666666666666663</v>
      </c>
      <c r="M267" s="259"/>
      <c r="N267" s="259">
        <v>20</v>
      </c>
      <c r="O267" s="336">
        <v>0.4</v>
      </c>
    </row>
    <row r="268" spans="1:23" ht="13.8" x14ac:dyDescent="0.25">
      <c r="B268" s="176"/>
      <c r="C268" s="176"/>
      <c r="D268" s="176" t="s">
        <v>141</v>
      </c>
      <c r="E268" s="176"/>
      <c r="F268" s="214">
        <f>F267</f>
        <v>2018</v>
      </c>
      <c r="G268" s="195"/>
      <c r="H268" s="195"/>
      <c r="I268" s="195"/>
      <c r="J268" s="195"/>
      <c r="K268" s="195"/>
      <c r="L268" s="195"/>
      <c r="M268" s="195"/>
      <c r="N268" s="195"/>
      <c r="O268" s="337">
        <v>0.5</v>
      </c>
    </row>
    <row r="269" spans="1:23" ht="13.8" x14ac:dyDescent="0.25">
      <c r="B269" s="176"/>
      <c r="C269" s="176"/>
      <c r="D269" s="176" t="s">
        <v>164</v>
      </c>
      <c r="E269" s="176"/>
      <c r="F269" s="214">
        <f t="shared" ref="F269:F273" si="28">F268</f>
        <v>2018</v>
      </c>
      <c r="G269" s="195"/>
      <c r="H269" s="195"/>
      <c r="I269" s="195"/>
      <c r="J269" s="195"/>
      <c r="K269" s="195"/>
      <c r="L269" s="195"/>
      <c r="M269" s="195"/>
      <c r="N269" s="195"/>
      <c r="O269" s="337">
        <v>0.5</v>
      </c>
    </row>
    <row r="270" spans="1:23" ht="13.8" x14ac:dyDescent="0.25">
      <c r="B270" s="176"/>
      <c r="C270" s="176"/>
      <c r="D270" s="176" t="s">
        <v>199</v>
      </c>
      <c r="E270" s="176"/>
      <c r="F270" s="214">
        <f t="shared" si="28"/>
        <v>2018</v>
      </c>
      <c r="G270" s="195"/>
      <c r="H270" s="195"/>
      <c r="I270" s="195"/>
      <c r="J270" s="195"/>
      <c r="K270" s="195"/>
      <c r="L270" s="195"/>
      <c r="M270" s="195"/>
      <c r="N270" s="195"/>
      <c r="O270" s="337">
        <v>0</v>
      </c>
      <c r="Q270" s="176"/>
      <c r="R270" s="176"/>
    </row>
    <row r="271" spans="1:23" ht="13.8" x14ac:dyDescent="0.25">
      <c r="B271" s="176"/>
      <c r="C271" s="176"/>
      <c r="D271" s="176" t="s">
        <v>166</v>
      </c>
      <c r="E271" s="176"/>
      <c r="F271" s="214">
        <f t="shared" si="28"/>
        <v>2018</v>
      </c>
      <c r="G271" s="195"/>
      <c r="H271" s="195"/>
      <c r="I271" s="195"/>
      <c r="J271" s="195"/>
      <c r="K271" s="195"/>
      <c r="L271" s="195"/>
      <c r="M271" s="195"/>
      <c r="N271" s="195"/>
      <c r="O271" s="337">
        <v>0</v>
      </c>
    </row>
    <row r="272" spans="1:23" ht="13.8" x14ac:dyDescent="0.25">
      <c r="B272" s="176"/>
      <c r="C272" s="176"/>
      <c r="D272" s="93" t="s">
        <v>179</v>
      </c>
      <c r="E272" s="176"/>
      <c r="F272" s="214">
        <f t="shared" si="28"/>
        <v>2018</v>
      </c>
      <c r="G272" s="195"/>
      <c r="H272" s="195"/>
      <c r="I272" s="195"/>
      <c r="J272" s="195"/>
      <c r="K272" s="195"/>
      <c r="L272" s="195"/>
      <c r="M272" s="195"/>
      <c r="N272" s="195"/>
      <c r="O272" s="337">
        <v>0</v>
      </c>
    </row>
    <row r="273" spans="1:15" ht="13.8" x14ac:dyDescent="0.25">
      <c r="B273" s="219"/>
      <c r="C273" s="219"/>
      <c r="D273" s="219"/>
      <c r="E273" s="219" t="s">
        <v>406</v>
      </c>
      <c r="F273" s="220">
        <f t="shared" si="28"/>
        <v>2018</v>
      </c>
      <c r="G273" s="263"/>
      <c r="H273" s="263"/>
      <c r="I273" s="263"/>
      <c r="J273" s="263"/>
      <c r="K273" s="263"/>
      <c r="L273" s="263"/>
      <c r="M273" s="263"/>
      <c r="N273" s="263"/>
      <c r="O273" s="338"/>
    </row>
    <row r="274" spans="1:15" ht="13.8" x14ac:dyDescent="0.25">
      <c r="B274" s="255" t="str">
        <f>W12</f>
        <v>INDNFMBOI_N_IM</v>
      </c>
      <c r="C274" s="255" t="str">
        <f>X12</f>
        <v>Boilers Non Ferrous Metals NEW Improved</v>
      </c>
      <c r="D274" s="255" t="s">
        <v>426</v>
      </c>
      <c r="E274" s="255"/>
      <c r="F274" s="256">
        <v>2018</v>
      </c>
      <c r="G274" s="257">
        <v>2020</v>
      </c>
      <c r="H274" s="258">
        <v>0.89249999999999996</v>
      </c>
      <c r="I274" s="258">
        <v>1</v>
      </c>
      <c r="J274" s="259">
        <v>0.7</v>
      </c>
      <c r="K274" s="258">
        <f>K267*1.1</f>
        <v>24.444444444444446</v>
      </c>
      <c r="L274" s="258">
        <v>0.6</v>
      </c>
      <c r="M274" s="258"/>
      <c r="N274" s="258">
        <v>20</v>
      </c>
      <c r="O274" s="336">
        <v>0.4</v>
      </c>
    </row>
    <row r="275" spans="1:15" ht="13.8" x14ac:dyDescent="0.25">
      <c r="A275" s="176"/>
      <c r="B275" s="176"/>
      <c r="C275" s="176"/>
      <c r="D275" s="176" t="s">
        <v>141</v>
      </c>
      <c r="E275" s="176"/>
      <c r="F275" s="214">
        <f>F274</f>
        <v>2018</v>
      </c>
      <c r="G275" s="195"/>
      <c r="H275" s="195"/>
      <c r="I275" s="195"/>
      <c r="J275" s="195"/>
      <c r="K275" s="195"/>
      <c r="L275" s="195"/>
      <c r="M275" s="195"/>
      <c r="N275" s="195"/>
      <c r="O275" s="337">
        <v>0.5</v>
      </c>
    </row>
    <row r="276" spans="1:15" ht="13.8" x14ac:dyDescent="0.25">
      <c r="B276" s="176"/>
      <c r="C276" s="176"/>
      <c r="D276" s="176" t="s">
        <v>164</v>
      </c>
      <c r="E276" s="176"/>
      <c r="F276" s="214">
        <f t="shared" ref="F276:F280" si="29">F275</f>
        <v>2018</v>
      </c>
      <c r="G276" s="195"/>
      <c r="H276" s="195"/>
      <c r="I276" s="195"/>
      <c r="J276" s="195"/>
      <c r="K276" s="195"/>
      <c r="L276" s="195"/>
      <c r="M276" s="195"/>
      <c r="N276" s="195"/>
      <c r="O276" s="337">
        <v>0.5</v>
      </c>
    </row>
    <row r="277" spans="1:15" ht="13.8" x14ac:dyDescent="0.25">
      <c r="B277" s="176"/>
      <c r="C277" s="176"/>
      <c r="D277" s="176" t="s">
        <v>199</v>
      </c>
      <c r="E277" s="176"/>
      <c r="F277" s="214">
        <f t="shared" si="29"/>
        <v>2018</v>
      </c>
      <c r="G277" s="195"/>
      <c r="H277" s="195"/>
      <c r="I277" s="195"/>
      <c r="J277" s="195"/>
      <c r="K277" s="195"/>
      <c r="L277" s="195"/>
      <c r="M277" s="195"/>
      <c r="N277" s="195"/>
      <c r="O277" s="337">
        <v>0.2</v>
      </c>
    </row>
    <row r="278" spans="1:15" ht="13.8" x14ac:dyDescent="0.25">
      <c r="B278" s="176"/>
      <c r="C278" s="176"/>
      <c r="D278" s="176" t="s">
        <v>166</v>
      </c>
      <c r="E278" s="176"/>
      <c r="F278" s="214">
        <f t="shared" si="29"/>
        <v>2018</v>
      </c>
      <c r="G278" s="195"/>
      <c r="H278" s="195"/>
      <c r="I278" s="195"/>
      <c r="J278" s="195"/>
      <c r="K278" s="195"/>
      <c r="L278" s="195"/>
      <c r="M278" s="195"/>
      <c r="N278" s="195"/>
      <c r="O278" s="337">
        <v>0</v>
      </c>
    </row>
    <row r="279" spans="1:15" ht="13.8" x14ac:dyDescent="0.25">
      <c r="B279" s="176"/>
      <c r="C279" s="176"/>
      <c r="D279" s="93" t="s">
        <v>179</v>
      </c>
      <c r="E279" s="176"/>
      <c r="F279" s="214">
        <f t="shared" si="29"/>
        <v>2018</v>
      </c>
      <c r="G279" s="195"/>
      <c r="H279" s="195"/>
      <c r="I279" s="195"/>
      <c r="J279" s="195"/>
      <c r="K279" s="195"/>
      <c r="L279" s="195"/>
      <c r="M279" s="195"/>
      <c r="N279" s="195"/>
      <c r="O279" s="337">
        <v>0.1</v>
      </c>
    </row>
    <row r="280" spans="1:15" ht="13.8" x14ac:dyDescent="0.25">
      <c r="B280" s="219"/>
      <c r="C280" s="219"/>
      <c r="D280" s="219"/>
      <c r="E280" s="219" t="s">
        <v>406</v>
      </c>
      <c r="F280" s="220">
        <f t="shared" si="29"/>
        <v>2018</v>
      </c>
      <c r="G280" s="263"/>
      <c r="H280" s="263"/>
      <c r="I280" s="263"/>
      <c r="J280" s="263"/>
      <c r="K280" s="263"/>
      <c r="L280" s="263"/>
      <c r="M280" s="263"/>
      <c r="N280" s="263"/>
      <c r="O280" s="338"/>
    </row>
    <row r="281" spans="1:15" ht="13.8" x14ac:dyDescent="0.25">
      <c r="B281" s="255" t="str">
        <f>W13</f>
        <v>INDNFMBOI_N_AD</v>
      </c>
      <c r="C281" s="255" t="str">
        <f>X13</f>
        <v>Boilers Non Ferrous Metals NEW Advanced</v>
      </c>
      <c r="D281" s="255" t="s">
        <v>426</v>
      </c>
      <c r="E281" s="255"/>
      <c r="F281" s="256">
        <v>2018</v>
      </c>
      <c r="G281" s="257">
        <v>2030</v>
      </c>
      <c r="H281" s="258">
        <f>H274*1.02</f>
        <v>0.91034999999999999</v>
      </c>
      <c r="I281" s="258">
        <v>1</v>
      </c>
      <c r="J281" s="259">
        <v>0.7</v>
      </c>
      <c r="K281" s="258">
        <f>K274*1.1</f>
        <v>26.888888888888893</v>
      </c>
      <c r="L281" s="258">
        <v>0.6</v>
      </c>
      <c r="M281" s="258"/>
      <c r="N281" s="258">
        <v>20</v>
      </c>
      <c r="O281" s="336">
        <v>0.2</v>
      </c>
    </row>
    <row r="282" spans="1:15" ht="13.8" x14ac:dyDescent="0.25">
      <c r="B282" s="176"/>
      <c r="C282" s="176"/>
      <c r="D282" s="176" t="s">
        <v>141</v>
      </c>
      <c r="E282" s="176"/>
      <c r="F282" s="214">
        <f>F281</f>
        <v>2018</v>
      </c>
      <c r="G282" s="195"/>
      <c r="H282" s="195"/>
      <c r="I282" s="195"/>
      <c r="J282" s="195"/>
      <c r="K282" s="195"/>
      <c r="L282" s="195"/>
      <c r="M282" s="195"/>
      <c r="N282" s="195"/>
      <c r="O282" s="337">
        <v>0.2</v>
      </c>
    </row>
    <row r="283" spans="1:15" ht="13.8" x14ac:dyDescent="0.25">
      <c r="B283" s="176"/>
      <c r="C283" s="176"/>
      <c r="D283" s="176" t="s">
        <v>164</v>
      </c>
      <c r="E283" s="176"/>
      <c r="F283" s="214">
        <f t="shared" ref="F283:F287" si="30">F282</f>
        <v>2018</v>
      </c>
      <c r="G283" s="195"/>
      <c r="H283" s="195"/>
      <c r="I283" s="195"/>
      <c r="J283" s="195"/>
      <c r="K283" s="195"/>
      <c r="L283" s="195"/>
      <c r="M283" s="195"/>
      <c r="N283" s="195"/>
      <c r="O283" s="337">
        <v>1</v>
      </c>
    </row>
    <row r="284" spans="1:15" ht="13.8" x14ac:dyDescent="0.25">
      <c r="B284" s="176"/>
      <c r="C284" s="176"/>
      <c r="D284" s="176" t="s">
        <v>199</v>
      </c>
      <c r="E284" s="176"/>
      <c r="F284" s="214">
        <f t="shared" si="30"/>
        <v>2018</v>
      </c>
      <c r="G284" s="195"/>
      <c r="H284" s="195"/>
      <c r="I284" s="195"/>
      <c r="J284" s="195"/>
      <c r="K284" s="195"/>
      <c r="L284" s="195"/>
      <c r="M284" s="195"/>
      <c r="N284" s="195"/>
      <c r="O284" s="337">
        <v>1</v>
      </c>
    </row>
    <row r="285" spans="1:15" ht="13.8" x14ac:dyDescent="0.25">
      <c r="B285" s="176"/>
      <c r="C285" s="176"/>
      <c r="D285" s="176" t="s">
        <v>166</v>
      </c>
      <c r="E285" s="176"/>
      <c r="F285" s="214">
        <f t="shared" si="30"/>
        <v>2018</v>
      </c>
      <c r="G285" s="195"/>
      <c r="H285" s="195"/>
      <c r="I285" s="195"/>
      <c r="J285" s="195"/>
      <c r="K285" s="195"/>
      <c r="L285" s="195"/>
      <c r="M285" s="195"/>
      <c r="N285" s="195"/>
      <c r="O285" s="337">
        <v>0</v>
      </c>
    </row>
    <row r="286" spans="1:15" ht="13.8" x14ac:dyDescent="0.25">
      <c r="B286" s="176"/>
      <c r="C286" s="176"/>
      <c r="D286" s="93" t="s">
        <v>179</v>
      </c>
      <c r="E286" s="176"/>
      <c r="F286" s="214">
        <f t="shared" si="30"/>
        <v>2018</v>
      </c>
      <c r="G286" s="195"/>
      <c r="H286" s="195"/>
      <c r="I286" s="195"/>
      <c r="J286" s="195"/>
      <c r="K286" s="195"/>
      <c r="L286" s="195"/>
      <c r="M286" s="195"/>
      <c r="N286" s="195"/>
      <c r="O286" s="337">
        <v>0.3</v>
      </c>
    </row>
    <row r="287" spans="1:15" ht="13.8" x14ac:dyDescent="0.25">
      <c r="B287" s="219"/>
      <c r="C287" s="219"/>
      <c r="D287" s="219"/>
      <c r="E287" s="219" t="s">
        <v>406</v>
      </c>
      <c r="F287" s="220">
        <f t="shared" si="30"/>
        <v>2018</v>
      </c>
      <c r="G287" s="263"/>
      <c r="H287" s="263"/>
      <c r="I287" s="263"/>
      <c r="J287" s="263"/>
      <c r="K287" s="263"/>
      <c r="L287" s="263"/>
      <c r="M287" s="263"/>
      <c r="N287" s="263"/>
      <c r="O287" s="338"/>
    </row>
    <row r="291" spans="1:27" ht="17.399999999999999" x14ac:dyDescent="0.3">
      <c r="A291" s="175"/>
      <c r="B291" s="175" t="s">
        <v>373</v>
      </c>
      <c r="C291" s="175"/>
      <c r="D291" s="175"/>
      <c r="E291" s="175"/>
    </row>
    <row r="292" spans="1:27" ht="17.399999999999999" x14ac:dyDescent="0.3">
      <c r="A292" s="175"/>
      <c r="B292" s="175"/>
      <c r="C292" s="175"/>
      <c r="D292" s="175"/>
      <c r="E292" s="175"/>
    </row>
    <row r="295" spans="1:27" ht="13.8" x14ac:dyDescent="0.25">
      <c r="A295" s="176"/>
      <c r="B295" s="176"/>
      <c r="C295" s="176"/>
      <c r="D295" s="176"/>
      <c r="E295" s="197"/>
      <c r="F295" s="187" t="s">
        <v>0</v>
      </c>
      <c r="G295" s="187"/>
      <c r="H295" s="198"/>
      <c r="I295" s="198"/>
      <c r="J295" s="198"/>
      <c r="K295" s="198"/>
      <c r="L295" s="199"/>
      <c r="M295" s="199"/>
      <c r="N295" s="199"/>
      <c r="O295" s="176"/>
      <c r="P295" s="176"/>
      <c r="Q295" s="176"/>
      <c r="S295" s="176"/>
    </row>
    <row r="296" spans="1:27" ht="27.6" x14ac:dyDescent="0.25">
      <c r="A296" s="176"/>
      <c r="B296" s="200" t="s">
        <v>1</v>
      </c>
      <c r="C296" s="201" t="s">
        <v>227</v>
      </c>
      <c r="D296" s="200" t="s">
        <v>3</v>
      </c>
      <c r="E296" s="200" t="s">
        <v>4</v>
      </c>
      <c r="F296" s="202" t="s">
        <v>233</v>
      </c>
      <c r="G296" s="203" t="s">
        <v>14</v>
      </c>
      <c r="H296" s="204" t="s">
        <v>16</v>
      </c>
      <c r="I296" s="204" t="s">
        <v>50</v>
      </c>
      <c r="J296" s="204" t="s">
        <v>46</v>
      </c>
      <c r="K296" s="204" t="s">
        <v>36</v>
      </c>
      <c r="L296" s="204" t="s">
        <v>5</v>
      </c>
      <c r="M296" s="204" t="s">
        <v>34</v>
      </c>
      <c r="N296" s="204" t="s">
        <v>48</v>
      </c>
      <c r="O296" s="204" t="s">
        <v>342</v>
      </c>
      <c r="P296" s="204" t="s">
        <v>1054</v>
      </c>
      <c r="Q296" s="205" t="s">
        <v>47</v>
      </c>
      <c r="R296" s="205" t="s">
        <v>1053</v>
      </c>
      <c r="S296" s="205" t="s">
        <v>345</v>
      </c>
      <c r="U296" s="206" t="s">
        <v>328</v>
      </c>
    </row>
    <row r="297" spans="1:27" ht="28.2" thickBot="1" x14ac:dyDescent="0.3">
      <c r="A297" s="176"/>
      <c r="B297" s="207" t="s">
        <v>234</v>
      </c>
      <c r="C297" s="207" t="s">
        <v>28</v>
      </c>
      <c r="D297" s="207" t="s">
        <v>32</v>
      </c>
      <c r="E297" s="207" t="s">
        <v>33</v>
      </c>
      <c r="F297" s="208"/>
      <c r="G297" s="209" t="s">
        <v>35</v>
      </c>
      <c r="H297" s="207" t="s">
        <v>303</v>
      </c>
      <c r="I297" s="207" t="s">
        <v>329</v>
      </c>
      <c r="J297" s="207" t="s">
        <v>304</v>
      </c>
      <c r="K297" s="207" t="s">
        <v>37</v>
      </c>
      <c r="L297" s="207" t="s">
        <v>38</v>
      </c>
      <c r="M297" s="207" t="s">
        <v>39</v>
      </c>
      <c r="N297" s="207" t="s">
        <v>218</v>
      </c>
      <c r="O297" s="207"/>
      <c r="P297" s="207"/>
      <c r="Q297" s="207"/>
      <c r="R297" s="207"/>
      <c r="S297" s="207"/>
      <c r="U297" s="176"/>
    </row>
    <row r="298" spans="1:27" ht="13.8" x14ac:dyDescent="0.25">
      <c r="A298" s="176"/>
      <c r="B298" s="210"/>
      <c r="C298" s="211"/>
      <c r="D298" s="211"/>
      <c r="E298" s="211" t="s">
        <v>231</v>
      </c>
      <c r="F298" s="212"/>
      <c r="G298" s="211"/>
      <c r="H298" s="211" t="s">
        <v>343</v>
      </c>
      <c r="I298" s="211" t="s">
        <v>419</v>
      </c>
      <c r="J298" s="211" t="s">
        <v>306</v>
      </c>
      <c r="K298" s="211" t="s">
        <v>444</v>
      </c>
      <c r="L298" s="211" t="s">
        <v>445</v>
      </c>
      <c r="M298" s="211" t="s">
        <v>439</v>
      </c>
      <c r="N298" s="211" t="s">
        <v>40</v>
      </c>
      <c r="O298" s="211"/>
      <c r="P298" s="211"/>
      <c r="Q298" s="267"/>
      <c r="R298" s="267"/>
      <c r="S298" s="267"/>
      <c r="U298" s="176"/>
      <c r="W298" s="339"/>
      <c r="X298" s="285"/>
      <c r="Y298" s="286"/>
      <c r="Z298" s="340"/>
    </row>
    <row r="299" spans="1:27" ht="13.8" x14ac:dyDescent="0.25">
      <c r="A299" s="176"/>
      <c r="B299" s="176" t="str">
        <f>W8</f>
        <v>INDNFMCHPAUT_N_ST</v>
      </c>
      <c r="C299" s="176" t="str">
        <f>X8</f>
        <v>On-site CHP Non Ferrous Metals NEW Standard</v>
      </c>
      <c r="D299" s="255" t="s">
        <v>426</v>
      </c>
      <c r="E299" s="176"/>
      <c r="F299" s="268">
        <v>2018</v>
      </c>
      <c r="G299" s="181">
        <v>2018</v>
      </c>
      <c r="H299" s="341">
        <v>0.33</v>
      </c>
      <c r="I299" s="181">
        <v>31.536000000000001</v>
      </c>
      <c r="J299" s="181">
        <v>0.75</v>
      </c>
      <c r="K299" s="341">
        <f>1000*(1/0.9)</f>
        <v>1111.1111111111111</v>
      </c>
      <c r="L299" s="341">
        <f>25*(1/0.9)</f>
        <v>27.777777777777779</v>
      </c>
      <c r="M299" s="181"/>
      <c r="N299" s="181">
        <v>25</v>
      </c>
      <c r="O299" s="181">
        <v>0.7</v>
      </c>
      <c r="P299" s="181">
        <f>O299</f>
        <v>0.7</v>
      </c>
      <c r="Q299" s="181">
        <v>2.2999999999999998</v>
      </c>
      <c r="R299" s="271">
        <f>ROUNDUP(Q299*0.8,1)</f>
        <v>1.9000000000000001</v>
      </c>
      <c r="S299" s="181">
        <v>0.2</v>
      </c>
      <c r="U299" s="176"/>
      <c r="W299" s="272">
        <f>1*I299*J299/H299</f>
        <v>71.672727272727272</v>
      </c>
      <c r="X299" s="273">
        <f>W299*(H299/(Q299*S299+1))</f>
        <v>16.2</v>
      </c>
      <c r="Y299" s="274">
        <f>X299*Q299</f>
        <v>37.26</v>
      </c>
      <c r="Z299" s="305">
        <f>SUM(X299:Y299)/W299</f>
        <v>0.74589041095890407</v>
      </c>
      <c r="AA299" s="306">
        <f>X299/W299</f>
        <v>0.22602739726027396</v>
      </c>
    </row>
    <row r="300" spans="1:27" ht="13.8" x14ac:dyDescent="0.25">
      <c r="A300" s="176"/>
      <c r="B300" s="176"/>
      <c r="C300" s="176"/>
      <c r="D300" s="176" t="s">
        <v>265</v>
      </c>
      <c r="E300" s="176"/>
      <c r="F300" s="214">
        <f>F299</f>
        <v>2018</v>
      </c>
      <c r="G300" s="181"/>
      <c r="H300" s="341"/>
      <c r="I300" s="181"/>
      <c r="J300" s="181"/>
      <c r="K300" s="341"/>
      <c r="L300" s="341"/>
      <c r="M300" s="181"/>
      <c r="N300" s="181"/>
      <c r="O300" s="181">
        <v>0.05</v>
      </c>
      <c r="P300" s="181">
        <f t="shared" ref="P300:P302" si="31">O300</f>
        <v>0.05</v>
      </c>
      <c r="Q300" s="181"/>
      <c r="R300" s="342"/>
      <c r="S300" s="181"/>
      <c r="T300" s="176"/>
      <c r="U300" s="176"/>
      <c r="W300" s="277"/>
      <c r="X300" s="278"/>
      <c r="Y300" s="278"/>
      <c r="Z300" s="343"/>
      <c r="AA300" s="309"/>
    </row>
    <row r="301" spans="1:27" ht="13.8" x14ac:dyDescent="0.25">
      <c r="A301" s="176"/>
      <c r="B301" s="176"/>
      <c r="C301" s="176"/>
      <c r="D301" s="176" t="s">
        <v>164</v>
      </c>
      <c r="E301" s="176"/>
      <c r="F301" s="214">
        <f t="shared" ref="F301:F304" si="32">F300</f>
        <v>2018</v>
      </c>
      <c r="G301" s="176"/>
      <c r="H301" s="215"/>
      <c r="I301" s="176"/>
      <c r="J301" s="176"/>
      <c r="K301" s="215"/>
      <c r="L301" s="215"/>
      <c r="M301" s="176"/>
      <c r="N301" s="176"/>
      <c r="O301" s="176">
        <v>0.5</v>
      </c>
      <c r="P301" s="181">
        <f t="shared" si="31"/>
        <v>0.5</v>
      </c>
      <c r="Q301" s="176"/>
      <c r="R301" s="342"/>
      <c r="S301" s="176"/>
      <c r="T301" s="176"/>
      <c r="U301" s="176"/>
      <c r="W301" s="277"/>
      <c r="X301" s="278"/>
      <c r="Y301" s="278"/>
      <c r="Z301" s="343"/>
      <c r="AA301" s="280"/>
    </row>
    <row r="302" spans="1:27" ht="13.8" x14ac:dyDescent="0.25">
      <c r="B302" s="176"/>
      <c r="C302" s="176"/>
      <c r="D302" s="176" t="s">
        <v>144</v>
      </c>
      <c r="E302" s="176"/>
      <c r="F302" s="214">
        <f>F301</f>
        <v>2018</v>
      </c>
      <c r="G302" s="181"/>
      <c r="H302" s="341"/>
      <c r="I302" s="181"/>
      <c r="J302" s="181"/>
      <c r="K302" s="341"/>
      <c r="L302" s="341"/>
      <c r="M302" s="181"/>
      <c r="N302" s="181"/>
      <c r="O302" s="181">
        <v>0</v>
      </c>
      <c r="P302" s="181">
        <f t="shared" si="31"/>
        <v>0</v>
      </c>
      <c r="Q302" s="181"/>
      <c r="R302" s="271"/>
      <c r="S302" s="181"/>
      <c r="W302" s="277"/>
      <c r="X302" s="278"/>
      <c r="Y302" s="278"/>
      <c r="Z302" s="343"/>
      <c r="AA302" s="314"/>
    </row>
    <row r="303" spans="1:27" ht="13.8" x14ac:dyDescent="0.25">
      <c r="B303" s="176"/>
      <c r="C303" s="176"/>
      <c r="D303" s="176"/>
      <c r="E303" s="176" t="s">
        <v>406</v>
      </c>
      <c r="F303" s="214">
        <f t="shared" si="32"/>
        <v>2018</v>
      </c>
      <c r="G303" s="176"/>
      <c r="H303" s="215"/>
      <c r="I303" s="176"/>
      <c r="J303" s="176"/>
      <c r="K303" s="215"/>
      <c r="L303" s="215"/>
      <c r="M303" s="176"/>
      <c r="N303" s="176"/>
      <c r="O303" s="176"/>
      <c r="P303" s="176"/>
      <c r="Q303" s="176"/>
      <c r="R303" s="342"/>
      <c r="S303" s="176"/>
      <c r="W303" s="277"/>
      <c r="X303" s="278"/>
      <c r="Y303" s="278"/>
      <c r="Z303" s="343"/>
      <c r="AA303" s="315"/>
    </row>
    <row r="304" spans="1:27" ht="13.8" x14ac:dyDescent="0.25">
      <c r="B304" s="219"/>
      <c r="C304" s="219"/>
      <c r="D304" s="219"/>
      <c r="E304" s="219" t="s">
        <v>199</v>
      </c>
      <c r="F304" s="214">
        <f t="shared" si="32"/>
        <v>2018</v>
      </c>
      <c r="G304" s="281"/>
      <c r="H304" s="344"/>
      <c r="I304" s="281"/>
      <c r="J304" s="281"/>
      <c r="K304" s="344"/>
      <c r="L304" s="344"/>
      <c r="M304" s="281"/>
      <c r="N304" s="281"/>
      <c r="O304" s="281"/>
      <c r="P304" s="281"/>
      <c r="Q304" s="281"/>
      <c r="R304" s="345"/>
      <c r="S304" s="281"/>
      <c r="W304" s="277"/>
      <c r="X304" s="278"/>
      <c r="Y304" s="278"/>
      <c r="Z304" s="343"/>
      <c r="AA304" s="315"/>
    </row>
    <row r="305" spans="2:27" ht="13.8" x14ac:dyDescent="0.25">
      <c r="B305" s="176" t="str">
        <f>W9</f>
        <v>INDNFMCHPAUT_N_IM</v>
      </c>
      <c r="C305" s="176" t="str">
        <f>X9</f>
        <v>On-site CHP Non Ferrous Metals NEW Improved</v>
      </c>
      <c r="D305" s="255" t="s">
        <v>426</v>
      </c>
      <c r="E305" s="176"/>
      <c r="F305" s="268">
        <f>G305</f>
        <v>2020</v>
      </c>
      <c r="G305" s="181">
        <v>2020</v>
      </c>
      <c r="H305" s="341">
        <v>0.36</v>
      </c>
      <c r="I305" s="181">
        <v>31.536000000000001</v>
      </c>
      <c r="J305" s="181">
        <v>0.75</v>
      </c>
      <c r="K305" s="341">
        <f>K299*1.1</f>
        <v>1222.2222222222224</v>
      </c>
      <c r="L305" s="341">
        <f>L299</f>
        <v>27.777777777777779</v>
      </c>
      <c r="M305" s="181"/>
      <c r="N305" s="181">
        <v>25</v>
      </c>
      <c r="O305" s="181">
        <v>0.4</v>
      </c>
      <c r="P305" s="181">
        <f>O305</f>
        <v>0.4</v>
      </c>
      <c r="Q305" s="181">
        <v>2.2999999999999998</v>
      </c>
      <c r="R305" s="271">
        <f>ROUNDUP(Q305*0.8,1)</f>
        <v>1.9000000000000001</v>
      </c>
      <c r="S305" s="181">
        <v>0.2</v>
      </c>
      <c r="W305" s="284">
        <f>1*I305*J305/H305</f>
        <v>65.7</v>
      </c>
      <c r="X305" s="285">
        <f>W305*(H305/(Q305*S305+1))</f>
        <v>16.2</v>
      </c>
      <c r="Y305" s="286">
        <f>X305*Q305</f>
        <v>37.26</v>
      </c>
      <c r="Z305" s="308">
        <f>SUM(X305:Y305)/W305</f>
        <v>0.81369863013698618</v>
      </c>
      <c r="AA305" s="314">
        <f>X305/W305</f>
        <v>0.24657534246575341</v>
      </c>
    </row>
    <row r="306" spans="2:27" ht="13.8" x14ac:dyDescent="0.25">
      <c r="B306" s="176"/>
      <c r="C306" s="176"/>
      <c r="D306" s="176" t="s">
        <v>265</v>
      </c>
      <c r="E306" s="176"/>
      <c r="F306" s="214">
        <f>F305</f>
        <v>2020</v>
      </c>
      <c r="G306" s="181"/>
      <c r="H306" s="341"/>
      <c r="I306" s="181"/>
      <c r="J306" s="181"/>
      <c r="K306" s="341"/>
      <c r="L306" s="341"/>
      <c r="M306" s="181"/>
      <c r="N306" s="181"/>
      <c r="O306" s="181">
        <v>0.05</v>
      </c>
      <c r="P306" s="181">
        <f t="shared" ref="P306:P308" si="33">O306</f>
        <v>0.05</v>
      </c>
      <c r="Q306" s="181"/>
      <c r="R306" s="342"/>
      <c r="S306" s="181"/>
      <c r="W306" s="277"/>
      <c r="X306" s="278"/>
      <c r="Y306" s="278"/>
      <c r="Z306" s="343"/>
      <c r="AA306" s="343"/>
    </row>
    <row r="307" spans="2:27" ht="13.8" x14ac:dyDescent="0.25">
      <c r="B307" s="176"/>
      <c r="C307" s="176"/>
      <c r="D307" s="176" t="s">
        <v>164</v>
      </c>
      <c r="E307" s="176"/>
      <c r="F307" s="214">
        <f t="shared" ref="F307:F310" si="34">F306</f>
        <v>2020</v>
      </c>
      <c r="G307" s="176"/>
      <c r="H307" s="215"/>
      <c r="I307" s="176"/>
      <c r="J307" s="176"/>
      <c r="K307" s="215"/>
      <c r="L307" s="215"/>
      <c r="M307" s="176"/>
      <c r="N307" s="176"/>
      <c r="O307" s="176">
        <v>0.7</v>
      </c>
      <c r="P307" s="181">
        <f t="shared" si="33"/>
        <v>0.7</v>
      </c>
      <c r="Q307" s="176"/>
      <c r="R307" s="342"/>
      <c r="S307" s="176"/>
      <c r="W307" s="277"/>
      <c r="X307" s="278"/>
      <c r="Y307" s="278"/>
      <c r="Z307" s="343"/>
      <c r="AA307" s="343"/>
    </row>
    <row r="308" spans="2:27" ht="13.8" x14ac:dyDescent="0.25">
      <c r="B308" s="176"/>
      <c r="C308" s="176"/>
      <c r="D308" s="176" t="s">
        <v>144</v>
      </c>
      <c r="E308" s="176"/>
      <c r="F308" s="214">
        <f>F307</f>
        <v>2020</v>
      </c>
      <c r="G308" s="181"/>
      <c r="H308" s="341"/>
      <c r="I308" s="181"/>
      <c r="J308" s="181"/>
      <c r="K308" s="341"/>
      <c r="L308" s="341"/>
      <c r="M308" s="181"/>
      <c r="N308" s="181"/>
      <c r="O308" s="181">
        <v>0</v>
      </c>
      <c r="P308" s="181">
        <f t="shared" si="33"/>
        <v>0</v>
      </c>
      <c r="Q308" s="181"/>
      <c r="R308" s="342"/>
      <c r="S308" s="181"/>
      <c r="W308" s="277"/>
      <c r="X308" s="278"/>
      <c r="Y308" s="278"/>
      <c r="Z308" s="343"/>
      <c r="AA308" s="343"/>
    </row>
    <row r="309" spans="2:27" ht="13.8" x14ac:dyDescent="0.25">
      <c r="B309" s="176"/>
      <c r="C309" s="176"/>
      <c r="D309" s="176"/>
      <c r="E309" s="176" t="s">
        <v>406</v>
      </c>
      <c r="F309" s="214">
        <f t="shared" si="34"/>
        <v>2020</v>
      </c>
      <c r="G309" s="176"/>
      <c r="H309" s="215"/>
      <c r="I309" s="176"/>
      <c r="J309" s="176"/>
      <c r="K309" s="215"/>
      <c r="L309" s="215"/>
      <c r="M309" s="176"/>
      <c r="N309" s="176"/>
      <c r="O309" s="176"/>
      <c r="P309" s="176"/>
      <c r="Q309" s="176"/>
      <c r="R309" s="342"/>
      <c r="S309" s="176"/>
      <c r="W309" s="277"/>
      <c r="X309" s="278"/>
      <c r="Y309" s="278"/>
      <c r="Z309" s="343"/>
      <c r="AA309" s="343"/>
    </row>
    <row r="310" spans="2:27" ht="13.8" x14ac:dyDescent="0.25">
      <c r="B310" s="219"/>
      <c r="C310" s="219"/>
      <c r="D310" s="219"/>
      <c r="E310" s="219" t="s">
        <v>199</v>
      </c>
      <c r="F310" s="220">
        <f t="shared" si="34"/>
        <v>2020</v>
      </c>
      <c r="G310" s="281"/>
      <c r="H310" s="344"/>
      <c r="I310" s="281"/>
      <c r="J310" s="281"/>
      <c r="K310" s="344"/>
      <c r="L310" s="344"/>
      <c r="M310" s="281"/>
      <c r="N310" s="281"/>
      <c r="O310" s="281"/>
      <c r="P310" s="281"/>
      <c r="Q310" s="281"/>
      <c r="R310" s="345"/>
      <c r="S310" s="281"/>
      <c r="W310" s="277"/>
      <c r="X310" s="278"/>
      <c r="Y310" s="278"/>
      <c r="Z310" s="343"/>
      <c r="AA310" s="343"/>
    </row>
    <row r="311" spans="2:27" ht="13.8" x14ac:dyDescent="0.25">
      <c r="B311" s="176" t="str">
        <f>W10</f>
        <v>INDNFMCHPAUT_N_AD</v>
      </c>
      <c r="C311" s="176" t="str">
        <f>X10</f>
        <v>On-site CHP Non Ferrous Metals NEW Advanced</v>
      </c>
      <c r="D311" s="255" t="s">
        <v>426</v>
      </c>
      <c r="E311" s="176"/>
      <c r="F311" s="268">
        <f>G311</f>
        <v>2030</v>
      </c>
      <c r="G311" s="181">
        <v>2030</v>
      </c>
      <c r="H311" s="341">
        <v>0.4</v>
      </c>
      <c r="I311" s="181">
        <v>31.536000000000001</v>
      </c>
      <c r="J311" s="181">
        <v>0.75</v>
      </c>
      <c r="K311" s="341">
        <f>K305*1.1</f>
        <v>1344.4444444444448</v>
      </c>
      <c r="L311" s="341">
        <f>L305</f>
        <v>27.777777777777779</v>
      </c>
      <c r="M311" s="181"/>
      <c r="N311" s="181">
        <v>25</v>
      </c>
      <c r="O311" s="181">
        <v>0.1</v>
      </c>
      <c r="P311" s="181">
        <v>0.1</v>
      </c>
      <c r="Q311" s="181">
        <v>2.2999999999999998</v>
      </c>
      <c r="R311" s="271">
        <f>ROUNDUP(Q311*0.8,1)</f>
        <v>1.9000000000000001</v>
      </c>
      <c r="S311" s="181">
        <v>0.2</v>
      </c>
      <c r="W311" s="288">
        <f>1*I311*J311/H311</f>
        <v>59.13</v>
      </c>
      <c r="X311" s="289">
        <f>W311*(H311/(Q311*S311+1))</f>
        <v>16.200000000000003</v>
      </c>
      <c r="Y311" s="290">
        <f>X311*Q311</f>
        <v>37.260000000000005</v>
      </c>
      <c r="Z311" s="316">
        <f>SUM(X311:Y311)/W311</f>
        <v>0.90410958904109595</v>
      </c>
      <c r="AA311" s="317">
        <f>X311/W311</f>
        <v>0.27397260273972607</v>
      </c>
    </row>
    <row r="312" spans="2:27" ht="13.8" x14ac:dyDescent="0.25">
      <c r="B312" s="176"/>
      <c r="C312" s="176"/>
      <c r="D312" s="176" t="s">
        <v>265</v>
      </c>
      <c r="E312" s="176"/>
      <c r="F312" s="214">
        <f>F311</f>
        <v>2030</v>
      </c>
      <c r="G312" s="181"/>
      <c r="H312" s="181"/>
      <c r="I312" s="181"/>
      <c r="J312" s="181"/>
      <c r="K312" s="181"/>
      <c r="L312" s="181"/>
      <c r="M312" s="181"/>
      <c r="N312" s="181"/>
      <c r="O312" s="181">
        <v>0.05</v>
      </c>
      <c r="P312" s="181">
        <v>0.05</v>
      </c>
      <c r="Q312" s="181"/>
      <c r="R312" s="342"/>
      <c r="S312" s="181"/>
    </row>
    <row r="313" spans="2:27" ht="13.8" x14ac:dyDescent="0.25">
      <c r="B313" s="176"/>
      <c r="C313" s="176"/>
      <c r="D313" s="176" t="s">
        <v>164</v>
      </c>
      <c r="E313" s="176"/>
      <c r="F313" s="214">
        <f t="shared" ref="F313:F316" si="35">F312</f>
        <v>2030</v>
      </c>
      <c r="G313" s="176"/>
      <c r="H313" s="176"/>
      <c r="I313" s="176"/>
      <c r="J313" s="176"/>
      <c r="K313" s="176"/>
      <c r="L313" s="176"/>
      <c r="M313" s="176"/>
      <c r="N313" s="176"/>
      <c r="O313" s="176">
        <v>1</v>
      </c>
      <c r="P313" s="176">
        <f>O313</f>
        <v>1</v>
      </c>
      <c r="Q313" s="176"/>
      <c r="R313" s="342"/>
      <c r="S313" s="176"/>
    </row>
    <row r="314" spans="2:27" ht="13.8" x14ac:dyDescent="0.25">
      <c r="B314" s="176"/>
      <c r="C314" s="176"/>
      <c r="D314" s="176" t="s">
        <v>144</v>
      </c>
      <c r="E314" s="176"/>
      <c r="F314" s="214">
        <f>F313</f>
        <v>2030</v>
      </c>
      <c r="G314" s="181"/>
      <c r="H314" s="181"/>
      <c r="I314" s="181"/>
      <c r="J314" s="181"/>
      <c r="K314" s="181"/>
      <c r="L314" s="181"/>
      <c r="M314" s="181"/>
      <c r="N314" s="181"/>
      <c r="O314" s="181">
        <v>0</v>
      </c>
      <c r="P314" s="181">
        <v>0</v>
      </c>
      <c r="Q314" s="181"/>
      <c r="R314" s="181"/>
      <c r="S314" s="181"/>
    </row>
    <row r="315" spans="2:27" ht="13.8" x14ac:dyDescent="0.25">
      <c r="B315" s="176"/>
      <c r="C315" s="176"/>
      <c r="D315" s="176"/>
      <c r="E315" s="176" t="s">
        <v>406</v>
      </c>
      <c r="F315" s="214">
        <f t="shared" si="35"/>
        <v>2030</v>
      </c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</row>
    <row r="316" spans="2:27" ht="13.8" x14ac:dyDescent="0.25">
      <c r="B316" s="219"/>
      <c r="C316" s="219"/>
      <c r="D316" s="219"/>
      <c r="E316" s="219" t="s">
        <v>199</v>
      </c>
      <c r="F316" s="220">
        <f t="shared" si="35"/>
        <v>2030</v>
      </c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419"/>
  <sheetViews>
    <sheetView topLeftCell="A47" zoomScale="60" zoomScaleNormal="60" workbookViewId="0">
      <selection activeCell="A47" sqref="A1:XFD1048576"/>
    </sheetView>
  </sheetViews>
  <sheetFormatPr defaultColWidth="9.109375" defaultRowHeight="13.2" x14ac:dyDescent="0.25"/>
  <cols>
    <col min="1" max="1" width="9.109375" style="35"/>
    <col min="2" max="2" width="33.88671875" style="35" customWidth="1"/>
    <col min="3" max="3" width="66.6640625" style="35" bestFit="1" customWidth="1"/>
    <col min="4" max="4" width="17.109375" style="35" bestFit="1" customWidth="1"/>
    <col min="5" max="5" width="19.109375" style="35" bestFit="1" customWidth="1"/>
    <col min="6" max="6" width="15.44140625" style="35" customWidth="1"/>
    <col min="7" max="7" width="16.44140625" style="35" customWidth="1"/>
    <col min="8" max="8" width="18.33203125" style="35" bestFit="1" customWidth="1"/>
    <col min="9" max="9" width="16.44140625" style="35" bestFit="1" customWidth="1"/>
    <col min="10" max="10" width="18.88671875" style="35" bestFit="1" customWidth="1"/>
    <col min="11" max="11" width="20.5546875" style="35" customWidth="1"/>
    <col min="12" max="12" width="13.5546875" style="35" customWidth="1"/>
    <col min="13" max="13" width="16.6640625" style="35" customWidth="1"/>
    <col min="14" max="14" width="9.109375" style="35"/>
    <col min="15" max="15" width="24" style="101" bestFit="1" customWidth="1"/>
    <col min="16" max="16" width="9.109375" style="35"/>
    <col min="17" max="17" width="27.5546875" style="35" customWidth="1"/>
    <col min="18" max="18" width="51.5546875" style="35" bestFit="1" customWidth="1"/>
    <col min="19" max="19" width="35.44140625" style="35" customWidth="1"/>
    <col min="20" max="20" width="69.33203125" style="35" bestFit="1" customWidth="1"/>
    <col min="21" max="21" width="13.44140625" style="35" bestFit="1" customWidth="1"/>
    <col min="22" max="22" width="10" style="35" bestFit="1" customWidth="1"/>
    <col min="23" max="23" width="35" style="35" bestFit="1" customWidth="1"/>
    <col min="24" max="24" width="27.6640625" style="35" bestFit="1" customWidth="1"/>
    <col min="25" max="25" width="17.88671875" style="35" bestFit="1" customWidth="1"/>
    <col min="26" max="26" width="19.44140625" style="35" bestFit="1" customWidth="1"/>
    <col min="27" max="27" width="4.88671875" style="35" bestFit="1" customWidth="1"/>
    <col min="28" max="28" width="27.109375" style="35" bestFit="1" customWidth="1"/>
    <col min="29" max="29" width="28" style="35" bestFit="1" customWidth="1"/>
    <col min="30" max="30" width="20.44140625" style="35" bestFit="1" customWidth="1"/>
    <col min="31" max="31" width="27.88671875" style="35" bestFit="1" customWidth="1"/>
    <col min="32" max="32" width="10.109375" style="35" customWidth="1"/>
    <col min="33" max="34" width="27.5546875" style="35" customWidth="1"/>
    <col min="35" max="35" width="25.33203125" style="35" customWidth="1"/>
    <col min="36" max="36" width="9.109375" style="35"/>
    <col min="37" max="37" width="15.109375" style="35" customWidth="1"/>
    <col min="38" max="38" width="13.88671875" style="35" bestFit="1" customWidth="1"/>
    <col min="39" max="39" width="40.44140625" style="35" customWidth="1"/>
    <col min="40" max="40" width="65.5546875" style="35" bestFit="1" customWidth="1"/>
    <col min="41" max="42" width="13.44140625" style="35" bestFit="1" customWidth="1"/>
    <col min="43" max="43" width="33.44140625" style="35" bestFit="1" customWidth="1"/>
    <col min="44" max="44" width="26.44140625" style="35" bestFit="1" customWidth="1"/>
    <col min="45" max="45" width="16.6640625" style="35" bestFit="1" customWidth="1"/>
    <col min="46" max="46" width="9.109375" style="35"/>
    <col min="47" max="47" width="40.109375" style="35" bestFit="1" customWidth="1"/>
    <col min="48" max="48" width="58.88671875" style="35" bestFit="1" customWidth="1"/>
    <col min="49" max="50" width="58.88671875" style="35" customWidth="1"/>
    <col min="51" max="51" width="9.109375" style="35"/>
    <col min="52" max="52" width="28.109375" style="35" bestFit="1" customWidth="1"/>
    <col min="53" max="53" width="17.109375" style="35" bestFit="1" customWidth="1"/>
    <col min="54" max="54" width="27.6640625" style="35" bestFit="1" customWidth="1"/>
    <col min="55" max="55" width="5.88671875" style="35" bestFit="1" customWidth="1"/>
    <col min="56" max="56" width="24.5546875" style="35" bestFit="1" customWidth="1"/>
    <col min="57" max="57" width="22.88671875" style="35" bestFit="1" customWidth="1"/>
    <col min="58" max="58" width="15.88671875" style="35" bestFit="1" customWidth="1"/>
    <col min="59" max="59" width="17.44140625" style="35" bestFit="1" customWidth="1"/>
    <col min="60" max="60" width="9.109375" style="35"/>
    <col min="61" max="61" width="22" style="35" bestFit="1" customWidth="1"/>
    <col min="62" max="16384" width="9.109375" style="35"/>
  </cols>
  <sheetData>
    <row r="1" spans="1:58" ht="17.399999999999999" x14ac:dyDescent="0.3">
      <c r="A1" s="34"/>
      <c r="B1" s="34" t="s">
        <v>299</v>
      </c>
      <c r="C1" s="34"/>
      <c r="D1" s="34"/>
      <c r="E1" s="34"/>
      <c r="F1" s="34"/>
      <c r="G1" s="34"/>
      <c r="H1" s="34"/>
      <c r="I1" s="34"/>
      <c r="J1" s="34"/>
    </row>
    <row r="2" spans="1:58" s="72" customFormat="1" ht="13.8" x14ac:dyDescent="0.25">
      <c r="O2" s="102"/>
      <c r="R2" s="103"/>
      <c r="S2" s="104"/>
      <c r="T2" s="104"/>
    </row>
    <row r="3" spans="1:58" s="72" customFormat="1" ht="13.8" x14ac:dyDescent="0.25">
      <c r="O3" s="102"/>
      <c r="R3" s="37" t="s">
        <v>225</v>
      </c>
      <c r="S3" s="37"/>
      <c r="T3" s="37"/>
      <c r="U3" s="37"/>
      <c r="V3" s="37"/>
      <c r="W3" s="37"/>
      <c r="X3" s="37"/>
      <c r="Y3" s="37"/>
    </row>
    <row r="4" spans="1:58" s="72" customFormat="1" ht="13.8" x14ac:dyDescent="0.25">
      <c r="O4" s="102"/>
      <c r="R4" s="37"/>
      <c r="S4" s="37"/>
      <c r="T4" s="37"/>
      <c r="U4" s="37"/>
      <c r="V4" s="37"/>
      <c r="W4" s="37"/>
      <c r="X4" s="37"/>
      <c r="Y4" s="37"/>
      <c r="Z4" s="105"/>
      <c r="AG4" s="106"/>
      <c r="AH4" s="106"/>
      <c r="AI4" s="106"/>
      <c r="AJ4" s="106"/>
      <c r="AK4" s="106"/>
      <c r="AL4" s="106"/>
      <c r="AM4" s="106"/>
      <c r="AN4" s="106"/>
      <c r="AO4" s="106"/>
      <c r="BF4" s="35"/>
    </row>
    <row r="5" spans="1:58" s="72" customFormat="1" ht="13.8" x14ac:dyDescent="0.25">
      <c r="B5" s="37"/>
      <c r="C5" s="107"/>
      <c r="D5" s="107"/>
      <c r="F5" s="108" t="s">
        <v>0</v>
      </c>
      <c r="G5" s="36"/>
      <c r="O5" s="102"/>
      <c r="R5" s="38" t="s">
        <v>226</v>
      </c>
      <c r="S5" s="38" t="s">
        <v>232</v>
      </c>
      <c r="T5" s="38"/>
      <c r="U5" s="38"/>
      <c r="V5" s="38"/>
      <c r="W5" s="38"/>
      <c r="X5" s="38"/>
      <c r="Y5" s="38"/>
      <c r="AG5" s="109"/>
      <c r="AH5" s="109"/>
      <c r="AI5" s="106"/>
      <c r="AJ5" s="106"/>
      <c r="AK5" s="106"/>
      <c r="AL5" s="106"/>
      <c r="AM5" s="106"/>
      <c r="AN5" s="106"/>
      <c r="AO5" s="106"/>
      <c r="AV5" s="110"/>
      <c r="AW5" s="111"/>
      <c r="AX5" s="111"/>
      <c r="AY5" s="112"/>
      <c r="AZ5" s="112"/>
      <c r="BA5" s="111"/>
      <c r="BB5" s="111"/>
      <c r="BC5" s="111"/>
      <c r="BD5" s="113"/>
      <c r="BE5" s="113"/>
      <c r="BF5" s="114"/>
    </row>
    <row r="6" spans="1:58" s="72" customFormat="1" ht="13.8" x14ac:dyDescent="0.25">
      <c r="B6" s="45" t="s">
        <v>1</v>
      </c>
      <c r="C6" s="45" t="s">
        <v>227</v>
      </c>
      <c r="D6" s="45" t="s">
        <v>3</v>
      </c>
      <c r="E6" s="45" t="s">
        <v>4</v>
      </c>
      <c r="F6" s="46" t="s">
        <v>233</v>
      </c>
      <c r="G6" s="115" t="s">
        <v>14</v>
      </c>
      <c r="H6" s="47" t="s">
        <v>250</v>
      </c>
      <c r="I6" s="47" t="s">
        <v>36</v>
      </c>
      <c r="J6" s="49" t="s">
        <v>5</v>
      </c>
      <c r="K6" s="49" t="s">
        <v>48</v>
      </c>
      <c r="O6" s="102"/>
      <c r="R6" s="38"/>
      <c r="S6" s="38"/>
      <c r="T6" s="38"/>
      <c r="U6" s="38"/>
      <c r="V6" s="38"/>
      <c r="W6" s="38"/>
      <c r="X6" s="38"/>
      <c r="Y6" s="38"/>
      <c r="AG6" s="109"/>
      <c r="AH6" s="109"/>
      <c r="AI6" s="109"/>
      <c r="AJ6" s="109"/>
      <c r="AK6" s="109"/>
      <c r="AL6" s="109"/>
      <c r="AM6" s="109"/>
      <c r="AN6" s="109"/>
      <c r="AO6" s="109"/>
      <c r="AQ6" s="116"/>
      <c r="AR6" s="116"/>
      <c r="AS6" s="116"/>
      <c r="AT6" s="116"/>
      <c r="AV6" s="110"/>
      <c r="AW6" s="110"/>
      <c r="AX6" s="110"/>
      <c r="AY6" s="117"/>
      <c r="AZ6" s="117"/>
      <c r="BA6" s="118"/>
      <c r="BB6" s="118"/>
      <c r="BC6" s="118"/>
      <c r="BD6" s="113"/>
      <c r="BE6" s="114"/>
      <c r="BF6" s="119"/>
    </row>
    <row r="7" spans="1:58" s="72" customFormat="1" ht="20.25" customHeight="1" thickBot="1" x14ac:dyDescent="0.3">
      <c r="B7" s="54" t="s">
        <v>234</v>
      </c>
      <c r="C7" s="54" t="s">
        <v>28</v>
      </c>
      <c r="D7" s="54" t="s">
        <v>32</v>
      </c>
      <c r="E7" s="54" t="s">
        <v>33</v>
      </c>
      <c r="F7" s="55"/>
      <c r="G7" s="56" t="s">
        <v>35</v>
      </c>
      <c r="H7" s="56" t="s">
        <v>278</v>
      </c>
      <c r="I7" s="56" t="s">
        <v>37</v>
      </c>
      <c r="J7" s="54" t="s">
        <v>38</v>
      </c>
      <c r="K7" s="54" t="s">
        <v>218</v>
      </c>
      <c r="O7" s="102"/>
      <c r="R7" s="41" t="s">
        <v>17</v>
      </c>
      <c r="S7" s="38"/>
      <c r="T7" s="38"/>
      <c r="U7" s="38"/>
      <c r="V7" s="38"/>
      <c r="W7" s="38"/>
      <c r="X7" s="38"/>
      <c r="Y7" s="38"/>
      <c r="AA7" s="120"/>
      <c r="AB7" s="120"/>
      <c r="AG7" s="109"/>
      <c r="AH7" s="121"/>
      <c r="AI7" s="121"/>
      <c r="AJ7" s="121"/>
      <c r="AK7" s="121"/>
      <c r="AL7" s="121"/>
      <c r="AM7" s="121"/>
      <c r="AN7" s="121"/>
      <c r="AO7" s="121"/>
      <c r="AP7" s="102"/>
      <c r="AQ7" s="121"/>
      <c r="AR7" s="121"/>
      <c r="AS7" s="121"/>
      <c r="AT7" s="121"/>
      <c r="AV7" s="122"/>
      <c r="AW7" s="122"/>
      <c r="AX7" s="122"/>
      <c r="AY7" s="112"/>
      <c r="AZ7" s="112"/>
      <c r="BA7" s="122"/>
      <c r="BB7" s="122"/>
      <c r="BC7" s="122"/>
      <c r="BD7" s="113"/>
      <c r="BE7" s="119"/>
      <c r="BF7" s="113"/>
    </row>
    <row r="8" spans="1:58" s="72" customFormat="1" ht="17.25" customHeight="1" x14ac:dyDescent="0.25">
      <c r="B8" s="89"/>
      <c r="C8" s="90"/>
      <c r="D8" s="90"/>
      <c r="E8" s="90" t="s">
        <v>231</v>
      </c>
      <c r="F8" s="91"/>
      <c r="G8" s="90"/>
      <c r="H8" s="90"/>
      <c r="I8" s="90" t="s">
        <v>446</v>
      </c>
      <c r="J8" s="90" t="s">
        <v>446</v>
      </c>
      <c r="K8" s="90" t="s">
        <v>40</v>
      </c>
      <c r="O8" s="102"/>
      <c r="R8" s="50" t="s">
        <v>15</v>
      </c>
      <c r="S8" s="50" t="s">
        <v>1</v>
      </c>
      <c r="T8" s="50" t="s">
        <v>2</v>
      </c>
      <c r="U8" s="50" t="s">
        <v>18</v>
      </c>
      <c r="V8" s="50" t="s">
        <v>19</v>
      </c>
      <c r="W8" s="50" t="s">
        <v>20</v>
      </c>
      <c r="X8" s="50" t="s">
        <v>21</v>
      </c>
      <c r="Y8" s="50" t="s">
        <v>22</v>
      </c>
      <c r="AI8" s="102"/>
      <c r="AV8" s="111"/>
      <c r="AW8" s="111"/>
      <c r="AX8" s="111"/>
      <c r="AY8" s="112"/>
      <c r="AZ8" s="101"/>
      <c r="BD8" s="113"/>
      <c r="BE8" s="113"/>
      <c r="BF8" s="113"/>
    </row>
    <row r="9" spans="1:58" s="72" customFormat="1" ht="19.5" customHeight="1" thickBot="1" x14ac:dyDescent="0.3">
      <c r="B9" s="60" t="str">
        <f>S88</f>
        <v>INDDEMONM_N_ST</v>
      </c>
      <c r="C9" s="60" t="str">
        <f>T88</f>
        <v>Other Non Metallic Industry Demand Technology_N_ST</v>
      </c>
      <c r="D9" s="36" t="s">
        <v>287</v>
      </c>
      <c r="E9" s="36"/>
      <c r="F9" s="123">
        <f>G9</f>
        <v>2018</v>
      </c>
      <c r="G9" s="124">
        <v>2018</v>
      </c>
      <c r="H9" s="125">
        <v>0.84</v>
      </c>
      <c r="I9" s="126">
        <f>1*(1/0.9)</f>
        <v>1.1111111111111112</v>
      </c>
      <c r="J9" s="127"/>
      <c r="K9" s="127">
        <v>30</v>
      </c>
      <c r="O9" s="102"/>
      <c r="R9" s="57" t="s">
        <v>228</v>
      </c>
      <c r="S9" s="57" t="s">
        <v>27</v>
      </c>
      <c r="T9" s="57" t="s">
        <v>28</v>
      </c>
      <c r="U9" s="57" t="s">
        <v>29</v>
      </c>
      <c r="V9" s="57" t="s">
        <v>30</v>
      </c>
      <c r="W9" s="57" t="s">
        <v>229</v>
      </c>
      <c r="X9" s="57" t="s">
        <v>230</v>
      </c>
      <c r="Y9" s="57" t="s">
        <v>31</v>
      </c>
      <c r="AI9" s="102"/>
      <c r="AW9" s="111"/>
      <c r="AX9" s="111"/>
      <c r="AY9" s="112"/>
      <c r="AZ9" s="101"/>
      <c r="BF9" s="113"/>
    </row>
    <row r="10" spans="1:58" s="72" customFormat="1" ht="13.8" x14ac:dyDescent="0.25">
      <c r="B10" s="36"/>
      <c r="C10" s="128"/>
      <c r="D10" s="36" t="s">
        <v>288</v>
      </c>
      <c r="E10" s="36"/>
      <c r="F10" s="123">
        <f>F9</f>
        <v>2018</v>
      </c>
      <c r="G10" s="129"/>
      <c r="H10" s="97">
        <v>0</v>
      </c>
      <c r="I10" s="104"/>
      <c r="O10" s="102"/>
      <c r="R10" s="37" t="s">
        <v>272</v>
      </c>
      <c r="S10" s="37" t="str">
        <f>"INDONMSTM"&amp;RIGHT(Commodities!$D$7,6)&amp;"_"&amp;AA10</f>
        <v>INDONMSTMCOASUB_ST</v>
      </c>
      <c r="T10" s="37" t="str">
        <f>"Steam Boiler Other Non Metallic Minerals Sub-bituminuos"&amp;"_"&amp;$S$5&amp;"_"&amp;AA10</f>
        <v>Steam Boiler Other Non Metallic Minerals Sub-bituminuos_N_ST</v>
      </c>
      <c r="U10" s="37" t="s">
        <v>206</v>
      </c>
      <c r="V10" s="37" t="s">
        <v>224</v>
      </c>
      <c r="W10" s="37"/>
      <c r="X10" s="37"/>
      <c r="Y10" s="37"/>
      <c r="AA10" s="72" t="s">
        <v>274</v>
      </c>
      <c r="AB10" s="35"/>
      <c r="AC10" s="35"/>
      <c r="AI10" s="102"/>
      <c r="AW10" s="111"/>
      <c r="AX10" s="111"/>
      <c r="AY10" s="112"/>
      <c r="BF10" s="113"/>
    </row>
    <row r="11" spans="1:58" s="72" customFormat="1" ht="13.8" x14ac:dyDescent="0.25">
      <c r="B11" s="36"/>
      <c r="C11" s="128"/>
      <c r="D11" s="36" t="s">
        <v>289</v>
      </c>
      <c r="E11" s="36"/>
      <c r="F11" s="123">
        <f>F9</f>
        <v>2018</v>
      </c>
      <c r="G11" s="129"/>
      <c r="H11" s="97">
        <v>0.13</v>
      </c>
      <c r="I11" s="104"/>
      <c r="O11" s="102"/>
      <c r="R11" s="37"/>
      <c r="S11" s="37" t="str">
        <f>"INDONMSTM"&amp;RIGHT(Commodities!$D$7,6)&amp;"_"&amp;AA11</f>
        <v>INDONMSTMCOASUB_IM</v>
      </c>
      <c r="T11" s="37" t="str">
        <f t="shared" ref="T11:T12" si="0">"Steam Boiler Other Non Metallic Minerals Sub-bituminuos"&amp;"_"&amp;$S$5&amp;"_"&amp;AA11</f>
        <v>Steam Boiler Other Non Metallic Minerals Sub-bituminuos_N_IM</v>
      </c>
      <c r="U11" s="37" t="s">
        <v>206</v>
      </c>
      <c r="V11" s="37" t="s">
        <v>224</v>
      </c>
      <c r="W11" s="37"/>
      <c r="X11" s="37"/>
      <c r="Y11" s="37"/>
      <c r="AA11" s="72" t="s">
        <v>275</v>
      </c>
      <c r="AB11" s="35"/>
      <c r="AC11" s="35"/>
      <c r="AI11" s="102"/>
      <c r="AW11" s="111"/>
      <c r="AX11" s="111"/>
      <c r="AY11" s="112"/>
      <c r="BF11" s="113"/>
    </row>
    <row r="12" spans="1:58" s="72" customFormat="1" ht="13.8" x14ac:dyDescent="0.25">
      <c r="B12" s="36"/>
      <c r="C12" s="128"/>
      <c r="D12" s="36" t="s">
        <v>290</v>
      </c>
      <c r="E12" s="36"/>
      <c r="F12" s="123">
        <f>F9</f>
        <v>2018</v>
      </c>
      <c r="G12" s="129"/>
      <c r="H12" s="97">
        <v>0.03</v>
      </c>
      <c r="I12" s="104"/>
      <c r="O12" s="102"/>
      <c r="R12" s="37"/>
      <c r="S12" s="37" t="str">
        <f>"INDONMSTM"&amp;RIGHT(Commodities!$D$7,6)&amp;"_"&amp;AA12</f>
        <v>INDONMSTMCOASUB_AD</v>
      </c>
      <c r="T12" s="37" t="str">
        <f t="shared" si="0"/>
        <v>Steam Boiler Other Non Metallic Minerals Sub-bituminuos_N_AD</v>
      </c>
      <c r="U12" s="37" t="s">
        <v>206</v>
      </c>
      <c r="V12" s="37" t="s">
        <v>224</v>
      </c>
      <c r="W12" s="37"/>
      <c r="X12" s="37"/>
      <c r="Y12" s="37"/>
      <c r="AA12" s="72" t="s">
        <v>276</v>
      </c>
      <c r="AB12" s="35"/>
      <c r="AC12" s="35"/>
      <c r="AI12" s="102"/>
      <c r="AW12" s="111"/>
      <c r="AX12" s="111"/>
      <c r="AY12" s="112"/>
      <c r="BF12" s="113"/>
    </row>
    <row r="13" spans="1:58" s="72" customFormat="1" ht="13.8" x14ac:dyDescent="0.25">
      <c r="B13" s="67"/>
      <c r="C13" s="131"/>
      <c r="D13" s="131"/>
      <c r="E13" s="131" t="s">
        <v>261</v>
      </c>
      <c r="F13" s="132">
        <f>F9</f>
        <v>2018</v>
      </c>
      <c r="G13" s="133"/>
      <c r="H13" s="98"/>
      <c r="I13" s="319"/>
      <c r="J13" s="98"/>
      <c r="K13" s="98"/>
      <c r="M13" s="102"/>
      <c r="O13" s="102"/>
      <c r="R13" s="37"/>
      <c r="S13" s="37" t="str">
        <f>"INDONMSTM"&amp;RIGHT(Commodities!$D$9,6)&amp;"_"&amp;AA13</f>
        <v>INDONMSTMCOABIC_ST</v>
      </c>
      <c r="T13" s="37" t="str">
        <f>"Steam Boiler Other Non Metallic Minerals Bituminous"&amp;"_"&amp;$S$5&amp;"_"&amp;AA13</f>
        <v>Steam Boiler Other Non Metallic Minerals Bituminous_N_ST</v>
      </c>
      <c r="U13" s="37" t="s">
        <v>206</v>
      </c>
      <c r="V13" s="37" t="s">
        <v>224</v>
      </c>
      <c r="W13" s="37"/>
      <c r="X13" s="37"/>
      <c r="Y13" s="37"/>
      <c r="AA13" s="72" t="s">
        <v>274</v>
      </c>
      <c r="AB13" s="35"/>
      <c r="AC13" s="35"/>
      <c r="AI13" s="102"/>
      <c r="BF13" s="113"/>
    </row>
    <row r="14" spans="1:58" s="72" customFormat="1" ht="13.8" x14ac:dyDescent="0.25">
      <c r="B14" s="60" t="str">
        <f>S89</f>
        <v>INDDEMONM_N_IM</v>
      </c>
      <c r="C14" s="60" t="str">
        <f>T89</f>
        <v>Other Non Metallic Industry Demand Technology_N_IM</v>
      </c>
      <c r="D14" s="36" t="str">
        <f>D9</f>
        <v>INDONMSTM</v>
      </c>
      <c r="E14" s="36"/>
      <c r="F14" s="123">
        <f>G14</f>
        <v>2025</v>
      </c>
      <c r="G14" s="124">
        <f>G9+7</f>
        <v>2025</v>
      </c>
      <c r="H14" s="125">
        <f>H9*$M$14</f>
        <v>0.81479999999999997</v>
      </c>
      <c r="I14" s="125">
        <v>1.4266949074308242</v>
      </c>
      <c r="J14" s="127"/>
      <c r="K14" s="127">
        <v>30</v>
      </c>
      <c r="M14" s="135">
        <v>0.97</v>
      </c>
      <c r="O14" s="102"/>
      <c r="R14" s="37"/>
      <c r="S14" s="37" t="str">
        <f>"INDONMSTM"&amp;RIGHT(Commodities!$D$9,6)&amp;"_"&amp;AA14</f>
        <v>INDONMSTMCOABIC_IM</v>
      </c>
      <c r="T14" s="37" t="str">
        <f>"Steam Boiler Other Non Metallic Minerals Bituminous"&amp;"_"&amp;$S$5&amp;"_"&amp;AA14</f>
        <v>Steam Boiler Other Non Metallic Minerals Bituminous_N_IM</v>
      </c>
      <c r="U14" s="37" t="s">
        <v>206</v>
      </c>
      <c r="V14" s="37" t="s">
        <v>224</v>
      </c>
      <c r="W14" s="37"/>
      <c r="X14" s="37"/>
      <c r="Y14" s="37"/>
      <c r="AA14" s="72" t="s">
        <v>275</v>
      </c>
      <c r="AB14" s="35"/>
      <c r="AC14" s="35"/>
      <c r="AI14" s="102"/>
      <c r="BF14" s="113"/>
    </row>
    <row r="15" spans="1:58" s="72" customFormat="1" ht="13.8" x14ac:dyDescent="0.25">
      <c r="B15" s="36"/>
      <c r="C15" s="128"/>
      <c r="D15" s="36" t="str">
        <f t="shared" ref="D15:D17" si="1">D10</f>
        <v>INDONMHPR</v>
      </c>
      <c r="E15" s="36"/>
      <c r="F15" s="123">
        <f>F14</f>
        <v>2025</v>
      </c>
      <c r="G15" s="129"/>
      <c r="H15" s="97">
        <f t="shared" ref="H15:H17" si="2">H10*$M$14</f>
        <v>0</v>
      </c>
      <c r="I15" s="104"/>
      <c r="M15" s="102"/>
      <c r="O15" s="102"/>
      <c r="R15" s="37"/>
      <c r="S15" s="37" t="str">
        <f>"INDONMSTM"&amp;RIGHT(Commodities!$D$9,6)&amp;"_"&amp;AA15</f>
        <v>INDONMSTMCOABIC_AD</v>
      </c>
      <c r="T15" s="37" t="str">
        <f>"Steam Boiler Other Non Metallic Minerals Bituminous"&amp;"_"&amp;$S$5&amp;"_"&amp;AA15</f>
        <v>Steam Boiler Other Non Metallic Minerals Bituminous_N_AD</v>
      </c>
      <c r="U15" s="37" t="s">
        <v>206</v>
      </c>
      <c r="V15" s="37" t="s">
        <v>224</v>
      </c>
      <c r="W15" s="37"/>
      <c r="X15" s="37"/>
      <c r="Y15" s="37"/>
      <c r="AA15" s="72" t="s">
        <v>276</v>
      </c>
      <c r="AB15" s="35"/>
      <c r="AC15" s="35"/>
      <c r="AI15" s="102"/>
      <c r="BF15" s="113"/>
    </row>
    <row r="16" spans="1:58" s="72" customFormat="1" ht="13.8" x14ac:dyDescent="0.25">
      <c r="B16" s="36"/>
      <c r="C16" s="128"/>
      <c r="D16" s="36" t="str">
        <f t="shared" si="1"/>
        <v>INDONMMCD</v>
      </c>
      <c r="E16" s="36"/>
      <c r="F16" s="123">
        <f>F14</f>
        <v>2025</v>
      </c>
      <c r="G16" s="129"/>
      <c r="H16" s="97">
        <f t="shared" si="2"/>
        <v>0.12609999999999999</v>
      </c>
      <c r="I16" s="104"/>
      <c r="M16" s="102"/>
      <c r="O16" s="102"/>
      <c r="R16" s="37"/>
      <c r="S16" s="37" t="str">
        <f>"INDONMSTM"&amp;RIGHT(Commodities!$D$10,6)&amp;"_"&amp;AA16</f>
        <v>INDONMSTMCOABCO_ST</v>
      </c>
      <c r="T16" s="37" t="str">
        <f>"Steam Boiler Other Non Metallic Minerals BrownCoal"&amp;"_"&amp;$S$5&amp;"_"&amp;AA16</f>
        <v>Steam Boiler Other Non Metallic Minerals BrownCoal_N_ST</v>
      </c>
      <c r="U16" s="37" t="s">
        <v>206</v>
      </c>
      <c r="V16" s="37" t="s">
        <v>224</v>
      </c>
      <c r="W16" s="37"/>
      <c r="X16" s="37"/>
      <c r="Y16" s="37"/>
      <c r="AA16" s="72" t="s">
        <v>274</v>
      </c>
      <c r="AB16" s="35"/>
      <c r="AC16" s="35"/>
      <c r="AI16" s="102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</row>
    <row r="17" spans="1:58" s="72" customFormat="1" ht="13.8" x14ac:dyDescent="0.25">
      <c r="B17" s="36"/>
      <c r="C17" s="128"/>
      <c r="D17" s="36" t="str">
        <f t="shared" si="1"/>
        <v>INDONMOEN</v>
      </c>
      <c r="E17" s="36"/>
      <c r="F17" s="123">
        <f>F14</f>
        <v>2025</v>
      </c>
      <c r="G17" s="129"/>
      <c r="H17" s="97">
        <f t="shared" si="2"/>
        <v>2.9099999999999997E-2</v>
      </c>
      <c r="I17" s="104"/>
      <c r="M17" s="102"/>
      <c r="O17" s="102"/>
      <c r="R17" s="37"/>
      <c r="S17" s="37" t="str">
        <f>"INDONMSTM"&amp;RIGHT(Commodities!$D$10,6)&amp;"_"&amp;AA17</f>
        <v>INDONMSTMCOABCO_IM</v>
      </c>
      <c r="T17" s="37" t="str">
        <f>"Steam Boiler Other Non Metallic Minerals BrownCoal"&amp;"_"&amp;$S$5&amp;"_"&amp;AA17</f>
        <v>Steam Boiler Other Non Metallic Minerals BrownCoal_N_IM</v>
      </c>
      <c r="U17" s="37" t="s">
        <v>206</v>
      </c>
      <c r="V17" s="37" t="s">
        <v>224</v>
      </c>
      <c r="W17" s="37"/>
      <c r="X17" s="37"/>
      <c r="Y17" s="37"/>
      <c r="AA17" s="72" t="s">
        <v>275</v>
      </c>
      <c r="AB17" s="35"/>
      <c r="AC17" s="35"/>
      <c r="AI17" s="102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</row>
    <row r="18" spans="1:58" s="72" customFormat="1" ht="13.8" x14ac:dyDescent="0.25">
      <c r="B18" s="67"/>
      <c r="C18" s="131"/>
      <c r="D18" s="131"/>
      <c r="E18" s="131" t="str">
        <f>E13</f>
        <v>INDONM</v>
      </c>
      <c r="F18" s="132">
        <f>F14</f>
        <v>2025</v>
      </c>
      <c r="G18" s="133"/>
      <c r="H18" s="98"/>
      <c r="I18" s="319"/>
      <c r="J18" s="98"/>
      <c r="K18" s="98"/>
      <c r="M18" s="102"/>
      <c r="O18" s="102"/>
      <c r="R18" s="37"/>
      <c r="S18" s="37" t="str">
        <f>"INDONMSTM"&amp;RIGHT(Commodities!$D$10,6)&amp;"_"&amp;AA18</f>
        <v>INDONMSTMCOABCO_AD</v>
      </c>
      <c r="T18" s="37" t="str">
        <f>"Steam Boiler Other Non Metallic Minerals BrownCoal"&amp;"_"&amp;$S$5&amp;"_"&amp;AA18</f>
        <v>Steam Boiler Other Non Metallic Minerals BrownCoal_N_AD</v>
      </c>
      <c r="U18" s="37" t="s">
        <v>206</v>
      </c>
      <c r="V18" s="37" t="s">
        <v>224</v>
      </c>
      <c r="W18" s="37"/>
      <c r="X18" s="37"/>
      <c r="Y18" s="37"/>
      <c r="AA18" s="72" t="s">
        <v>276</v>
      </c>
      <c r="AB18" s="35"/>
      <c r="AC18" s="35"/>
      <c r="AI18" s="102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</row>
    <row r="19" spans="1:58" ht="13.8" x14ac:dyDescent="0.25">
      <c r="B19" s="60" t="str">
        <f>S90</f>
        <v>INDDEMONM_N_AD</v>
      </c>
      <c r="C19" s="60" t="str">
        <f>T90</f>
        <v>Other Non Metallic  Industry Demand Technology_N_AD</v>
      </c>
      <c r="D19" s="36" t="str">
        <f>D14</f>
        <v>INDONMSTM</v>
      </c>
      <c r="E19" s="36"/>
      <c r="F19" s="123">
        <f>G19</f>
        <v>2035</v>
      </c>
      <c r="G19" s="124">
        <f>G14+10</f>
        <v>2035</v>
      </c>
      <c r="H19" s="125">
        <f>H9*$M$19</f>
        <v>0.79799999999999993</v>
      </c>
      <c r="I19" s="125">
        <v>1.8319125230001425</v>
      </c>
      <c r="J19" s="127"/>
      <c r="K19" s="127">
        <v>30</v>
      </c>
      <c r="M19" s="135">
        <v>0.95</v>
      </c>
      <c r="R19" s="37"/>
      <c r="S19" s="37" t="str">
        <f>"INDONMSTM"&amp;RIGHT(Commodities!$D$18,6)&amp;"_"&amp;AA19</f>
        <v>INDONMSTMOILDSL_ST</v>
      </c>
      <c r="T19" s="37" t="str">
        <f>"Steam Boiler Other Non Metallic Minerals Diesel"&amp;"_"&amp;$S$5&amp;"_"&amp;AA19</f>
        <v>Steam Boiler Other Non Metallic Minerals Diesel_N_ST</v>
      </c>
      <c r="U19" s="37" t="s">
        <v>206</v>
      </c>
      <c r="V19" s="37" t="s">
        <v>224</v>
      </c>
      <c r="W19" s="37"/>
      <c r="X19" s="37"/>
      <c r="Y19" s="37"/>
      <c r="AA19" s="72" t="s">
        <v>274</v>
      </c>
      <c r="AG19" s="72"/>
      <c r="AH19" s="72"/>
      <c r="AI19" s="102"/>
      <c r="AJ19" s="72"/>
      <c r="AK19" s="72"/>
      <c r="AL19" s="72"/>
      <c r="AM19" s="72"/>
      <c r="AN19" s="72"/>
      <c r="AO19" s="72"/>
      <c r="AQ19" s="72"/>
      <c r="AS19" s="72"/>
      <c r="AT19" s="72"/>
    </row>
    <row r="20" spans="1:58" ht="13.8" x14ac:dyDescent="0.25">
      <c r="B20" s="36"/>
      <c r="C20" s="128"/>
      <c r="D20" s="36" t="str">
        <f t="shared" ref="D20:D22" si="3">D15</f>
        <v>INDONMHPR</v>
      </c>
      <c r="E20" s="36"/>
      <c r="F20" s="123">
        <f>F19</f>
        <v>2035</v>
      </c>
      <c r="G20" s="129"/>
      <c r="H20" s="97">
        <f t="shared" ref="H20:H22" si="4">H10*$M$19</f>
        <v>0</v>
      </c>
      <c r="I20" s="104"/>
      <c r="J20" s="72"/>
      <c r="K20" s="72"/>
      <c r="M20" s="101"/>
      <c r="R20" s="37"/>
      <c r="S20" s="37" t="str">
        <f>"INDONMSTM"&amp;RIGHT(Commodities!$D$18,6)&amp;"_"&amp;AA20</f>
        <v>INDONMSTMOILDSL_IM</v>
      </c>
      <c r="T20" s="37" t="str">
        <f>"Steam Boiler Other Non Metallic Minerals Diesel"&amp;"_"&amp;$S$5&amp;"_"&amp;AA20</f>
        <v>Steam Boiler Other Non Metallic Minerals Diesel_N_IM</v>
      </c>
      <c r="U20" s="37" t="s">
        <v>206</v>
      </c>
      <c r="V20" s="37" t="s">
        <v>224</v>
      </c>
      <c r="W20" s="37"/>
      <c r="X20" s="37"/>
      <c r="Y20" s="37"/>
      <c r="AA20" s="72" t="s">
        <v>275</v>
      </c>
      <c r="AG20" s="72"/>
      <c r="AH20" s="72"/>
      <c r="AI20" s="102"/>
      <c r="AJ20" s="72"/>
      <c r="AK20" s="72"/>
      <c r="AL20" s="72"/>
      <c r="AM20" s="72"/>
      <c r="AN20" s="72"/>
      <c r="AO20" s="72"/>
      <c r="AQ20" s="72"/>
      <c r="AS20" s="72"/>
      <c r="AT20" s="72"/>
    </row>
    <row r="21" spans="1:58" ht="13.8" x14ac:dyDescent="0.25">
      <c r="B21" s="36"/>
      <c r="C21" s="128"/>
      <c r="D21" s="36" t="str">
        <f t="shared" si="3"/>
        <v>INDONMMCD</v>
      </c>
      <c r="E21" s="36"/>
      <c r="F21" s="123">
        <f>F19</f>
        <v>2035</v>
      </c>
      <c r="G21" s="129"/>
      <c r="H21" s="97">
        <f t="shared" si="4"/>
        <v>0.1235</v>
      </c>
      <c r="I21" s="72"/>
      <c r="J21" s="72"/>
      <c r="K21" s="72"/>
      <c r="R21" s="37"/>
      <c r="S21" s="37" t="str">
        <f>"INDONMSTM"&amp;RIGHT(Commodities!$D$18,6)&amp;"_"&amp;AA21</f>
        <v>INDONMSTMOILDSL_AD</v>
      </c>
      <c r="T21" s="37" t="str">
        <f>"Steam Boiler Other Non Metallic Minerals Diesel"&amp;"_"&amp;$S$5&amp;"_"&amp;AA21</f>
        <v>Steam Boiler Other Non Metallic Minerals Diesel_N_AD</v>
      </c>
      <c r="U21" s="37" t="s">
        <v>206</v>
      </c>
      <c r="V21" s="37" t="s">
        <v>224</v>
      </c>
      <c r="W21" s="37"/>
      <c r="X21" s="37"/>
      <c r="Y21" s="37"/>
      <c r="AA21" s="72" t="s">
        <v>276</v>
      </c>
      <c r="AG21" s="72"/>
      <c r="AH21" s="72"/>
      <c r="AI21" s="102"/>
      <c r="AJ21" s="72"/>
      <c r="AK21" s="72"/>
      <c r="AL21" s="72"/>
      <c r="AM21" s="72"/>
      <c r="AN21" s="72"/>
      <c r="AO21" s="72"/>
      <c r="AQ21" s="72"/>
      <c r="AS21" s="72"/>
      <c r="AT21" s="72"/>
    </row>
    <row r="22" spans="1:58" ht="13.8" x14ac:dyDescent="0.25">
      <c r="B22" s="36"/>
      <c r="C22" s="128"/>
      <c r="D22" s="36" t="str">
        <f t="shared" si="3"/>
        <v>INDONMOEN</v>
      </c>
      <c r="E22" s="36"/>
      <c r="F22" s="123">
        <f>F19</f>
        <v>2035</v>
      </c>
      <c r="G22" s="129"/>
      <c r="H22" s="97">
        <f t="shared" si="4"/>
        <v>2.8499999999999998E-2</v>
      </c>
      <c r="I22" s="72"/>
      <c r="J22" s="72"/>
      <c r="K22" s="72"/>
      <c r="R22" s="37"/>
      <c r="S22" s="37" t="str">
        <f>"INDONMSTM"&amp;RIGHT(Commodities!$D$22,6)&amp;"_"&amp;AA22</f>
        <v>INDONMSTMOILHFO_ST</v>
      </c>
      <c r="T22" s="37" t="str">
        <f>"Steam Boiler Other Non Metallic Minerals HFO"&amp;"_"&amp;$S$5&amp;"_"&amp;AA22</f>
        <v>Steam Boiler Other Non Metallic Minerals HFO_N_ST</v>
      </c>
      <c r="U22" s="37" t="s">
        <v>206</v>
      </c>
      <c r="V22" s="37" t="s">
        <v>224</v>
      </c>
      <c r="W22" s="37"/>
      <c r="X22" s="37"/>
      <c r="Y22" s="37"/>
      <c r="AA22" s="72" t="s">
        <v>274</v>
      </c>
      <c r="AG22" s="72"/>
      <c r="AH22" s="72"/>
      <c r="AI22" s="10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</row>
    <row r="23" spans="1:58" ht="13.8" x14ac:dyDescent="0.25">
      <c r="B23" s="67"/>
      <c r="C23" s="131"/>
      <c r="D23" s="131"/>
      <c r="E23" s="131" t="str">
        <f>E18</f>
        <v>INDONM</v>
      </c>
      <c r="F23" s="132">
        <f>F19</f>
        <v>2035</v>
      </c>
      <c r="G23" s="133"/>
      <c r="H23" s="98"/>
      <c r="I23" s="98"/>
      <c r="J23" s="98"/>
      <c r="K23" s="98"/>
      <c r="R23" s="37"/>
      <c r="S23" s="37" t="str">
        <f>"INDONMSTM"&amp;RIGHT(Commodities!$D$22,6)&amp;"_"&amp;AA23</f>
        <v>INDONMSTMOILHFO_IM</v>
      </c>
      <c r="T23" s="37" t="str">
        <f>"Steam Boiler Other Non Metallic Minerals HFO"&amp;"_"&amp;$S$5&amp;"_"&amp;AA23</f>
        <v>Steam Boiler Other Non Metallic Minerals HFO_N_IM</v>
      </c>
      <c r="U23" s="37" t="s">
        <v>206</v>
      </c>
      <c r="V23" s="37" t="s">
        <v>224</v>
      </c>
      <c r="W23" s="37"/>
      <c r="X23" s="37"/>
      <c r="Y23" s="37"/>
      <c r="AA23" s="72" t="s">
        <v>275</v>
      </c>
      <c r="AG23" s="72"/>
      <c r="AH23" s="72"/>
      <c r="AI23" s="10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</row>
    <row r="24" spans="1:58" ht="13.8" x14ac:dyDescent="0.25">
      <c r="R24" s="37"/>
      <c r="S24" s="37" t="str">
        <f>"INDONMSTM"&amp;RIGHT(Commodities!$D$22,6)&amp;"_"&amp;AA24</f>
        <v>INDONMSTMOILHFO_AD</v>
      </c>
      <c r="T24" s="37" t="str">
        <f>"Steam Boiler Other Non Metallic Minerals HFO"&amp;"_"&amp;$S$5&amp;"_"&amp;AA24</f>
        <v>Steam Boiler Other Non Metallic Minerals HFO_N_AD</v>
      </c>
      <c r="U24" s="37" t="s">
        <v>206</v>
      </c>
      <c r="V24" s="37" t="s">
        <v>224</v>
      </c>
      <c r="W24" s="37"/>
      <c r="X24" s="37"/>
      <c r="Y24" s="37"/>
      <c r="AA24" s="72" t="s">
        <v>276</v>
      </c>
      <c r="AG24" s="72"/>
      <c r="AH24" s="72"/>
      <c r="AI24" s="10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</row>
    <row r="25" spans="1:58" ht="13.8" x14ac:dyDescent="0.25">
      <c r="R25" s="37"/>
      <c r="S25" s="37" t="str">
        <f>"INDONMSTM"&amp;RIGHT(Commodities!$D$27,6)&amp;"_"&amp;AA25</f>
        <v>INDONMSTMOILPCK_ST</v>
      </c>
      <c r="T25" s="37" t="str">
        <f>"Steam Boiler Other Non Metallic Minerals PetCoke"&amp;"_"&amp;$S$5&amp;"_"&amp;AA25</f>
        <v>Steam Boiler Other Non Metallic Minerals PetCoke_N_ST</v>
      </c>
      <c r="U25" s="37" t="s">
        <v>206</v>
      </c>
      <c r="V25" s="37" t="s">
        <v>224</v>
      </c>
      <c r="W25" s="37"/>
      <c r="X25" s="37"/>
      <c r="Y25" s="37"/>
      <c r="AA25" s="72" t="s">
        <v>274</v>
      </c>
      <c r="AG25" s="72"/>
      <c r="AH25" s="72"/>
      <c r="AI25" s="102"/>
      <c r="AJ25" s="72"/>
      <c r="AK25" s="72"/>
      <c r="AL25" s="72"/>
      <c r="AM25" s="72"/>
      <c r="AN25" s="72"/>
      <c r="AO25" s="72"/>
      <c r="AQ25" s="72"/>
      <c r="AS25" s="72"/>
      <c r="AT25" s="72"/>
    </row>
    <row r="26" spans="1:58" ht="13.8" x14ac:dyDescent="0.25">
      <c r="R26" s="37"/>
      <c r="S26" s="37" t="str">
        <f>"INDONMSTM"&amp;RIGHT(Commodities!$D$27,6)&amp;"_"&amp;AA26</f>
        <v>INDONMSTMOILPCK_IM</v>
      </c>
      <c r="T26" s="37" t="str">
        <f>"Steam Boiler Other Non Metallic Minerals PetCoke"&amp;"_"&amp;$S$5&amp;"_"&amp;AA26</f>
        <v>Steam Boiler Other Non Metallic Minerals PetCoke_N_IM</v>
      </c>
      <c r="U26" s="37" t="s">
        <v>206</v>
      </c>
      <c r="V26" s="37" t="s">
        <v>224</v>
      </c>
      <c r="W26" s="37"/>
      <c r="X26" s="37"/>
      <c r="Y26" s="37"/>
      <c r="AA26" s="72" t="s">
        <v>275</v>
      </c>
      <c r="AG26" s="72"/>
      <c r="AH26" s="72"/>
      <c r="AI26" s="102"/>
      <c r="AJ26" s="72"/>
      <c r="AK26" s="72"/>
      <c r="AL26" s="72"/>
      <c r="AM26" s="72"/>
      <c r="AN26" s="72"/>
      <c r="AO26" s="72"/>
      <c r="AQ26" s="72"/>
      <c r="AS26" s="72"/>
      <c r="AT26" s="72"/>
    </row>
    <row r="27" spans="1:58" ht="13.8" x14ac:dyDescent="0.25">
      <c r="R27" s="37"/>
      <c r="S27" s="37" t="str">
        <f>"INDONMSTM"&amp;RIGHT(Commodities!$D$27,6)&amp;"_"&amp;AA27</f>
        <v>INDONMSTMOILPCK_AD</v>
      </c>
      <c r="T27" s="37" t="str">
        <f>"Steam Boiler Other Non Metallic Minerals PetCoke"&amp;"_"&amp;$S$5&amp;"_"&amp;AA27</f>
        <v>Steam Boiler Other Non Metallic Minerals PetCoke_N_AD</v>
      </c>
      <c r="U27" s="37" t="s">
        <v>206</v>
      </c>
      <c r="V27" s="37" t="s">
        <v>224</v>
      </c>
      <c r="W27" s="37"/>
      <c r="X27" s="37"/>
      <c r="Y27" s="37"/>
      <c r="AA27" s="72" t="s">
        <v>276</v>
      </c>
      <c r="AG27" s="72"/>
      <c r="AH27" s="72"/>
      <c r="AI27" s="102"/>
      <c r="AJ27" s="72"/>
      <c r="AK27" s="72"/>
      <c r="AL27" s="72"/>
      <c r="AM27" s="72"/>
      <c r="AN27" s="72"/>
      <c r="AO27" s="72"/>
      <c r="AQ27" s="72"/>
      <c r="AS27" s="72"/>
      <c r="AT27" s="72"/>
    </row>
    <row r="28" spans="1:58" ht="15.75" customHeight="1" x14ac:dyDescent="0.25">
      <c r="R28" s="37"/>
      <c r="S28" s="37" t="str">
        <f>"INDONMSTM"&amp;RIGHT(Commodities!$D$30,6)&amp;"_"&amp;AA28</f>
        <v>INDONMSTMOILOTH_ST</v>
      </c>
      <c r="T28" s="37" t="str">
        <f>"Steam Boiler Other Non Metallic Minerals Other Oil Products"&amp;"_"&amp;$S$5&amp;"_"&amp;AA28</f>
        <v>Steam Boiler Other Non Metallic Minerals Other Oil Products_N_ST</v>
      </c>
      <c r="U28" s="37" t="s">
        <v>206</v>
      </c>
      <c r="V28" s="37" t="s">
        <v>224</v>
      </c>
      <c r="W28" s="37"/>
      <c r="X28" s="37"/>
      <c r="Y28" s="37"/>
      <c r="AA28" s="72" t="s">
        <v>274</v>
      </c>
      <c r="AG28" s="72"/>
      <c r="AH28" s="72"/>
      <c r="AI28" s="102"/>
      <c r="AJ28" s="72"/>
      <c r="AK28" s="72"/>
      <c r="AL28" s="72"/>
      <c r="AM28" s="72"/>
      <c r="AN28" s="72"/>
      <c r="AO28" s="72"/>
      <c r="AQ28" s="72"/>
      <c r="AS28" s="72"/>
      <c r="AT28" s="72"/>
    </row>
    <row r="29" spans="1:58" ht="15.75" customHeight="1" x14ac:dyDescent="0.25">
      <c r="A29" s="72"/>
      <c r="B29" s="37"/>
      <c r="C29" s="37"/>
      <c r="D29" s="37"/>
      <c r="E29" s="136" t="s">
        <v>295</v>
      </c>
      <c r="F29" s="137" t="s">
        <v>0</v>
      </c>
      <c r="G29" s="138" t="s">
        <v>295</v>
      </c>
      <c r="H29" s="138" t="s">
        <v>295</v>
      </c>
      <c r="I29" s="138" t="s">
        <v>295</v>
      </c>
      <c r="J29" s="37"/>
      <c r="K29" s="37"/>
      <c r="L29" s="72"/>
      <c r="M29" s="72"/>
      <c r="R29" s="37"/>
      <c r="S29" s="37" t="str">
        <f>"INDONMSTM"&amp;RIGHT(Commodities!$D$30,6)&amp;"_"&amp;AA29</f>
        <v>INDONMSTMOILOTH_IM</v>
      </c>
      <c r="T29" s="37" t="str">
        <f>"Steam Boiler Other Non Metallic Minerals Other Oil Products"&amp;"_"&amp;$S$5&amp;"_"&amp;AA29</f>
        <v>Steam Boiler Other Non Metallic Minerals Other Oil Products_N_IM</v>
      </c>
      <c r="U29" s="37" t="s">
        <v>206</v>
      </c>
      <c r="V29" s="37" t="s">
        <v>224</v>
      </c>
      <c r="W29" s="37"/>
      <c r="X29" s="37"/>
      <c r="Y29" s="37"/>
      <c r="AA29" s="72" t="s">
        <v>275</v>
      </c>
      <c r="AG29" s="72"/>
      <c r="AH29" s="72"/>
      <c r="AI29" s="102"/>
      <c r="AJ29" s="72"/>
      <c r="AK29" s="72"/>
      <c r="AL29" s="72"/>
      <c r="AM29" s="72"/>
      <c r="AN29" s="72"/>
      <c r="AO29" s="72"/>
      <c r="AQ29" s="72"/>
      <c r="AS29" s="72"/>
      <c r="AT29" s="72"/>
    </row>
    <row r="30" spans="1:58" ht="15.75" customHeight="1" x14ac:dyDescent="0.25">
      <c r="A30" s="72"/>
      <c r="B30" s="45" t="s">
        <v>1</v>
      </c>
      <c r="C30" s="45" t="s">
        <v>227</v>
      </c>
      <c r="D30" s="45" t="s">
        <v>3</v>
      </c>
      <c r="E30" s="45" t="s">
        <v>4</v>
      </c>
      <c r="F30" s="46" t="s">
        <v>233</v>
      </c>
      <c r="G30" s="45" t="s">
        <v>14</v>
      </c>
      <c r="H30" s="139" t="s">
        <v>250</v>
      </c>
      <c r="I30" s="79" t="s">
        <v>36</v>
      </c>
      <c r="J30" s="49" t="s">
        <v>5</v>
      </c>
      <c r="K30" s="49" t="s">
        <v>48</v>
      </c>
      <c r="L30" s="46" t="s">
        <v>296</v>
      </c>
      <c r="M30" s="46" t="s">
        <v>297</v>
      </c>
      <c r="R30" s="37"/>
      <c r="S30" s="37" t="str">
        <f>"INDONMSTM"&amp;RIGHT(Commodities!$D$30,6)&amp;"_"&amp;AA30</f>
        <v>INDONMSTMOILOTH_AD</v>
      </c>
      <c r="T30" s="37" t="str">
        <f>"Steam Boiler Other Non Metallic Minerals Other Oil Products"&amp;"_"&amp;$S$5&amp;"_"&amp;AA30</f>
        <v>Steam Boiler Other Non Metallic Minerals Other Oil Products_N_AD</v>
      </c>
      <c r="U30" s="37" t="s">
        <v>206</v>
      </c>
      <c r="V30" s="37" t="s">
        <v>224</v>
      </c>
      <c r="W30" s="37"/>
      <c r="X30" s="37"/>
      <c r="Y30" s="37"/>
      <c r="AA30" s="72" t="s">
        <v>276</v>
      </c>
      <c r="AG30" s="72"/>
      <c r="AH30" s="72"/>
      <c r="AI30" s="102"/>
      <c r="AJ30" s="72"/>
      <c r="AK30" s="72"/>
      <c r="AL30" s="72"/>
      <c r="AM30" s="72"/>
      <c r="AN30" s="72"/>
      <c r="AO30" s="72"/>
      <c r="AQ30" s="72"/>
      <c r="AS30" s="72"/>
      <c r="AT30" s="72"/>
    </row>
    <row r="31" spans="1:58" ht="14.4" thickBot="1" x14ac:dyDescent="0.3">
      <c r="A31" s="72"/>
      <c r="B31" s="54" t="s">
        <v>280</v>
      </c>
      <c r="C31" s="54" t="s">
        <v>28</v>
      </c>
      <c r="D31" s="54" t="s">
        <v>32</v>
      </c>
      <c r="E31" s="54" t="s">
        <v>33</v>
      </c>
      <c r="F31" s="54"/>
      <c r="G31" s="84" t="s">
        <v>35</v>
      </c>
      <c r="H31" s="84"/>
      <c r="I31" s="84" t="s">
        <v>37</v>
      </c>
      <c r="J31" s="54" t="s">
        <v>38</v>
      </c>
      <c r="K31" s="54" t="s">
        <v>218</v>
      </c>
      <c r="L31" s="54"/>
      <c r="M31" s="54"/>
      <c r="R31" s="37"/>
      <c r="S31" s="37" t="str">
        <f>"INDONMSTM"&amp;RIGHT(Commodities!$D$33,6)&amp;"_"&amp;AA31</f>
        <v>INDONMSTMGASNAT_ST</v>
      </c>
      <c r="T31" s="37" t="str">
        <f>"Steam Boiler Other Non Metallic Minerals N. Gas"&amp;"_"&amp;$S$5&amp;"_"&amp;AA31</f>
        <v>Steam Boiler Other Non Metallic Minerals N. Gas_N_ST</v>
      </c>
      <c r="U31" s="37" t="s">
        <v>206</v>
      </c>
      <c r="V31" s="37" t="s">
        <v>224</v>
      </c>
      <c r="W31" s="37"/>
      <c r="X31" s="37"/>
      <c r="Y31" s="37"/>
      <c r="AA31" s="72" t="s">
        <v>274</v>
      </c>
      <c r="AG31" s="72"/>
      <c r="AH31" s="72"/>
      <c r="AI31" s="10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58" ht="13.8" x14ac:dyDescent="0.25">
      <c r="A32" s="72"/>
      <c r="B32" s="89" t="s">
        <v>281</v>
      </c>
      <c r="C32" s="90"/>
      <c r="D32" s="90"/>
      <c r="E32" s="90"/>
      <c r="F32" s="90"/>
      <c r="G32" s="90"/>
      <c r="H32" s="90"/>
      <c r="I32" s="90" t="s">
        <v>447</v>
      </c>
      <c r="J32" s="90" t="s">
        <v>447</v>
      </c>
      <c r="K32" s="90" t="s">
        <v>40</v>
      </c>
      <c r="L32" s="90"/>
      <c r="M32" s="90"/>
      <c r="R32" s="37"/>
      <c r="S32" s="37" t="str">
        <f>"INDONMSTM"&amp;RIGHT(Commodities!$D$33,6)&amp;"_"&amp;AA32</f>
        <v>INDONMSTMGASNAT_IM</v>
      </c>
      <c r="T32" s="37" t="str">
        <f>"Steam Boiler Other Non Metallic Minerals N. Gas"&amp;"_"&amp;$S$5&amp;"_"&amp;AA32</f>
        <v>Steam Boiler Other Non Metallic Minerals N. Gas_N_IM</v>
      </c>
      <c r="U32" s="37" t="s">
        <v>206</v>
      </c>
      <c r="V32" s="37" t="s">
        <v>224</v>
      </c>
      <c r="W32" s="37"/>
      <c r="X32" s="37"/>
      <c r="Y32" s="37"/>
      <c r="AA32" s="72" t="s">
        <v>275</v>
      </c>
      <c r="AG32" s="72"/>
      <c r="AH32" s="72"/>
      <c r="AI32" s="10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</row>
    <row r="33" spans="1:46" ht="13.8" x14ac:dyDescent="0.25">
      <c r="A33" s="72"/>
      <c r="B33" s="37" t="str">
        <f>S10</f>
        <v>INDONMSTMCOASUB_ST</v>
      </c>
      <c r="C33" s="37" t="str">
        <f>T10</f>
        <v>Steam Boiler Other Non Metallic Minerals Sub-bituminuos_N_ST</v>
      </c>
      <c r="D33" s="72" t="s">
        <v>426</v>
      </c>
      <c r="E33" s="72" t="s">
        <v>287</v>
      </c>
      <c r="F33" s="94">
        <f>G33</f>
        <v>2018</v>
      </c>
      <c r="G33" s="72">
        <v>2018</v>
      </c>
      <c r="H33" s="140">
        <f>O33</f>
        <v>1.4285714285714286</v>
      </c>
      <c r="I33" s="95">
        <v>585.16800000000001</v>
      </c>
      <c r="J33" s="95">
        <f t="shared" ref="J33:J41" si="5">53.92656*(1/0.9)</f>
        <v>59.918400000000005</v>
      </c>
      <c r="K33" s="141">
        <v>30</v>
      </c>
      <c r="L33" s="141">
        <v>31.536000000000001</v>
      </c>
      <c r="M33" s="141">
        <v>0.8</v>
      </c>
      <c r="O33" s="97">
        <v>1.4285714285714286</v>
      </c>
      <c r="R33" s="37"/>
      <c r="S33" s="37" t="str">
        <f>"INDONMSTM"&amp;RIGHT(Commodities!$D$33,6)&amp;"_"&amp;AA33</f>
        <v>INDONMSTMGASNAT_AD</v>
      </c>
      <c r="T33" s="37" t="str">
        <f>"Steam Boiler Other Non Metallic Minerals N. Gas"&amp;"_"&amp;$S$5&amp;"_"&amp;AA33</f>
        <v>Steam Boiler Other Non Metallic Minerals N. Gas_N_AD</v>
      </c>
      <c r="U33" s="37" t="s">
        <v>206</v>
      </c>
      <c r="V33" s="37" t="s">
        <v>224</v>
      </c>
      <c r="W33" s="37"/>
      <c r="X33" s="37"/>
      <c r="Y33" s="37"/>
      <c r="AA33" s="72" t="s">
        <v>276</v>
      </c>
      <c r="AG33" s="72"/>
      <c r="AH33" s="72"/>
      <c r="AI33" s="10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</row>
    <row r="34" spans="1:46" ht="13.8" x14ac:dyDescent="0.25">
      <c r="A34" s="72"/>
      <c r="B34" s="37" t="str">
        <f t="shared" ref="B34:C62" si="6">S11</f>
        <v>INDONMSTMCOASUB_IM</v>
      </c>
      <c r="C34" s="37" t="str">
        <f t="shared" si="6"/>
        <v>Steam Boiler Other Non Metallic Minerals Sub-bituminuos_N_IM</v>
      </c>
      <c r="D34" s="72" t="str">
        <f>D33</f>
        <v>INDCOASUB</v>
      </c>
      <c r="E34" s="72" t="str">
        <f>E33</f>
        <v>INDONMSTM</v>
      </c>
      <c r="F34" s="94">
        <f t="shared" ref="F34:F62" si="7">G34</f>
        <v>2025</v>
      </c>
      <c r="G34" s="72">
        <f>G33+7</f>
        <v>2025</v>
      </c>
      <c r="H34" s="140">
        <f>H33*0.95</f>
        <v>1.3571428571428572</v>
      </c>
      <c r="I34" s="95">
        <v>834.85620559148049</v>
      </c>
      <c r="J34" s="95">
        <f t="shared" si="5"/>
        <v>59.918400000000005</v>
      </c>
      <c r="K34" s="141">
        <v>30</v>
      </c>
      <c r="L34" s="141">
        <v>31.536000000000001</v>
      </c>
      <c r="M34" s="141">
        <v>0.8</v>
      </c>
      <c r="O34" s="320">
        <v>1.4285714285714286</v>
      </c>
      <c r="R34" s="37"/>
      <c r="S34" s="37" t="str">
        <f>"INDONMSTM"&amp;RIGHT(Commodities!$D$35,6)&amp;"_"&amp;AA34</f>
        <v>INDONMSTMBIOLOG_ST</v>
      </c>
      <c r="T34" s="37" t="str">
        <f>"Steam Boiler Other Non Metallic Minerals Biomass"&amp;"_"&amp;$S$5&amp;"_"&amp;AA34</f>
        <v>Steam Boiler Other Non Metallic Minerals Biomass_N_ST</v>
      </c>
      <c r="U34" s="37" t="s">
        <v>206</v>
      </c>
      <c r="V34" s="37" t="s">
        <v>224</v>
      </c>
      <c r="W34" s="37"/>
      <c r="X34" s="37"/>
      <c r="Y34" s="37"/>
      <c r="AA34" s="72" t="s">
        <v>274</v>
      </c>
      <c r="AG34" s="72"/>
      <c r="AH34" s="72"/>
      <c r="AI34" s="102"/>
      <c r="AJ34" s="72"/>
      <c r="AK34" s="72"/>
      <c r="AL34" s="72"/>
      <c r="AM34" s="72"/>
      <c r="AN34" s="72"/>
      <c r="AO34" s="72"/>
      <c r="AQ34" s="72"/>
      <c r="AS34" s="72"/>
    </row>
    <row r="35" spans="1:46" ht="13.8" x14ac:dyDescent="0.25">
      <c r="A35" s="72"/>
      <c r="B35" s="98" t="str">
        <f t="shared" si="6"/>
        <v>INDONMSTMCOASUB_AD</v>
      </c>
      <c r="C35" s="98" t="str">
        <f t="shared" si="6"/>
        <v>Steam Boiler Other Non Metallic Minerals Sub-bituminuos_N_AD</v>
      </c>
      <c r="D35" s="98" t="str">
        <f>D34</f>
        <v>INDCOASUB</v>
      </c>
      <c r="E35" s="98" t="str">
        <f>E33</f>
        <v>INDONMSTM</v>
      </c>
      <c r="F35" s="99">
        <f t="shared" si="7"/>
        <v>2035</v>
      </c>
      <c r="G35" s="98">
        <f>G34+10</f>
        <v>2035</v>
      </c>
      <c r="H35" s="143">
        <f>H33*0.85</f>
        <v>1.2142857142857142</v>
      </c>
      <c r="I35" s="144">
        <v>1071.9765872589473</v>
      </c>
      <c r="J35" s="144">
        <f t="shared" si="5"/>
        <v>59.918400000000005</v>
      </c>
      <c r="K35" s="145">
        <v>30</v>
      </c>
      <c r="L35" s="145">
        <v>31.536000000000001</v>
      </c>
      <c r="M35" s="145">
        <v>0.8</v>
      </c>
      <c r="O35" s="320">
        <v>1.4285714285714286</v>
      </c>
      <c r="R35" s="37"/>
      <c r="S35" s="37" t="str">
        <f>"INDONMSTM"&amp;RIGHT(Commodities!$D$35,6)&amp;"_"&amp;AA35</f>
        <v>INDONMSTMBIOLOG_IM</v>
      </c>
      <c r="T35" s="37" t="str">
        <f>"Steam Boiler Other Non Metallic Minerals Biomass"&amp;"_"&amp;$S$5&amp;"_"&amp;AA35</f>
        <v>Steam Boiler Other Non Metallic Minerals Biomass_N_IM</v>
      </c>
      <c r="U35" s="37" t="s">
        <v>206</v>
      </c>
      <c r="V35" s="37" t="s">
        <v>224</v>
      </c>
      <c r="W35" s="37"/>
      <c r="X35" s="37"/>
      <c r="Y35" s="37"/>
      <c r="AA35" s="72" t="s">
        <v>275</v>
      </c>
      <c r="AG35" s="72"/>
      <c r="AH35" s="72"/>
      <c r="AI35" s="102"/>
      <c r="AJ35" s="72"/>
      <c r="AK35" s="72"/>
      <c r="AL35" s="72"/>
      <c r="AM35" s="72"/>
      <c r="AN35" s="72"/>
      <c r="AO35" s="72"/>
      <c r="AQ35" s="72"/>
      <c r="AS35" s="72"/>
    </row>
    <row r="36" spans="1:46" ht="13.8" x14ac:dyDescent="0.25">
      <c r="A36" s="72"/>
      <c r="B36" s="37" t="str">
        <f t="shared" si="6"/>
        <v>INDONMSTMCOABIC_ST</v>
      </c>
      <c r="C36" s="37" t="str">
        <f t="shared" si="6"/>
        <v>Steam Boiler Other Non Metallic Minerals Bituminous_N_ST</v>
      </c>
      <c r="D36" s="72" t="s">
        <v>141</v>
      </c>
      <c r="E36" s="72" t="s">
        <v>287</v>
      </c>
      <c r="F36" s="94">
        <f>G36</f>
        <v>2018</v>
      </c>
      <c r="G36" s="72">
        <v>2018</v>
      </c>
      <c r="H36" s="140">
        <f>O34</f>
        <v>1.4285714285714286</v>
      </c>
      <c r="I36" s="95">
        <v>585.16800000000001</v>
      </c>
      <c r="J36" s="95">
        <f t="shared" si="5"/>
        <v>59.918400000000005</v>
      </c>
      <c r="K36" s="141">
        <v>30</v>
      </c>
      <c r="L36" s="141">
        <v>31.536000000000001</v>
      </c>
      <c r="M36" s="141">
        <v>0.8</v>
      </c>
      <c r="O36" s="97">
        <v>1.2820512820512819</v>
      </c>
      <c r="R36" s="37"/>
      <c r="S36" s="37" t="str">
        <f>"INDONMSTM"&amp;RIGHT(Commodities!$D$35,6)&amp;"_"&amp;AA36</f>
        <v>INDONMSTMBIOLOG_AD</v>
      </c>
      <c r="T36" s="37" t="str">
        <f>"Steam Boiler Other Non Metallic Minerals Biomass"&amp;"_"&amp;$S$5&amp;"_"&amp;AA36</f>
        <v>Steam Boiler Other Non Metallic Minerals Biomass_N_AD</v>
      </c>
      <c r="U36" s="37" t="s">
        <v>206</v>
      </c>
      <c r="V36" s="37" t="s">
        <v>224</v>
      </c>
      <c r="W36" s="37"/>
      <c r="X36" s="37"/>
      <c r="Y36" s="37"/>
      <c r="AA36" s="72" t="s">
        <v>276</v>
      </c>
      <c r="AG36" s="72"/>
      <c r="AH36" s="72"/>
      <c r="AI36" s="102"/>
      <c r="AJ36" s="72"/>
      <c r="AK36" s="72"/>
      <c r="AL36" s="72"/>
      <c r="AM36" s="72"/>
      <c r="AN36" s="72"/>
      <c r="AO36" s="72"/>
      <c r="AQ36" s="72"/>
      <c r="AS36" s="72"/>
    </row>
    <row r="37" spans="1:46" ht="13.8" x14ac:dyDescent="0.25">
      <c r="A37" s="72"/>
      <c r="B37" s="37" t="str">
        <f t="shared" si="6"/>
        <v>INDONMSTMCOABIC_IM</v>
      </c>
      <c r="C37" s="37" t="str">
        <f t="shared" si="6"/>
        <v>Steam Boiler Other Non Metallic Minerals Bituminous_N_IM</v>
      </c>
      <c r="D37" s="72" t="str">
        <f>D36</f>
        <v>INDCOABIC</v>
      </c>
      <c r="E37" s="72" t="str">
        <f>E36</f>
        <v>INDONMSTM</v>
      </c>
      <c r="F37" s="94">
        <f t="shared" si="7"/>
        <v>2025</v>
      </c>
      <c r="G37" s="72">
        <f>G36+7</f>
        <v>2025</v>
      </c>
      <c r="H37" s="140">
        <f>H36*0.95</f>
        <v>1.3571428571428572</v>
      </c>
      <c r="I37" s="95">
        <v>834.85620559148049</v>
      </c>
      <c r="J37" s="95">
        <f t="shared" si="5"/>
        <v>59.918400000000005</v>
      </c>
      <c r="K37" s="141">
        <v>30</v>
      </c>
      <c r="L37" s="141">
        <v>31.536000000000001</v>
      </c>
      <c r="M37" s="141">
        <v>0.8</v>
      </c>
      <c r="O37" s="320">
        <v>1.2820512820512819</v>
      </c>
      <c r="R37" s="37"/>
      <c r="S37" s="37" t="str">
        <f>"INDONMSTM"&amp;RIGHT(Commodities!$D$349,3)&amp;"_"&amp;AA37</f>
        <v>INDONMSTMHTH_ST</v>
      </c>
      <c r="T37" s="37" t="str">
        <f>"Steam Boiler Other Non Metallic Minerals Heat"&amp;"_"&amp;$S$5&amp;"_"&amp;AA37</f>
        <v>Steam Boiler Other Non Metallic Minerals Heat_N_ST</v>
      </c>
      <c r="U37" s="37" t="s">
        <v>206</v>
      </c>
      <c r="V37" s="37" t="s">
        <v>224</v>
      </c>
      <c r="W37" s="37"/>
      <c r="X37" s="37"/>
      <c r="Y37" s="37"/>
      <c r="AA37" s="72" t="s">
        <v>274</v>
      </c>
      <c r="AG37" s="72"/>
      <c r="AH37" s="72"/>
      <c r="AI37" s="102"/>
      <c r="AJ37" s="72"/>
      <c r="AK37" s="72"/>
      <c r="AL37" s="72"/>
      <c r="AM37" s="72"/>
      <c r="AN37" s="72"/>
      <c r="AO37" s="72"/>
      <c r="AQ37" s="72"/>
      <c r="AS37" s="72"/>
    </row>
    <row r="38" spans="1:46" ht="13.8" x14ac:dyDescent="0.25">
      <c r="A38" s="72"/>
      <c r="B38" s="98" t="str">
        <f t="shared" si="6"/>
        <v>INDONMSTMCOABIC_AD</v>
      </c>
      <c r="C38" s="98" t="str">
        <f t="shared" si="6"/>
        <v>Steam Boiler Other Non Metallic Minerals Bituminous_N_AD</v>
      </c>
      <c r="D38" s="98" t="str">
        <f>D37</f>
        <v>INDCOABIC</v>
      </c>
      <c r="E38" s="98" t="str">
        <f>E36</f>
        <v>INDONMSTM</v>
      </c>
      <c r="F38" s="99">
        <f t="shared" si="7"/>
        <v>2035</v>
      </c>
      <c r="G38" s="98">
        <f>G37+10</f>
        <v>2035</v>
      </c>
      <c r="H38" s="143">
        <f>H36*0.85</f>
        <v>1.2142857142857142</v>
      </c>
      <c r="I38" s="144">
        <v>1071.9765872589473</v>
      </c>
      <c r="J38" s="144">
        <f t="shared" si="5"/>
        <v>59.918400000000005</v>
      </c>
      <c r="K38" s="145">
        <v>30</v>
      </c>
      <c r="L38" s="145">
        <v>31.536000000000001</v>
      </c>
      <c r="M38" s="145">
        <v>0.8</v>
      </c>
      <c r="O38" s="320">
        <v>1.4285714285714286</v>
      </c>
      <c r="R38" s="37"/>
      <c r="S38" s="37" t="str">
        <f>"INDONMSTM"&amp;RIGHT(Commodities!$D$349,3)&amp;"_"&amp;AA38</f>
        <v>INDONMSTMHTH_IM</v>
      </c>
      <c r="T38" s="37" t="str">
        <f>"Steam Boiler Other Non Metallic Minerals Heat"&amp;"_"&amp;$S$5&amp;"_"&amp;AA38</f>
        <v>Steam Boiler Other Non Metallic Minerals Heat_N_IM</v>
      </c>
      <c r="U38" s="37" t="s">
        <v>206</v>
      </c>
      <c r="V38" s="37" t="s">
        <v>224</v>
      </c>
      <c r="W38" s="37"/>
      <c r="X38" s="37"/>
      <c r="Y38" s="37"/>
      <c r="AA38" s="72" t="s">
        <v>275</v>
      </c>
      <c r="AG38" s="72"/>
      <c r="AH38" s="72"/>
      <c r="AI38" s="102"/>
      <c r="AJ38" s="72"/>
      <c r="AK38" s="72"/>
      <c r="AL38" s="72"/>
      <c r="AM38" s="72"/>
      <c r="AN38" s="72"/>
      <c r="AO38" s="72"/>
      <c r="AQ38" s="72"/>
      <c r="AS38" s="72"/>
    </row>
    <row r="39" spans="1:46" ht="13.8" x14ac:dyDescent="0.25">
      <c r="A39" s="72"/>
      <c r="B39" s="37" t="str">
        <f t="shared" si="6"/>
        <v>INDONMSTMCOABCO_ST</v>
      </c>
      <c r="C39" s="37" t="str">
        <f t="shared" si="6"/>
        <v>Steam Boiler Other Non Metallic Minerals BrownCoal_N_ST</v>
      </c>
      <c r="D39" s="72" t="s">
        <v>430</v>
      </c>
      <c r="E39" s="72" t="s">
        <v>287</v>
      </c>
      <c r="F39" s="94">
        <f>G39</f>
        <v>2018</v>
      </c>
      <c r="G39" s="72">
        <v>2018</v>
      </c>
      <c r="H39" s="140">
        <f>O35</f>
        <v>1.4285714285714286</v>
      </c>
      <c r="I39" s="95">
        <v>585.16800000000001</v>
      </c>
      <c r="J39" s="95">
        <f t="shared" si="5"/>
        <v>59.918400000000005</v>
      </c>
      <c r="K39" s="141">
        <v>30</v>
      </c>
      <c r="L39" s="141">
        <v>31.536000000000001</v>
      </c>
      <c r="M39" s="141">
        <v>0.8</v>
      </c>
      <c r="O39" s="97">
        <v>1.4285714285714286</v>
      </c>
      <c r="R39" s="37"/>
      <c r="S39" s="37" t="str">
        <f>"INDONMSTM"&amp;RIGHT(Commodities!$D$349,3)&amp;"_"&amp;AA39</f>
        <v>INDONMSTMHTH_AD</v>
      </c>
      <c r="T39" s="37" t="str">
        <f>"Steam Boiler Other Non Metallic Minerals Heat"&amp;"_"&amp;$S$5&amp;"_"&amp;AA39</f>
        <v>Steam Boiler Other Non Metallic Minerals Heat_N_AD</v>
      </c>
      <c r="U39" s="37" t="s">
        <v>206</v>
      </c>
      <c r="V39" s="37" t="s">
        <v>224</v>
      </c>
      <c r="W39" s="37"/>
      <c r="X39" s="37"/>
      <c r="Y39" s="37"/>
      <c r="AA39" s="72" t="s">
        <v>276</v>
      </c>
      <c r="AG39" s="72"/>
      <c r="AH39" s="72"/>
      <c r="AI39" s="102"/>
      <c r="AJ39" s="72"/>
      <c r="AK39" s="72"/>
      <c r="AL39" s="72"/>
      <c r="AM39" s="72"/>
      <c r="AN39" s="72"/>
      <c r="AO39" s="72"/>
      <c r="AQ39" s="72"/>
      <c r="AS39" s="72"/>
    </row>
    <row r="40" spans="1:46" ht="13.8" x14ac:dyDescent="0.25">
      <c r="A40" s="72"/>
      <c r="B40" s="37" t="str">
        <f t="shared" si="6"/>
        <v>INDONMSTMCOABCO_IM</v>
      </c>
      <c r="C40" s="37" t="str">
        <f t="shared" si="6"/>
        <v>Steam Boiler Other Non Metallic Minerals BrownCoal_N_IM</v>
      </c>
      <c r="D40" s="72" t="str">
        <f>D39</f>
        <v>INDCOABCO</v>
      </c>
      <c r="E40" s="72" t="str">
        <f>E39</f>
        <v>INDONMSTM</v>
      </c>
      <c r="F40" s="94">
        <f t="shared" si="7"/>
        <v>2025</v>
      </c>
      <c r="G40" s="72">
        <f>G39+7</f>
        <v>2025</v>
      </c>
      <c r="H40" s="140">
        <f>H39*0.95</f>
        <v>1.3571428571428572</v>
      </c>
      <c r="I40" s="95">
        <v>834.85620559148049</v>
      </c>
      <c r="J40" s="95">
        <f t="shared" si="5"/>
        <v>59.918400000000005</v>
      </c>
      <c r="K40" s="141">
        <v>30</v>
      </c>
      <c r="L40" s="141">
        <v>31.536000000000001</v>
      </c>
      <c r="M40" s="141">
        <v>0.8</v>
      </c>
      <c r="O40" s="320">
        <v>1.25</v>
      </c>
      <c r="R40" s="37"/>
      <c r="S40" s="37" t="str">
        <f>"INDONMSTM"&amp;RIGHT(Commodities!$D$341,3)&amp;"_"&amp;AA40</f>
        <v>INDONMSTMELC_ST</v>
      </c>
      <c r="T40" s="37" t="str">
        <f>"Steam Boiler Other Non Metallic Minerals Electricity"&amp;"_"&amp;$S$5&amp;"_"&amp;AA40</f>
        <v>Steam Boiler Other Non Metallic Minerals Electricity_N_ST</v>
      </c>
      <c r="U40" s="37" t="s">
        <v>206</v>
      </c>
      <c r="V40" s="37" t="s">
        <v>224</v>
      </c>
      <c r="W40" s="37"/>
      <c r="X40" s="37"/>
      <c r="Y40" s="37"/>
      <c r="AA40" s="72" t="s">
        <v>274</v>
      </c>
      <c r="AG40" s="72"/>
      <c r="AH40" s="72"/>
      <c r="AI40" s="10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41" spans="1:46" ht="13.8" x14ac:dyDescent="0.25">
      <c r="A41" s="72"/>
      <c r="B41" s="98" t="str">
        <f t="shared" si="6"/>
        <v>INDONMSTMCOABCO_AD</v>
      </c>
      <c r="C41" s="98" t="str">
        <f t="shared" si="6"/>
        <v>Steam Boiler Other Non Metallic Minerals BrownCoal_N_AD</v>
      </c>
      <c r="D41" s="98" t="str">
        <f>D40</f>
        <v>INDCOABCO</v>
      </c>
      <c r="E41" s="98" t="str">
        <f>E39</f>
        <v>INDONMSTM</v>
      </c>
      <c r="F41" s="99">
        <f t="shared" si="7"/>
        <v>2035</v>
      </c>
      <c r="G41" s="98">
        <f>G40+10</f>
        <v>2035</v>
      </c>
      <c r="H41" s="143">
        <f>H39*0.85</f>
        <v>1.2142857142857142</v>
      </c>
      <c r="I41" s="144">
        <v>1071.9765872589473</v>
      </c>
      <c r="J41" s="144">
        <f t="shared" si="5"/>
        <v>59.918400000000005</v>
      </c>
      <c r="K41" s="145">
        <v>30</v>
      </c>
      <c r="L41" s="145">
        <v>31.536000000000001</v>
      </c>
      <c r="M41" s="145">
        <v>0.8</v>
      </c>
      <c r="O41" s="320">
        <v>1.4285714285714286</v>
      </c>
      <c r="R41" s="37"/>
      <c r="S41" s="37" t="str">
        <f>"INDONMSTM"&amp;RIGHT(Commodities!$D$341,3)&amp;"_"&amp;AA41</f>
        <v>INDONMSTMELC_IM</v>
      </c>
      <c r="T41" s="37" t="str">
        <f>"Steam Boiler Other Non Metallic Minerals Electricity"&amp;"_"&amp;$S$5&amp;"_"&amp;AA41</f>
        <v>Steam Boiler Other Non Metallic Minerals Electricity_N_IM</v>
      </c>
      <c r="U41" s="37" t="s">
        <v>206</v>
      </c>
      <c r="V41" s="37" t="s">
        <v>224</v>
      </c>
      <c r="W41" s="37"/>
      <c r="X41" s="37"/>
      <c r="Y41" s="37"/>
      <c r="AA41" s="72" t="s">
        <v>275</v>
      </c>
      <c r="AG41" s="72"/>
      <c r="AH41" s="72"/>
      <c r="AI41" s="10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</row>
    <row r="42" spans="1:46" ht="13.8" x14ac:dyDescent="0.25">
      <c r="A42" s="72"/>
      <c r="B42" s="37" t="str">
        <f t="shared" si="6"/>
        <v>INDONMSTMOILDSL_ST</v>
      </c>
      <c r="C42" s="37" t="str">
        <f t="shared" si="6"/>
        <v>Steam Boiler Other Non Metallic Minerals Diesel_N_ST</v>
      </c>
      <c r="D42" s="72" t="s">
        <v>150</v>
      </c>
      <c r="E42" s="72" t="s">
        <v>287</v>
      </c>
      <c r="F42" s="94">
        <f>G42</f>
        <v>2018</v>
      </c>
      <c r="G42" s="72">
        <v>2018</v>
      </c>
      <c r="H42" s="140">
        <f>O36</f>
        <v>1.2820512820512819</v>
      </c>
      <c r="I42" s="95">
        <v>219.17176470588223</v>
      </c>
      <c r="J42" s="95">
        <f t="shared" ref="J42:J47" si="8">12.6144*(1/0.9)</f>
        <v>14.016</v>
      </c>
      <c r="K42" s="141">
        <v>30</v>
      </c>
      <c r="L42" s="141">
        <v>31.536000000000001</v>
      </c>
      <c r="M42" s="141">
        <v>0.8</v>
      </c>
      <c r="O42" s="97">
        <v>1.2</v>
      </c>
      <c r="R42" s="98"/>
      <c r="S42" s="98" t="str">
        <f>"INDONMSTM"&amp;RIGHT(Commodities!$D$341,3)&amp;"_"&amp;AA42</f>
        <v>INDONMSTMELC_AD</v>
      </c>
      <c r="T42" s="98" t="str">
        <f>"Steam Boiler Other Non Metallic Minerals Electricity"&amp;"_"&amp;$S$5&amp;"_"&amp;AA42</f>
        <v>Steam Boiler Other Non Metallic Minerals Electricity_N_AD</v>
      </c>
      <c r="U42" s="98" t="s">
        <v>206</v>
      </c>
      <c r="V42" s="98" t="s">
        <v>224</v>
      </c>
      <c r="W42" s="98"/>
      <c r="X42" s="98"/>
      <c r="Y42" s="98"/>
      <c r="AA42" s="72" t="s">
        <v>276</v>
      </c>
      <c r="AG42" s="72"/>
      <c r="AH42" s="72"/>
      <c r="AI42" s="10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</row>
    <row r="43" spans="1:46" ht="13.8" x14ac:dyDescent="0.25">
      <c r="A43" s="72"/>
      <c r="B43" s="37" t="str">
        <f t="shared" si="6"/>
        <v>INDONMSTMOILDSL_IM</v>
      </c>
      <c r="C43" s="37" t="str">
        <f t="shared" si="6"/>
        <v>Steam Boiler Other Non Metallic Minerals Diesel_N_IM</v>
      </c>
      <c r="D43" s="72" t="str">
        <f>D42</f>
        <v>INDOILDSL</v>
      </c>
      <c r="E43" s="72" t="str">
        <f>E42</f>
        <v>INDONMSTM</v>
      </c>
      <c r="F43" s="94">
        <f t="shared" si="7"/>
        <v>2025</v>
      </c>
      <c r="G43" s="72">
        <f>G42+7</f>
        <v>2025</v>
      </c>
      <c r="H43" s="140">
        <f>H42*0.95</f>
        <v>1.2179487179487178</v>
      </c>
      <c r="I43" s="95">
        <v>312.69124055850898</v>
      </c>
      <c r="J43" s="95">
        <f t="shared" si="8"/>
        <v>14.016</v>
      </c>
      <c r="K43" s="141">
        <v>30</v>
      </c>
      <c r="L43" s="141">
        <v>31.536000000000001</v>
      </c>
      <c r="M43" s="141">
        <v>0.8</v>
      </c>
      <c r="R43" s="37"/>
      <c r="S43" s="37" t="str">
        <f>"INDONMHPR"&amp;RIGHT(Commodities!$D$7,6)&amp;"_"&amp;AA43</f>
        <v>INDONMHPRCOASUB_ST</v>
      </c>
      <c r="T43" s="37" t="str">
        <f>"Process Heat Other Non Metallic Minerals Sub-bituminous"&amp;"_"&amp;$S$5&amp;"_"&amp;AA43</f>
        <v>Process Heat Other Non Metallic Minerals Sub-bituminous_N_ST</v>
      </c>
      <c r="U43" s="37" t="s">
        <v>206</v>
      </c>
      <c r="V43" s="37" t="s">
        <v>293</v>
      </c>
      <c r="W43" s="37"/>
      <c r="X43" s="37"/>
      <c r="Y43" s="37"/>
      <c r="AA43" s="72" t="s">
        <v>274</v>
      </c>
      <c r="AG43" s="72"/>
      <c r="AH43" s="72"/>
      <c r="AI43" s="102"/>
      <c r="AJ43" s="72"/>
      <c r="AK43" s="72"/>
      <c r="AL43" s="72"/>
      <c r="AM43" s="72"/>
      <c r="AN43" s="72"/>
      <c r="AO43" s="72"/>
      <c r="AQ43" s="72"/>
      <c r="AS43" s="72"/>
      <c r="AT43" s="72"/>
    </row>
    <row r="44" spans="1:46" ht="13.8" x14ac:dyDescent="0.25">
      <c r="A44" s="72"/>
      <c r="B44" s="98" t="str">
        <f t="shared" si="6"/>
        <v>INDONMSTMOILDSL_AD</v>
      </c>
      <c r="C44" s="98" t="str">
        <f t="shared" si="6"/>
        <v>Steam Boiler Other Non Metallic Minerals Diesel_N_AD</v>
      </c>
      <c r="D44" s="98" t="str">
        <f>D43</f>
        <v>INDOILDSL</v>
      </c>
      <c r="E44" s="98" t="str">
        <f>E42</f>
        <v>INDONMSTM</v>
      </c>
      <c r="F44" s="99">
        <f t="shared" si="7"/>
        <v>2035</v>
      </c>
      <c r="G44" s="98">
        <f>G43+10</f>
        <v>2035</v>
      </c>
      <c r="H44" s="143">
        <f>H42*0.85</f>
        <v>1.0897435897435896</v>
      </c>
      <c r="I44" s="144">
        <v>401.50350045274632</v>
      </c>
      <c r="J44" s="144">
        <f t="shared" si="8"/>
        <v>14.016</v>
      </c>
      <c r="K44" s="145">
        <v>30</v>
      </c>
      <c r="L44" s="145">
        <v>31.536000000000001</v>
      </c>
      <c r="M44" s="145">
        <v>0.8</v>
      </c>
      <c r="R44" s="37"/>
      <c r="S44" s="37" t="str">
        <f>"INDONMHPR"&amp;RIGHT(Commodities!$D$7,6)&amp;"_"&amp;AA44</f>
        <v>INDONMHPRCOASUB_IM</v>
      </c>
      <c r="T44" s="37" t="str">
        <f t="shared" ref="T44:T45" si="9">"Process Heat Other Non Metallic Minerals Sub-bituminous"&amp;"_"&amp;$S$5&amp;"_"&amp;AA44</f>
        <v>Process Heat Other Non Metallic Minerals Sub-bituminous_N_IM</v>
      </c>
      <c r="U44" s="37" t="s">
        <v>206</v>
      </c>
      <c r="V44" s="37" t="s">
        <v>293</v>
      </c>
      <c r="W44" s="37"/>
      <c r="X44" s="37"/>
      <c r="Y44" s="37"/>
      <c r="AA44" s="72" t="s">
        <v>275</v>
      </c>
      <c r="AG44" s="72"/>
      <c r="AH44" s="72"/>
      <c r="AI44" s="102"/>
      <c r="AJ44" s="72"/>
      <c r="AK44" s="72"/>
      <c r="AL44" s="72"/>
      <c r="AM44" s="72"/>
      <c r="AN44" s="72"/>
      <c r="AO44" s="72"/>
      <c r="AQ44" s="72"/>
      <c r="AS44" s="72"/>
      <c r="AT44" s="72"/>
    </row>
    <row r="45" spans="1:46" ht="13.8" x14ac:dyDescent="0.25">
      <c r="A45" s="72"/>
      <c r="B45" s="37" t="str">
        <f t="shared" si="6"/>
        <v>INDONMSTMOILHFO_ST</v>
      </c>
      <c r="C45" s="37" t="str">
        <f t="shared" si="6"/>
        <v>Steam Boiler Other Non Metallic Minerals HFO_N_ST</v>
      </c>
      <c r="D45" s="72" t="s">
        <v>265</v>
      </c>
      <c r="E45" s="72" t="s">
        <v>287</v>
      </c>
      <c r="F45" s="94">
        <f>G45</f>
        <v>2018</v>
      </c>
      <c r="G45" s="72">
        <v>2018</v>
      </c>
      <c r="H45" s="140">
        <f>O37</f>
        <v>1.2820512820512819</v>
      </c>
      <c r="I45" s="95">
        <v>219.17176470588223</v>
      </c>
      <c r="J45" s="95">
        <f t="shared" si="8"/>
        <v>14.016</v>
      </c>
      <c r="K45" s="141">
        <v>30</v>
      </c>
      <c r="L45" s="141">
        <v>31.536000000000001</v>
      </c>
      <c r="M45" s="141">
        <v>0.8</v>
      </c>
      <c r="O45" s="102"/>
      <c r="R45" s="37"/>
      <c r="S45" s="37" t="str">
        <f>"INDONMHPR"&amp;RIGHT(Commodities!$D$7,6)&amp;"_"&amp;AA45</f>
        <v>INDONMHPRCOASUB_AD</v>
      </c>
      <c r="T45" s="37" t="str">
        <f t="shared" si="9"/>
        <v>Process Heat Other Non Metallic Minerals Sub-bituminous_N_AD</v>
      </c>
      <c r="U45" s="37" t="s">
        <v>206</v>
      </c>
      <c r="V45" s="37" t="s">
        <v>293</v>
      </c>
      <c r="W45" s="37"/>
      <c r="X45" s="37"/>
      <c r="Y45" s="37"/>
      <c r="AA45" s="72" t="s">
        <v>276</v>
      </c>
      <c r="AG45" s="72"/>
      <c r="AH45" s="72"/>
      <c r="AI45" s="102"/>
      <c r="AJ45" s="72"/>
      <c r="AK45" s="72"/>
      <c r="AL45" s="72"/>
      <c r="AM45" s="72"/>
      <c r="AN45" s="72"/>
      <c r="AO45" s="72"/>
      <c r="AQ45" s="72"/>
      <c r="AS45" s="72"/>
      <c r="AT45" s="72"/>
    </row>
    <row r="46" spans="1:46" ht="13.8" x14ac:dyDescent="0.25">
      <c r="A46" s="72"/>
      <c r="B46" s="37" t="str">
        <f t="shared" si="6"/>
        <v>INDONMSTMOILHFO_IM</v>
      </c>
      <c r="C46" s="37" t="str">
        <f t="shared" si="6"/>
        <v>Steam Boiler Other Non Metallic Minerals HFO_N_IM</v>
      </c>
      <c r="D46" s="72" t="str">
        <f>D45</f>
        <v>INDOILHFO</v>
      </c>
      <c r="E46" s="72" t="str">
        <f>E45</f>
        <v>INDONMSTM</v>
      </c>
      <c r="F46" s="94">
        <f t="shared" si="7"/>
        <v>2025</v>
      </c>
      <c r="G46" s="72">
        <f>G45+7</f>
        <v>2025</v>
      </c>
      <c r="H46" s="140">
        <f>H45*0.95</f>
        <v>1.2179487179487178</v>
      </c>
      <c r="I46" s="95">
        <v>312.69124055850898</v>
      </c>
      <c r="J46" s="95">
        <f t="shared" si="8"/>
        <v>14.016</v>
      </c>
      <c r="K46" s="141">
        <v>30</v>
      </c>
      <c r="L46" s="141">
        <v>31.536000000000001</v>
      </c>
      <c r="M46" s="141">
        <v>0.8</v>
      </c>
      <c r="R46" s="37"/>
      <c r="S46" s="37" t="str">
        <f>"INDONMHPR"&amp;RIGHT(Commodities!$D$9,6)&amp;"_"&amp;AA46</f>
        <v>INDONMHPRCOABIC_ST</v>
      </c>
      <c r="T46" s="37" t="str">
        <f>"Process Heat Other Non Metallic Minerals Bituminous"&amp;"_"&amp;$S$5&amp;"_"&amp;AA46</f>
        <v>Process Heat Other Non Metallic Minerals Bituminous_N_ST</v>
      </c>
      <c r="U46" s="37" t="s">
        <v>206</v>
      </c>
      <c r="V46" s="37" t="s">
        <v>293</v>
      </c>
      <c r="W46" s="37"/>
      <c r="X46" s="37"/>
      <c r="Y46" s="37"/>
      <c r="AA46" s="72" t="s">
        <v>274</v>
      </c>
      <c r="AG46" s="72"/>
      <c r="AH46" s="72"/>
      <c r="AI46" s="102"/>
      <c r="AJ46" s="72"/>
      <c r="AK46" s="72"/>
      <c r="AL46" s="72"/>
      <c r="AM46" s="72"/>
      <c r="AN46" s="72"/>
      <c r="AO46" s="72"/>
      <c r="AQ46" s="72"/>
      <c r="AS46" s="72"/>
      <c r="AT46" s="72"/>
    </row>
    <row r="47" spans="1:46" ht="13.8" x14ac:dyDescent="0.25">
      <c r="A47" s="72"/>
      <c r="B47" s="98" t="str">
        <f t="shared" si="6"/>
        <v>INDONMSTMOILHFO_AD</v>
      </c>
      <c r="C47" s="98" t="str">
        <f t="shared" si="6"/>
        <v>Steam Boiler Other Non Metallic Minerals HFO_N_AD</v>
      </c>
      <c r="D47" s="98" t="str">
        <f>D46</f>
        <v>INDOILHFO</v>
      </c>
      <c r="E47" s="98" t="str">
        <f>E45</f>
        <v>INDONMSTM</v>
      </c>
      <c r="F47" s="99">
        <f t="shared" si="7"/>
        <v>2035</v>
      </c>
      <c r="G47" s="98">
        <f>G46+10</f>
        <v>2035</v>
      </c>
      <c r="H47" s="143">
        <f>H45*0.85</f>
        <v>1.0897435897435896</v>
      </c>
      <c r="I47" s="144">
        <v>401.50350045274632</v>
      </c>
      <c r="J47" s="144">
        <f t="shared" si="8"/>
        <v>14.016</v>
      </c>
      <c r="K47" s="145">
        <v>30</v>
      </c>
      <c r="L47" s="145">
        <v>31.536000000000001</v>
      </c>
      <c r="M47" s="145">
        <v>0.8</v>
      </c>
      <c r="R47" s="37"/>
      <c r="S47" s="37" t="str">
        <f>"INDONMHPR"&amp;RIGHT(Commodities!$D$9,6)&amp;"_"&amp;AA47</f>
        <v>INDONMHPRCOABIC_IM</v>
      </c>
      <c r="T47" s="37" t="str">
        <f>"Process Heat Other Non Metallic Minerals Bituminous"&amp;"_"&amp;$S$5&amp;"_"&amp;AA47</f>
        <v>Process Heat Other Non Metallic Minerals Bituminous_N_IM</v>
      </c>
      <c r="U47" s="37" t="s">
        <v>206</v>
      </c>
      <c r="V47" s="37" t="s">
        <v>293</v>
      </c>
      <c r="W47" s="37"/>
      <c r="X47" s="37"/>
      <c r="Y47" s="37"/>
      <c r="AA47" s="72" t="s">
        <v>275</v>
      </c>
      <c r="AG47" s="72"/>
      <c r="AH47" s="72"/>
      <c r="AI47" s="102"/>
      <c r="AJ47" s="72"/>
      <c r="AK47" s="72"/>
      <c r="AL47" s="72"/>
      <c r="AM47" s="72"/>
      <c r="AN47" s="72"/>
      <c r="AO47" s="72"/>
      <c r="AQ47" s="72"/>
      <c r="AS47" s="72"/>
      <c r="AT47" s="72"/>
    </row>
    <row r="48" spans="1:46" ht="13.8" x14ac:dyDescent="0.25">
      <c r="A48" s="72"/>
      <c r="B48" s="37" t="str">
        <f t="shared" si="6"/>
        <v>INDONMSTMOILPCK_ST</v>
      </c>
      <c r="C48" s="37" t="str">
        <f t="shared" si="6"/>
        <v>Steam Boiler Other Non Metallic Minerals PetCoke_N_ST</v>
      </c>
      <c r="D48" s="72" t="s">
        <v>160</v>
      </c>
      <c r="E48" s="72" t="s">
        <v>287</v>
      </c>
      <c r="F48" s="94">
        <f>G48</f>
        <v>2018</v>
      </c>
      <c r="G48" s="72">
        <v>2018</v>
      </c>
      <c r="H48" s="140">
        <f>O38</f>
        <v>1.4285714285714286</v>
      </c>
      <c r="I48" s="95">
        <v>585.16800000000001</v>
      </c>
      <c r="J48" s="95">
        <f>53.92656*(1/0.9)</f>
        <v>59.918400000000005</v>
      </c>
      <c r="K48" s="141">
        <v>30</v>
      </c>
      <c r="L48" s="141">
        <v>31.536000000000001</v>
      </c>
      <c r="M48" s="141">
        <v>0.8</v>
      </c>
      <c r="O48" s="102"/>
      <c r="R48" s="37"/>
      <c r="S48" s="37" t="str">
        <f>"INDONMHPR"&amp;RIGHT(Commodities!$D$9,6)&amp;"_"&amp;AA48</f>
        <v>INDONMHPRCOABIC_AD</v>
      </c>
      <c r="T48" s="37" t="str">
        <f>"Process Heat Other Non Metallic Minerals Bituminous"&amp;"_"&amp;$S$5&amp;"_"&amp;AA48</f>
        <v>Process Heat Other Non Metallic Minerals Bituminous_N_AD</v>
      </c>
      <c r="U48" s="37" t="s">
        <v>206</v>
      </c>
      <c r="V48" s="37" t="s">
        <v>293</v>
      </c>
      <c r="W48" s="37"/>
      <c r="X48" s="37"/>
      <c r="Y48" s="37"/>
      <c r="AA48" s="72" t="s">
        <v>276</v>
      </c>
      <c r="AG48" s="72"/>
      <c r="AH48" s="72"/>
      <c r="AI48" s="102"/>
      <c r="AJ48" s="72"/>
      <c r="AK48" s="72"/>
      <c r="AL48" s="72"/>
      <c r="AM48" s="72"/>
      <c r="AN48" s="72"/>
      <c r="AO48" s="72"/>
      <c r="AQ48" s="72"/>
      <c r="AS48" s="72"/>
      <c r="AT48" s="72"/>
    </row>
    <row r="49" spans="1:46" ht="13.8" x14ac:dyDescent="0.25">
      <c r="A49" s="72"/>
      <c r="B49" s="37" t="str">
        <f t="shared" si="6"/>
        <v>INDONMSTMOILPCK_IM</v>
      </c>
      <c r="C49" s="37" t="str">
        <f t="shared" si="6"/>
        <v>Steam Boiler Other Non Metallic Minerals PetCoke_N_IM</v>
      </c>
      <c r="D49" s="72" t="str">
        <f>D48</f>
        <v>INDOILPCK</v>
      </c>
      <c r="E49" s="72" t="str">
        <f>E48</f>
        <v>INDONMSTM</v>
      </c>
      <c r="F49" s="94">
        <f t="shared" si="7"/>
        <v>2025</v>
      </c>
      <c r="G49" s="72">
        <f>G48+7</f>
        <v>2025</v>
      </c>
      <c r="H49" s="140">
        <f>H48*0.95</f>
        <v>1.3571428571428572</v>
      </c>
      <c r="I49" s="95">
        <v>834.85620559148049</v>
      </c>
      <c r="J49" s="95">
        <f>53.92656*(1/0.9)</f>
        <v>59.918400000000005</v>
      </c>
      <c r="K49" s="141">
        <v>30</v>
      </c>
      <c r="L49" s="141">
        <v>31.536000000000001</v>
      </c>
      <c r="M49" s="141">
        <v>0.8</v>
      </c>
      <c r="R49" s="37"/>
      <c r="S49" s="37" t="str">
        <f>"INDONMHPR"&amp;RIGHT(Commodities!$D$51,6)&amp;"_"&amp;AA49</f>
        <v>INDONMHPRBIOBGS_ST</v>
      </c>
      <c r="T49" s="37" t="str">
        <f>"Process Heat Other Non Metallic Minerals BKB"&amp;"_"&amp;$S$5&amp;"_"&amp;AA49</f>
        <v>Process Heat Other Non Metallic Minerals BKB_N_ST</v>
      </c>
      <c r="U49" s="37" t="s">
        <v>206</v>
      </c>
      <c r="V49" s="37" t="s">
        <v>293</v>
      </c>
      <c r="W49" s="37"/>
      <c r="X49" s="37"/>
      <c r="Y49" s="37"/>
      <c r="AA49" s="72" t="s">
        <v>274</v>
      </c>
      <c r="AG49" s="72"/>
      <c r="AH49" s="72"/>
      <c r="AI49" s="10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</row>
    <row r="50" spans="1:46" ht="13.8" x14ac:dyDescent="0.25">
      <c r="A50" s="72"/>
      <c r="B50" s="98" t="str">
        <f t="shared" si="6"/>
        <v>INDONMSTMOILPCK_AD</v>
      </c>
      <c r="C50" s="98" t="str">
        <f t="shared" si="6"/>
        <v>Steam Boiler Other Non Metallic Minerals PetCoke_N_AD</v>
      </c>
      <c r="D50" s="98" t="str">
        <f>D49</f>
        <v>INDOILPCK</v>
      </c>
      <c r="E50" s="98" t="str">
        <f>E48</f>
        <v>INDONMSTM</v>
      </c>
      <c r="F50" s="99">
        <f t="shared" si="7"/>
        <v>2035</v>
      </c>
      <c r="G50" s="98">
        <f>G49+10</f>
        <v>2035</v>
      </c>
      <c r="H50" s="143">
        <f>H48*0.85</f>
        <v>1.2142857142857142</v>
      </c>
      <c r="I50" s="144">
        <v>1071.9765872589473</v>
      </c>
      <c r="J50" s="144">
        <f>53.92656*(1/0.9)</f>
        <v>59.918400000000005</v>
      </c>
      <c r="K50" s="145">
        <v>30</v>
      </c>
      <c r="L50" s="145">
        <v>31.536000000000001</v>
      </c>
      <c r="M50" s="145">
        <v>0.8</v>
      </c>
      <c r="R50" s="37"/>
      <c r="S50" s="37" t="str">
        <f>"INDONMHPR"&amp;RIGHT(Commodities!$D$51,6)&amp;"_"&amp;AA50</f>
        <v>INDONMHPRBIOBGS_IM</v>
      </c>
      <c r="T50" s="37" t="str">
        <f>"Process Heat Other Non Metallic Minerals BKB"&amp;"_"&amp;$S$5&amp;"_"&amp;AA50</f>
        <v>Process Heat Other Non Metallic Minerals BKB_N_IM</v>
      </c>
      <c r="U50" s="37" t="s">
        <v>206</v>
      </c>
      <c r="V50" s="37" t="s">
        <v>293</v>
      </c>
      <c r="W50" s="37"/>
      <c r="X50" s="37"/>
      <c r="Y50" s="37"/>
      <c r="AA50" s="72" t="s">
        <v>275</v>
      </c>
      <c r="AG50" s="72"/>
      <c r="AH50" s="72"/>
      <c r="AI50" s="10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</row>
    <row r="51" spans="1:46" ht="13.8" x14ac:dyDescent="0.25">
      <c r="A51" s="72"/>
      <c r="B51" s="37" t="str">
        <f t="shared" si="6"/>
        <v>INDONMSTMOILOTH_ST</v>
      </c>
      <c r="C51" s="37" t="str">
        <f t="shared" si="6"/>
        <v>Steam Boiler Other Non Metallic Minerals Other Oil Products_N_ST</v>
      </c>
      <c r="D51" s="72" t="s">
        <v>162</v>
      </c>
      <c r="E51" s="72" t="s">
        <v>287</v>
      </c>
      <c r="F51" s="94">
        <f>G51</f>
        <v>2018</v>
      </c>
      <c r="G51" s="72">
        <v>2018</v>
      </c>
      <c r="H51" s="140">
        <f>O39</f>
        <v>1.4285714285714286</v>
      </c>
      <c r="I51" s="95">
        <v>219.17176470588223</v>
      </c>
      <c r="J51" s="95">
        <f t="shared" ref="J51:J56" si="10">12.6144*(1/0.9)</f>
        <v>14.016</v>
      </c>
      <c r="K51" s="141">
        <v>30</v>
      </c>
      <c r="L51" s="141">
        <v>31.536000000000001</v>
      </c>
      <c r="M51" s="141">
        <v>0.8</v>
      </c>
      <c r="O51" s="102"/>
      <c r="R51" s="37"/>
      <c r="S51" s="37" t="str">
        <f>"INDONMHPR"&amp;RIGHT(Commodities!$D$51,6)&amp;"_"&amp;AA51</f>
        <v>INDONMHPRBIOBGS_AD</v>
      </c>
      <c r="T51" s="37" t="str">
        <f>"Process Heat Other Non Metallic Minerals BKB"&amp;"_"&amp;$S$5&amp;"_"&amp;AA51</f>
        <v>Process Heat Other Non Metallic Minerals BKB_N_AD</v>
      </c>
      <c r="U51" s="37" t="s">
        <v>206</v>
      </c>
      <c r="V51" s="37" t="s">
        <v>293</v>
      </c>
      <c r="W51" s="37"/>
      <c r="X51" s="37"/>
      <c r="Y51" s="37"/>
      <c r="AA51" s="72" t="s">
        <v>276</v>
      </c>
      <c r="AG51" s="72"/>
      <c r="AH51" s="72"/>
      <c r="AI51" s="10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</row>
    <row r="52" spans="1:46" ht="13.8" x14ac:dyDescent="0.25">
      <c r="A52" s="72"/>
      <c r="B52" s="37" t="str">
        <f t="shared" si="6"/>
        <v>INDONMSTMOILOTH_IM</v>
      </c>
      <c r="C52" s="37" t="str">
        <f t="shared" si="6"/>
        <v>Steam Boiler Other Non Metallic Minerals Other Oil Products_N_IM</v>
      </c>
      <c r="D52" s="72" t="str">
        <f>D51</f>
        <v>INDOILOTH</v>
      </c>
      <c r="E52" s="72" t="str">
        <f>E51</f>
        <v>INDONMSTM</v>
      </c>
      <c r="F52" s="94">
        <f t="shared" si="7"/>
        <v>2025</v>
      </c>
      <c r="G52" s="72">
        <f>G51+7</f>
        <v>2025</v>
      </c>
      <c r="H52" s="140">
        <f>H51*0.95</f>
        <v>1.3571428571428572</v>
      </c>
      <c r="I52" s="95">
        <v>312.69124055850898</v>
      </c>
      <c r="J52" s="95">
        <f t="shared" si="10"/>
        <v>14.016</v>
      </c>
      <c r="K52" s="141">
        <v>30</v>
      </c>
      <c r="L52" s="141">
        <v>31.536000000000001</v>
      </c>
      <c r="M52" s="141">
        <v>0.8</v>
      </c>
      <c r="R52" s="37"/>
      <c r="S52" s="37" t="str">
        <f>"INDONMHPR"&amp;RIGHT(Commodities!$D$18,6)&amp;"_"&amp;AA52</f>
        <v>INDONMHPROILDSL_ST</v>
      </c>
      <c r="T52" s="37" t="str">
        <f>"Process Heat Other Non Metallic Minerals Diesel"&amp;"_"&amp;$S$5&amp;"_"&amp;AA52</f>
        <v>Process Heat Other Non Metallic Minerals Diesel_N_ST</v>
      </c>
      <c r="U52" s="37" t="s">
        <v>206</v>
      </c>
      <c r="V52" s="37" t="s">
        <v>293</v>
      </c>
      <c r="W52" s="37"/>
      <c r="X52" s="37"/>
      <c r="Y52" s="37"/>
      <c r="AA52" s="72" t="s">
        <v>274</v>
      </c>
      <c r="AG52" s="72"/>
      <c r="AH52" s="72"/>
      <c r="AI52" s="102"/>
      <c r="AJ52" s="72"/>
      <c r="AK52" s="72"/>
      <c r="AL52" s="72"/>
      <c r="AM52" s="72"/>
      <c r="AN52" s="72"/>
      <c r="AO52" s="72"/>
      <c r="AQ52" s="72"/>
      <c r="AS52" s="72"/>
      <c r="AT52" s="72"/>
    </row>
    <row r="53" spans="1:46" ht="13.8" x14ac:dyDescent="0.25">
      <c r="A53" s="72"/>
      <c r="B53" s="98" t="str">
        <f t="shared" si="6"/>
        <v>INDONMSTMOILOTH_AD</v>
      </c>
      <c r="C53" s="98" t="str">
        <f t="shared" si="6"/>
        <v>Steam Boiler Other Non Metallic Minerals Other Oil Products_N_AD</v>
      </c>
      <c r="D53" s="98" t="str">
        <f>D52</f>
        <v>INDOILOTH</v>
      </c>
      <c r="E53" s="98" t="str">
        <f>E51</f>
        <v>INDONMSTM</v>
      </c>
      <c r="F53" s="99">
        <f t="shared" si="7"/>
        <v>2035</v>
      </c>
      <c r="G53" s="98">
        <f>G52+10</f>
        <v>2035</v>
      </c>
      <c r="H53" s="143">
        <f>H51*0.85</f>
        <v>1.2142857142857142</v>
      </c>
      <c r="I53" s="144">
        <v>401.50350045274632</v>
      </c>
      <c r="J53" s="144">
        <f t="shared" si="10"/>
        <v>14.016</v>
      </c>
      <c r="K53" s="145">
        <v>30</v>
      </c>
      <c r="L53" s="145">
        <v>31.536000000000001</v>
      </c>
      <c r="M53" s="145">
        <v>0.8</v>
      </c>
      <c r="R53" s="37"/>
      <c r="S53" s="37" t="str">
        <f>"INDONMHPR"&amp;RIGHT(Commodities!$D$18,6)&amp;"_"&amp;AA53</f>
        <v>INDONMHPROILDSL_IM</v>
      </c>
      <c r="T53" s="37" t="str">
        <f>"Process Heat Other Non Metallic Minerals Diesel"&amp;"_"&amp;$S$5&amp;"_"&amp;AA53</f>
        <v>Process Heat Other Non Metallic Minerals Diesel_N_IM</v>
      </c>
      <c r="U53" s="37" t="s">
        <v>206</v>
      </c>
      <c r="V53" s="37" t="s">
        <v>293</v>
      </c>
      <c r="W53" s="37"/>
      <c r="X53" s="37"/>
      <c r="Y53" s="37"/>
      <c r="AA53" s="72" t="s">
        <v>275</v>
      </c>
      <c r="AG53" s="72"/>
      <c r="AH53" s="72"/>
      <c r="AI53" s="102"/>
      <c r="AJ53" s="72"/>
      <c r="AK53" s="72"/>
      <c r="AL53" s="72"/>
      <c r="AM53" s="72"/>
      <c r="AN53" s="72"/>
      <c r="AO53" s="72"/>
      <c r="AQ53" s="72"/>
      <c r="AS53" s="72"/>
      <c r="AT53" s="72"/>
    </row>
    <row r="54" spans="1:46" ht="13.8" x14ac:dyDescent="0.25">
      <c r="A54" s="72"/>
      <c r="B54" s="37" t="str">
        <f t="shared" si="6"/>
        <v>INDONMSTMGASNAT_ST</v>
      </c>
      <c r="C54" s="37" t="str">
        <f t="shared" si="6"/>
        <v>Steam Boiler Other Non Metallic Minerals N. Gas_N_ST</v>
      </c>
      <c r="D54" s="72" t="s">
        <v>164</v>
      </c>
      <c r="E54" s="72" t="s">
        <v>287</v>
      </c>
      <c r="F54" s="94">
        <f>G54</f>
        <v>2018</v>
      </c>
      <c r="G54" s="72">
        <v>2018</v>
      </c>
      <c r="H54" s="140">
        <f>O40</f>
        <v>1.25</v>
      </c>
      <c r="I54" s="95">
        <f>148.816941176471*1.5</f>
        <v>223.22541176470651</v>
      </c>
      <c r="J54" s="95">
        <f t="shared" si="10"/>
        <v>14.016</v>
      </c>
      <c r="K54" s="141">
        <v>30</v>
      </c>
      <c r="L54" s="141">
        <v>31.536000000000001</v>
      </c>
      <c r="M54" s="141">
        <v>0.8</v>
      </c>
      <c r="O54" s="102"/>
      <c r="R54" s="37"/>
      <c r="S54" s="37" t="str">
        <f>"INDONMHPR"&amp;RIGHT(Commodities!$D$18,6)&amp;"_"&amp;AA54</f>
        <v>INDONMHPROILDSL_AD</v>
      </c>
      <c r="T54" s="37" t="str">
        <f>"Process Heat Other Non Metallic Minerals Diesel"&amp;"_"&amp;$S$5&amp;"_"&amp;AA54</f>
        <v>Process Heat Other Non Metallic Minerals Diesel_N_AD</v>
      </c>
      <c r="U54" s="37" t="s">
        <v>206</v>
      </c>
      <c r="V54" s="37" t="s">
        <v>293</v>
      </c>
      <c r="W54" s="37"/>
      <c r="X54" s="37"/>
      <c r="Y54" s="37"/>
      <c r="AA54" s="72" t="s">
        <v>276</v>
      </c>
      <c r="AG54" s="72"/>
      <c r="AH54" s="72"/>
      <c r="AI54" s="102"/>
      <c r="AJ54" s="72"/>
      <c r="AK54" s="72"/>
      <c r="AL54" s="72"/>
      <c r="AM54" s="72"/>
      <c r="AN54" s="72"/>
      <c r="AO54" s="72"/>
      <c r="AQ54" s="72"/>
      <c r="AS54" s="72"/>
      <c r="AT54" s="72"/>
    </row>
    <row r="55" spans="1:46" ht="13.8" x14ac:dyDescent="0.25">
      <c r="A55" s="72"/>
      <c r="B55" s="37" t="str">
        <f t="shared" si="6"/>
        <v>INDONMSTMGASNAT_IM</v>
      </c>
      <c r="C55" s="37" t="str">
        <f t="shared" si="6"/>
        <v>Steam Boiler Other Non Metallic Minerals N. Gas_N_IM</v>
      </c>
      <c r="D55" s="72" t="str">
        <f>D54</f>
        <v>INDGASNAT</v>
      </c>
      <c r="E55" s="72" t="str">
        <f>E54</f>
        <v>INDONMSTM</v>
      </c>
      <c r="F55" s="94">
        <f t="shared" si="7"/>
        <v>2025</v>
      </c>
      <c r="G55" s="72">
        <f>G54+7</f>
        <v>2025</v>
      </c>
      <c r="H55" s="140">
        <f>H54*0.95</f>
        <v>1.1875</v>
      </c>
      <c r="I55" s="95">
        <f>212.316372115904*1.5</f>
        <v>318.474558173856</v>
      </c>
      <c r="J55" s="95">
        <f t="shared" si="10"/>
        <v>14.016</v>
      </c>
      <c r="K55" s="141">
        <v>30</v>
      </c>
      <c r="L55" s="141">
        <v>31.536000000000001</v>
      </c>
      <c r="M55" s="141">
        <v>0.8</v>
      </c>
      <c r="R55" s="37"/>
      <c r="S55" s="37" t="str">
        <f>"INDONMHPR"&amp;RIGHT(Commodities!$D$22,6)&amp;"_"&amp;AA55</f>
        <v>INDONMHPROILHFO_ST</v>
      </c>
      <c r="T55" s="37" t="str">
        <f>"Process Heat Other Non Metallic Minerals HFO"&amp;"_"&amp;$S$5&amp;"_"&amp;AA55</f>
        <v>Process Heat Other Non Metallic Minerals HFO_N_ST</v>
      </c>
      <c r="U55" s="37" t="s">
        <v>206</v>
      </c>
      <c r="V55" s="37" t="s">
        <v>293</v>
      </c>
      <c r="W55" s="37"/>
      <c r="X55" s="37"/>
      <c r="Y55" s="37"/>
      <c r="AA55" s="72" t="s">
        <v>274</v>
      </c>
      <c r="AG55" s="72"/>
      <c r="AH55" s="72"/>
      <c r="AI55" s="102"/>
      <c r="AJ55" s="72"/>
      <c r="AK55" s="72"/>
      <c r="AL55" s="72"/>
      <c r="AM55" s="72"/>
      <c r="AN55" s="72"/>
      <c r="AO55" s="72"/>
      <c r="AQ55" s="72"/>
      <c r="AS55" s="72"/>
      <c r="AT55" s="72"/>
    </row>
    <row r="56" spans="1:46" ht="13.8" x14ac:dyDescent="0.25">
      <c r="A56" s="72"/>
      <c r="B56" s="98" t="str">
        <f t="shared" si="6"/>
        <v>INDONMSTMGASNAT_AD</v>
      </c>
      <c r="C56" s="98" t="str">
        <f t="shared" si="6"/>
        <v>Steam Boiler Other Non Metallic Minerals N. Gas_N_AD</v>
      </c>
      <c r="D56" s="98" t="str">
        <f>D55</f>
        <v>INDGASNAT</v>
      </c>
      <c r="E56" s="98" t="str">
        <f>E54</f>
        <v>INDONMSTM</v>
      </c>
      <c r="F56" s="99">
        <f t="shared" si="7"/>
        <v>2035</v>
      </c>
      <c r="G56" s="98">
        <f>G55+10</f>
        <v>2035</v>
      </c>
      <c r="H56" s="143">
        <f>H54*0.85</f>
        <v>1.0625</v>
      </c>
      <c r="I56" s="144">
        <f>272.619618175753*1.75</f>
        <v>477.08433180756771</v>
      </c>
      <c r="J56" s="144">
        <f t="shared" si="10"/>
        <v>14.016</v>
      </c>
      <c r="K56" s="145">
        <v>30</v>
      </c>
      <c r="L56" s="145">
        <v>31.536000000000001</v>
      </c>
      <c r="M56" s="145">
        <v>0.8</v>
      </c>
      <c r="R56" s="37"/>
      <c r="S56" s="37" t="str">
        <f>"INDONMHPR"&amp;RIGHT(Commodities!$D$22,6)&amp;"_"&amp;AA56</f>
        <v>INDONMHPROILHFO_IM</v>
      </c>
      <c r="T56" s="37" t="str">
        <f>"Process Heat Other Non Metallic Minerals HFO"&amp;"_"&amp;$S$5&amp;"_"&amp;AA56</f>
        <v>Process Heat Other Non Metallic Minerals HFO_N_IM</v>
      </c>
      <c r="U56" s="37" t="s">
        <v>206</v>
      </c>
      <c r="V56" s="37" t="s">
        <v>293</v>
      </c>
      <c r="W56" s="37"/>
      <c r="X56" s="37"/>
      <c r="Y56" s="37"/>
      <c r="AA56" s="72" t="s">
        <v>275</v>
      </c>
      <c r="AG56" s="72"/>
      <c r="AH56" s="72"/>
      <c r="AI56" s="102"/>
      <c r="AJ56" s="72"/>
      <c r="AK56" s="72"/>
      <c r="AL56" s="72"/>
      <c r="AM56" s="72"/>
      <c r="AN56" s="72"/>
      <c r="AO56" s="72"/>
      <c r="AQ56" s="72"/>
      <c r="AS56" s="72"/>
      <c r="AT56" s="72"/>
    </row>
    <row r="57" spans="1:46" ht="13.8" x14ac:dyDescent="0.25">
      <c r="A57" s="72"/>
      <c r="B57" s="37" t="str">
        <f t="shared" si="6"/>
        <v>INDONMSTMBIOLOG_ST</v>
      </c>
      <c r="C57" s="37" t="str">
        <f t="shared" si="6"/>
        <v>Steam Boiler Other Non Metallic Minerals Biomass_N_ST</v>
      </c>
      <c r="D57" s="72" t="s">
        <v>168</v>
      </c>
      <c r="E57" s="72" t="s">
        <v>287</v>
      </c>
      <c r="F57" s="94">
        <f>G57</f>
        <v>2100</v>
      </c>
      <c r="G57" s="72">
        <v>2100</v>
      </c>
      <c r="H57" s="140">
        <f>O41</f>
        <v>1.4285714285714286</v>
      </c>
      <c r="I57" s="95">
        <v>702.2016000000001</v>
      </c>
      <c r="J57" s="95">
        <f>53.92656*(1/0.9)</f>
        <v>59.918400000000005</v>
      </c>
      <c r="K57" s="141">
        <v>30</v>
      </c>
      <c r="L57" s="141">
        <v>31.536000000000001</v>
      </c>
      <c r="M57" s="141">
        <v>0.8</v>
      </c>
      <c r="O57" s="102"/>
      <c r="R57" s="37"/>
      <c r="S57" s="37" t="str">
        <f>"INDONMHPR"&amp;RIGHT(Commodities!$D$22,6)&amp;"_"&amp;AA57</f>
        <v>INDONMHPROILHFO_AD</v>
      </c>
      <c r="T57" s="37" t="str">
        <f>"Process Heat Other Non Metallic Minerals HFO"&amp;"_"&amp;$S$5&amp;"_"&amp;AA57</f>
        <v>Process Heat Other Non Metallic Minerals HFO_N_AD</v>
      </c>
      <c r="U57" s="37" t="s">
        <v>206</v>
      </c>
      <c r="V57" s="37" t="s">
        <v>293</v>
      </c>
      <c r="W57" s="37"/>
      <c r="X57" s="37"/>
      <c r="Y57" s="37"/>
      <c r="AA57" s="72" t="s">
        <v>276</v>
      </c>
      <c r="AG57" s="72"/>
      <c r="AH57" s="72"/>
      <c r="AI57" s="102"/>
      <c r="AJ57" s="72"/>
      <c r="AK57" s="72"/>
      <c r="AL57" s="72"/>
      <c r="AM57" s="72"/>
      <c r="AN57" s="72"/>
      <c r="AO57" s="72"/>
      <c r="AQ57" s="72"/>
      <c r="AS57" s="72"/>
      <c r="AT57" s="72"/>
    </row>
    <row r="58" spans="1:46" ht="13.8" x14ac:dyDescent="0.25">
      <c r="A58" s="72"/>
      <c r="B58" s="37" t="str">
        <f t="shared" si="6"/>
        <v>INDONMSTMBIOLOG_IM</v>
      </c>
      <c r="C58" s="37" t="str">
        <f t="shared" si="6"/>
        <v>Steam Boiler Other Non Metallic Minerals Biomass_N_IM</v>
      </c>
      <c r="D58" s="72" t="str">
        <f>D57</f>
        <v>INDBIOLOG</v>
      </c>
      <c r="E58" s="72" t="str">
        <f>E57</f>
        <v>INDONMSTM</v>
      </c>
      <c r="F58" s="94">
        <f t="shared" si="7"/>
        <v>2100</v>
      </c>
      <c r="G58" s="72">
        <f>G57</f>
        <v>2100</v>
      </c>
      <c r="H58" s="140">
        <f>H57*0.95</f>
        <v>1.3571428571428572</v>
      </c>
      <c r="I58" s="95">
        <v>1286.3719047107372</v>
      </c>
      <c r="J58" s="95">
        <f>53.92656*(1/0.9)</f>
        <v>59.918400000000005</v>
      </c>
      <c r="K58" s="141">
        <v>30</v>
      </c>
      <c r="L58" s="141">
        <v>31.536000000000001</v>
      </c>
      <c r="M58" s="141">
        <v>0.8</v>
      </c>
      <c r="R58" s="37"/>
      <c r="S58" s="37" t="str">
        <f>"INDONMHPR"&amp;RIGHT(Commodities!$D$27,6)&amp;"_"&amp;AA58</f>
        <v>INDONMHPROILPCK_ST</v>
      </c>
      <c r="T58" s="37" t="str">
        <f>"Process Heat Other Non Metallic Minerals PetCoke"&amp;"_"&amp;$S$5&amp;"_"&amp;AA58</f>
        <v>Process Heat Other Non Metallic Minerals PetCoke_N_ST</v>
      </c>
      <c r="U58" s="37" t="s">
        <v>206</v>
      </c>
      <c r="V58" s="37" t="s">
        <v>293</v>
      </c>
      <c r="W58" s="37"/>
      <c r="X58" s="37"/>
      <c r="Y58" s="37"/>
      <c r="AA58" s="72" t="s">
        <v>274</v>
      </c>
      <c r="AG58" s="72"/>
      <c r="AH58" s="72"/>
      <c r="AI58" s="102"/>
      <c r="AJ58" s="72"/>
      <c r="AK58" s="72"/>
      <c r="AL58" s="72"/>
      <c r="AM58" s="72"/>
      <c r="AN58" s="102"/>
      <c r="AO58" s="102"/>
      <c r="AP58" s="72"/>
      <c r="AQ58" s="72"/>
      <c r="AR58" s="72"/>
      <c r="AS58" s="72"/>
      <c r="AT58" s="72"/>
    </row>
    <row r="59" spans="1:46" ht="13.8" x14ac:dyDescent="0.25">
      <c r="A59" s="72"/>
      <c r="B59" s="98" t="str">
        <f t="shared" si="6"/>
        <v>INDONMSTMBIOLOG_AD</v>
      </c>
      <c r="C59" s="98" t="str">
        <f t="shared" si="6"/>
        <v>Steam Boiler Other Non Metallic Minerals Biomass_N_AD</v>
      </c>
      <c r="D59" s="98" t="str">
        <f>D58</f>
        <v>INDBIOLOG</v>
      </c>
      <c r="E59" s="98" t="str">
        <f>E57</f>
        <v>INDONMSTM</v>
      </c>
      <c r="F59" s="99">
        <f t="shared" si="7"/>
        <v>2100</v>
      </c>
      <c r="G59" s="98">
        <f>G58</f>
        <v>2100</v>
      </c>
      <c r="H59" s="143">
        <f>H57*0.85</f>
        <v>1.2142857142857142</v>
      </c>
      <c r="I59" s="144">
        <v>2120.8687213276303</v>
      </c>
      <c r="J59" s="144">
        <f>53.92656*(1/0.9)</f>
        <v>59.918400000000005</v>
      </c>
      <c r="K59" s="145">
        <v>30</v>
      </c>
      <c r="L59" s="145">
        <v>31.536000000000001</v>
      </c>
      <c r="M59" s="145">
        <v>0.8</v>
      </c>
      <c r="R59" s="37"/>
      <c r="S59" s="37" t="str">
        <f>"INDONMHPR"&amp;RIGHT(Commodities!$D$27,6)&amp;"_"&amp;AA59</f>
        <v>INDONMHPROILPCK_IM</v>
      </c>
      <c r="T59" s="37" t="str">
        <f>"Process Heat Other Non Metallic Minerals PetCoke"&amp;"_"&amp;$S$5&amp;"_"&amp;AA59</f>
        <v>Process Heat Other Non Metallic Minerals PetCoke_N_IM</v>
      </c>
      <c r="U59" s="37" t="s">
        <v>206</v>
      </c>
      <c r="V59" s="37" t="s">
        <v>293</v>
      </c>
      <c r="W59" s="37"/>
      <c r="X59" s="37"/>
      <c r="Y59" s="37"/>
      <c r="AA59" s="72" t="s">
        <v>275</v>
      </c>
      <c r="AG59" s="72"/>
      <c r="AH59" s="72"/>
      <c r="AI59" s="102"/>
      <c r="AJ59" s="72"/>
      <c r="AK59" s="72"/>
      <c r="AL59" s="72"/>
      <c r="AM59" s="72"/>
      <c r="AN59" s="102"/>
      <c r="AO59" s="102"/>
      <c r="AP59" s="72"/>
      <c r="AQ59" s="72"/>
      <c r="AR59" s="72"/>
      <c r="AS59" s="72"/>
      <c r="AT59" s="72"/>
    </row>
    <row r="60" spans="1:46" ht="13.8" x14ac:dyDescent="0.25">
      <c r="A60" s="72"/>
      <c r="B60" s="37" t="str">
        <f t="shared" si="6"/>
        <v>INDONMSTMHTH_ST</v>
      </c>
      <c r="C60" s="37" t="str">
        <f t="shared" si="6"/>
        <v>Steam Boiler Other Non Metallic Minerals Heat_N_ST</v>
      </c>
      <c r="D60" s="72" t="s">
        <v>1014</v>
      </c>
      <c r="E60" s="72" t="s">
        <v>287</v>
      </c>
      <c r="F60" s="94">
        <f>G60</f>
        <v>2018</v>
      </c>
      <c r="G60" s="72">
        <v>2018</v>
      </c>
      <c r="H60" s="140">
        <f>O42</f>
        <v>1.2</v>
      </c>
      <c r="I60" s="95">
        <v>148.81694117647112</v>
      </c>
      <c r="J60" s="95">
        <f t="shared" ref="J60:J62" si="11">12.6144*(1/0.9)</f>
        <v>14.016</v>
      </c>
      <c r="K60" s="141">
        <v>30</v>
      </c>
      <c r="L60" s="141">
        <v>31.536000000000001</v>
      </c>
      <c r="M60" s="141">
        <v>0.8</v>
      </c>
      <c r="O60" s="102"/>
      <c r="R60" s="37"/>
      <c r="S60" s="37" t="str">
        <f>"INDONMHPR"&amp;RIGHT(Commodities!$D$27,6)&amp;"_"&amp;AA60</f>
        <v>INDONMHPROILPCK_AD</v>
      </c>
      <c r="T60" s="37" t="str">
        <f>"Process Heat Other Non Metallic Minerals PetCoke"&amp;"_"&amp;$S$5&amp;"_"&amp;AA60</f>
        <v>Process Heat Other Non Metallic Minerals PetCoke_N_AD</v>
      </c>
      <c r="U60" s="37" t="s">
        <v>206</v>
      </c>
      <c r="V60" s="37" t="s">
        <v>293</v>
      </c>
      <c r="W60" s="37"/>
      <c r="X60" s="37"/>
      <c r="Y60" s="37"/>
      <c r="AA60" s="72" t="s">
        <v>276</v>
      </c>
      <c r="AG60" s="72"/>
      <c r="AH60" s="72"/>
      <c r="AI60" s="102"/>
      <c r="AJ60" s="72"/>
      <c r="AK60" s="72"/>
      <c r="AL60" s="72"/>
      <c r="AM60" s="72"/>
      <c r="AN60" s="102"/>
      <c r="AO60" s="102"/>
      <c r="AP60" s="72"/>
      <c r="AQ60" s="72"/>
      <c r="AR60" s="72"/>
      <c r="AS60" s="72"/>
      <c r="AT60" s="72"/>
    </row>
    <row r="61" spans="1:46" ht="13.8" x14ac:dyDescent="0.25">
      <c r="A61" s="72"/>
      <c r="B61" s="37" t="str">
        <f t="shared" si="6"/>
        <v>INDONMSTMHTH_IM</v>
      </c>
      <c r="C61" s="37" t="str">
        <f t="shared" si="6"/>
        <v>Steam Boiler Other Non Metallic Minerals Heat_N_IM</v>
      </c>
      <c r="D61" s="72" t="str">
        <f>D60</f>
        <v>INDNMMHTH</v>
      </c>
      <c r="E61" s="72" t="str">
        <f>E60</f>
        <v>INDONMSTM</v>
      </c>
      <c r="F61" s="94">
        <f t="shared" si="7"/>
        <v>2025</v>
      </c>
      <c r="G61" s="72">
        <f>G60+7</f>
        <v>2025</v>
      </c>
      <c r="H61" s="140">
        <f>H60*0.95</f>
        <v>1.1399999999999999</v>
      </c>
      <c r="I61" s="95">
        <v>212.31637211590385</v>
      </c>
      <c r="J61" s="95">
        <f t="shared" si="11"/>
        <v>14.016</v>
      </c>
      <c r="K61" s="141">
        <v>30</v>
      </c>
      <c r="L61" s="141">
        <v>31.536000000000001</v>
      </c>
      <c r="M61" s="141">
        <v>0.8</v>
      </c>
      <c r="R61" s="37"/>
      <c r="S61" s="37" t="str">
        <f>"INDONMHPR"&amp;RIGHT(Commodities!$D$30,6)&amp;"_"&amp;AA61</f>
        <v>INDONMHPROILOTH_ST</v>
      </c>
      <c r="T61" s="37" t="str">
        <f>"Process Heat Other Non Metallic Minerals Other Oil Products"&amp;"_"&amp;$S$5&amp;"_"&amp;AA61</f>
        <v>Process Heat Other Non Metallic Minerals Other Oil Products_N_ST</v>
      </c>
      <c r="U61" s="37" t="s">
        <v>206</v>
      </c>
      <c r="V61" s="37" t="s">
        <v>293</v>
      </c>
      <c r="W61" s="37"/>
      <c r="X61" s="37"/>
      <c r="Y61" s="37"/>
      <c r="AA61" s="72" t="s">
        <v>274</v>
      </c>
      <c r="AG61" s="72"/>
      <c r="AH61" s="72"/>
      <c r="AI61" s="102"/>
      <c r="AJ61" s="72"/>
      <c r="AK61" s="72"/>
      <c r="AL61" s="72"/>
      <c r="AM61" s="72"/>
      <c r="AN61" s="102"/>
      <c r="AO61" s="102"/>
      <c r="AQ61" s="72"/>
      <c r="AR61" s="72"/>
      <c r="AS61" s="72"/>
      <c r="AT61" s="72"/>
    </row>
    <row r="62" spans="1:46" ht="13.8" x14ac:dyDescent="0.25">
      <c r="A62" s="72"/>
      <c r="B62" s="98" t="str">
        <f t="shared" si="6"/>
        <v>INDONMSTMHTH_AD</v>
      </c>
      <c r="C62" s="98" t="str">
        <f t="shared" si="6"/>
        <v>Steam Boiler Other Non Metallic Minerals Heat_N_AD</v>
      </c>
      <c r="D62" s="98" t="str">
        <f>D61</f>
        <v>INDNMMHTH</v>
      </c>
      <c r="E62" s="98" t="str">
        <f>E60</f>
        <v>INDONMSTM</v>
      </c>
      <c r="F62" s="99">
        <f t="shared" si="7"/>
        <v>2035</v>
      </c>
      <c r="G62" s="98">
        <f>G61+10</f>
        <v>2035</v>
      </c>
      <c r="H62" s="143">
        <f>H60*0.85</f>
        <v>1.02</v>
      </c>
      <c r="I62" s="144">
        <v>272.61961817575303</v>
      </c>
      <c r="J62" s="144">
        <f t="shared" si="11"/>
        <v>14.016</v>
      </c>
      <c r="K62" s="145">
        <v>30</v>
      </c>
      <c r="L62" s="145">
        <v>31.536000000000001</v>
      </c>
      <c r="M62" s="145">
        <v>0.8</v>
      </c>
      <c r="R62" s="37"/>
      <c r="S62" s="37" t="str">
        <f>"INDONMHPR"&amp;RIGHT(Commodities!$D$30,6)&amp;"_"&amp;AA62</f>
        <v>INDONMHPROILOTH_IM</v>
      </c>
      <c r="T62" s="37" t="str">
        <f>"Process Heat Other Non Metallic Minerals Other Oil Products"&amp;"_"&amp;$S$5&amp;"_"&amp;AA62</f>
        <v>Process Heat Other Non Metallic Minerals Other Oil Products_N_IM</v>
      </c>
      <c r="U62" s="37" t="s">
        <v>206</v>
      </c>
      <c r="V62" s="37" t="s">
        <v>293</v>
      </c>
      <c r="W62" s="37"/>
      <c r="X62" s="37"/>
      <c r="Y62" s="37"/>
      <c r="AA62" s="72" t="s">
        <v>275</v>
      </c>
      <c r="AG62" s="72"/>
      <c r="AH62" s="72"/>
      <c r="AI62" s="102"/>
      <c r="AJ62" s="72"/>
      <c r="AK62" s="72"/>
      <c r="AL62" s="72"/>
      <c r="AM62" s="72"/>
      <c r="AN62" s="102"/>
      <c r="AO62" s="102"/>
      <c r="AQ62" s="72"/>
      <c r="AR62" s="72"/>
      <c r="AS62" s="72"/>
      <c r="AT62" s="72"/>
    </row>
    <row r="63" spans="1:46" ht="13.8" x14ac:dyDescent="0.25">
      <c r="A63" s="72"/>
      <c r="B63" s="37" t="str">
        <f t="shared" ref="B63:B65" si="12">S40</f>
        <v>INDONMSTMELC_ST</v>
      </c>
      <c r="C63" s="37" t="str">
        <f t="shared" ref="C63:C65" si="13">T40</f>
        <v>Steam Boiler Other Non Metallic Minerals Electricity_N_ST</v>
      </c>
      <c r="D63" s="72" t="str">
        <f>Commodities!D341</f>
        <v>INDELC</v>
      </c>
      <c r="E63" s="72" t="s">
        <v>287</v>
      </c>
      <c r="F63" s="94">
        <f>G63</f>
        <v>2018</v>
      </c>
      <c r="G63" s="72">
        <v>2018</v>
      </c>
      <c r="H63" s="140">
        <v>1.1000000000000001</v>
      </c>
      <c r="I63" s="95">
        <v>833.33333333333337</v>
      </c>
      <c r="J63" s="95">
        <v>30</v>
      </c>
      <c r="K63" s="141">
        <v>30</v>
      </c>
      <c r="L63" s="141">
        <v>31.536000000000001</v>
      </c>
      <c r="M63" s="141">
        <v>0.8</v>
      </c>
      <c r="O63" s="102"/>
      <c r="R63" s="37"/>
      <c r="S63" s="37" t="str">
        <f>"INDONMHPR"&amp;RIGHT(Commodities!$D$30,6)&amp;"_"&amp;AA63</f>
        <v>INDONMHPROILOTH_AD</v>
      </c>
      <c r="T63" s="37" t="str">
        <f>"Process Heat Other Non Metallic Minerals Other Oil Products"&amp;"_"&amp;$S$5&amp;"_"&amp;AA63</f>
        <v>Process Heat Other Non Metallic Minerals Other Oil Products_N_AD</v>
      </c>
      <c r="U63" s="37" t="s">
        <v>206</v>
      </c>
      <c r="V63" s="37" t="s">
        <v>293</v>
      </c>
      <c r="W63" s="37"/>
      <c r="X63" s="37"/>
      <c r="Y63" s="37"/>
      <c r="AA63" s="72" t="s">
        <v>276</v>
      </c>
      <c r="AG63" s="72"/>
      <c r="AH63" s="72"/>
      <c r="AI63" s="102"/>
      <c r="AJ63" s="72"/>
      <c r="AK63" s="72"/>
      <c r="AL63" s="72"/>
      <c r="AM63" s="72"/>
      <c r="AN63" s="102"/>
      <c r="AO63" s="102"/>
      <c r="AQ63" s="72"/>
      <c r="AR63" s="72"/>
      <c r="AS63" s="72"/>
      <c r="AT63" s="72"/>
    </row>
    <row r="64" spans="1:46" ht="13.8" x14ac:dyDescent="0.25">
      <c r="A64" s="72"/>
      <c r="B64" s="37" t="str">
        <f t="shared" si="12"/>
        <v>INDONMSTMELC_IM</v>
      </c>
      <c r="C64" s="37" t="str">
        <f t="shared" si="13"/>
        <v>Steam Boiler Other Non Metallic Minerals Electricity_N_IM</v>
      </c>
      <c r="D64" s="72" t="str">
        <f>D63</f>
        <v>INDELC</v>
      </c>
      <c r="E64" s="72" t="str">
        <f>E63</f>
        <v>INDONMSTM</v>
      </c>
      <c r="F64" s="94">
        <f t="shared" ref="F64:F65" si="14">G64</f>
        <v>2025</v>
      </c>
      <c r="G64" s="72">
        <f>G63+7</f>
        <v>2025</v>
      </c>
      <c r="H64" s="140">
        <f>H63*0.95</f>
        <v>1.0449999999999999</v>
      </c>
      <c r="I64" s="95">
        <v>1188.9124228590201</v>
      </c>
      <c r="J64" s="95">
        <v>30</v>
      </c>
      <c r="K64" s="141">
        <v>30</v>
      </c>
      <c r="L64" s="141">
        <v>31.536000000000001</v>
      </c>
      <c r="M64" s="141">
        <v>0.8</v>
      </c>
      <c r="R64" s="37"/>
      <c r="S64" s="37" t="str">
        <f>"INDONMHPR"&amp;RIGHT(Commodities!$D$33,6)&amp;"_"&amp;AA64</f>
        <v>INDONMHPRGASNAT_ST</v>
      </c>
      <c r="T64" s="37" t="str">
        <f>"Process Heat Other Non Metallic Minerals N. Gas"&amp;"_"&amp;$S$5&amp;"_"&amp;AA64</f>
        <v>Process Heat Other Non Metallic Minerals N. Gas_N_ST</v>
      </c>
      <c r="U64" s="37" t="s">
        <v>206</v>
      </c>
      <c r="V64" s="37" t="s">
        <v>293</v>
      </c>
      <c r="W64" s="37"/>
      <c r="X64" s="37"/>
      <c r="Y64" s="37"/>
      <c r="AA64" s="72" t="s">
        <v>274</v>
      </c>
      <c r="AG64" s="72"/>
      <c r="AH64" s="72"/>
      <c r="AI64" s="102"/>
      <c r="AJ64" s="72"/>
      <c r="AK64" s="72"/>
      <c r="AL64" s="72"/>
      <c r="AM64" s="72"/>
      <c r="AN64" s="102"/>
      <c r="AO64" s="102"/>
      <c r="AQ64" s="72"/>
      <c r="AR64" s="72"/>
    </row>
    <row r="65" spans="1:44" ht="13.8" x14ac:dyDescent="0.25">
      <c r="A65" s="72"/>
      <c r="B65" s="98" t="str">
        <f t="shared" si="12"/>
        <v>INDONMSTMELC_AD</v>
      </c>
      <c r="C65" s="98" t="str">
        <f t="shared" si="13"/>
        <v>Steam Boiler Other Non Metallic Minerals Electricity_N_AD</v>
      </c>
      <c r="D65" s="98" t="str">
        <f>D64</f>
        <v>INDELC</v>
      </c>
      <c r="E65" s="98" t="str">
        <f>E63</f>
        <v>INDONMSTM</v>
      </c>
      <c r="F65" s="99">
        <f t="shared" si="14"/>
        <v>2035</v>
      </c>
      <c r="G65" s="98">
        <f>G64+10</f>
        <v>2035</v>
      </c>
      <c r="H65" s="143">
        <f>H63*0.92</f>
        <v>1.0120000000000002</v>
      </c>
      <c r="I65" s="144">
        <v>1526.5937691667855</v>
      </c>
      <c r="J65" s="144">
        <v>30</v>
      </c>
      <c r="K65" s="145">
        <v>30</v>
      </c>
      <c r="L65" s="145">
        <v>31.536000000000001</v>
      </c>
      <c r="M65" s="145">
        <v>0.8</v>
      </c>
      <c r="R65" s="37"/>
      <c r="S65" s="37" t="str">
        <f>"INDONMHPR"&amp;RIGHT(Commodities!$D$33,6)&amp;"_"&amp;AA65</f>
        <v>INDONMHPRGASNAT_IM</v>
      </c>
      <c r="T65" s="37" t="str">
        <f>"Process Heat Other Non Metallic Minerals N. Gas"&amp;"_"&amp;$S$5&amp;"_"&amp;AA65</f>
        <v>Process Heat Other Non Metallic Minerals N. Gas_N_IM</v>
      </c>
      <c r="U65" s="37" t="s">
        <v>206</v>
      </c>
      <c r="V65" s="37" t="s">
        <v>293</v>
      </c>
      <c r="W65" s="37"/>
      <c r="X65" s="37"/>
      <c r="Y65" s="37"/>
      <c r="AA65" s="72" t="s">
        <v>275</v>
      </c>
      <c r="AG65" s="72"/>
      <c r="AH65" s="72"/>
      <c r="AI65" s="102"/>
      <c r="AJ65" s="72"/>
      <c r="AK65" s="72"/>
      <c r="AL65" s="72"/>
      <c r="AM65" s="72"/>
      <c r="AN65" s="102"/>
      <c r="AO65" s="102"/>
      <c r="AQ65" s="72"/>
      <c r="AR65" s="72"/>
    </row>
    <row r="66" spans="1:44" ht="13.8" x14ac:dyDescent="0.25">
      <c r="B66" s="37"/>
      <c r="R66" s="37"/>
      <c r="S66" s="37" t="str">
        <f>"INDONMHPR"&amp;RIGHT(Commodities!$D$33,6)&amp;"_"&amp;AA66</f>
        <v>INDONMHPRGASNAT_AD</v>
      </c>
      <c r="T66" s="37" t="str">
        <f>"Process Heat Other Non Metallic Minerals N. Gas"&amp;"_"&amp;$S$5&amp;"_"&amp;AA66</f>
        <v>Process Heat Other Non Metallic Minerals N. Gas_N_AD</v>
      </c>
      <c r="U66" s="37" t="s">
        <v>206</v>
      </c>
      <c r="V66" s="37" t="s">
        <v>293</v>
      </c>
      <c r="W66" s="37"/>
      <c r="X66" s="37"/>
      <c r="Y66" s="37"/>
      <c r="AA66" s="72" t="s">
        <v>276</v>
      </c>
      <c r="AG66" s="72"/>
      <c r="AH66" s="72"/>
      <c r="AI66" s="102"/>
      <c r="AJ66" s="72"/>
      <c r="AK66" s="72"/>
      <c r="AL66" s="72"/>
      <c r="AM66" s="72"/>
      <c r="AN66" s="102"/>
      <c r="AO66" s="102"/>
      <c r="AQ66" s="72"/>
      <c r="AR66" s="72"/>
    </row>
    <row r="67" spans="1:44" ht="13.8" x14ac:dyDescent="0.25">
      <c r="R67" s="37"/>
      <c r="S67" s="37" t="str">
        <f>"INDONMHPR"&amp;RIGHT(Commodities!$D$35,6)&amp;"_"&amp;AA67</f>
        <v>INDONMHPRBIOLOG_ST</v>
      </c>
      <c r="T67" s="37" t="str">
        <f>"Process Heat Other Non Metallic Minerals Biomass"&amp;"_"&amp;$S$5&amp;"_"&amp;AA67</f>
        <v>Process Heat Other Non Metallic Minerals Biomass_N_ST</v>
      </c>
      <c r="U67" s="37" t="s">
        <v>206</v>
      </c>
      <c r="V67" s="37" t="s">
        <v>293</v>
      </c>
      <c r="W67" s="37"/>
      <c r="X67" s="37"/>
      <c r="Y67" s="37"/>
      <c r="AA67" s="72" t="s">
        <v>274</v>
      </c>
      <c r="AG67" s="72"/>
      <c r="AH67" s="72"/>
      <c r="AI67" s="102"/>
      <c r="AJ67" s="72"/>
      <c r="AK67" s="72"/>
      <c r="AL67" s="72"/>
      <c r="AM67" s="72"/>
      <c r="AN67" s="102"/>
      <c r="AO67" s="102"/>
      <c r="AQ67" s="72"/>
      <c r="AR67" s="72"/>
    </row>
    <row r="68" spans="1:44" ht="13.8" x14ac:dyDescent="0.25">
      <c r="B68" s="37"/>
      <c r="C68" s="37"/>
      <c r="D68" s="37"/>
      <c r="E68" s="136" t="s">
        <v>295</v>
      </c>
      <c r="F68" s="137" t="s">
        <v>0</v>
      </c>
      <c r="G68" s="138" t="s">
        <v>295</v>
      </c>
      <c r="H68" s="138" t="s">
        <v>295</v>
      </c>
      <c r="I68" s="138"/>
      <c r="J68" s="37"/>
      <c r="K68" s="37"/>
      <c r="L68" s="72"/>
      <c r="M68" s="72"/>
      <c r="R68" s="37"/>
      <c r="S68" s="37" t="str">
        <f>"INDONMHPR"&amp;RIGHT(Commodities!$D$35,6)&amp;"_"&amp;AA68</f>
        <v>INDONMHPRBIOLOG_IM</v>
      </c>
      <c r="T68" s="37" t="str">
        <f>"Process Heat Other Non Metallic Minerals Biomass"&amp;"_"&amp;$S$5&amp;"_"&amp;AA68</f>
        <v>Process Heat Other Non Metallic Minerals Biomass_N_IM</v>
      </c>
      <c r="U68" s="37" t="s">
        <v>206</v>
      </c>
      <c r="V68" s="37" t="s">
        <v>293</v>
      </c>
      <c r="W68" s="37"/>
      <c r="X68" s="37"/>
      <c r="Y68" s="37"/>
      <c r="AA68" s="72" t="s">
        <v>275</v>
      </c>
      <c r="AG68" s="72"/>
      <c r="AH68" s="72"/>
      <c r="AI68" s="102"/>
      <c r="AJ68" s="72"/>
      <c r="AK68" s="72"/>
      <c r="AL68" s="72"/>
      <c r="AM68" s="72"/>
      <c r="AN68" s="102"/>
      <c r="AO68" s="102"/>
      <c r="AQ68" s="72"/>
      <c r="AR68" s="72"/>
    </row>
    <row r="69" spans="1:44" ht="13.8" x14ac:dyDescent="0.25">
      <c r="B69" s="45" t="s">
        <v>1</v>
      </c>
      <c r="C69" s="45" t="s">
        <v>227</v>
      </c>
      <c r="D69" s="45" t="s">
        <v>3</v>
      </c>
      <c r="E69" s="45" t="s">
        <v>4</v>
      </c>
      <c r="F69" s="46" t="s">
        <v>233</v>
      </c>
      <c r="G69" s="45" t="s">
        <v>14</v>
      </c>
      <c r="H69" s="139" t="s">
        <v>250</v>
      </c>
      <c r="I69" s="79" t="s">
        <v>36</v>
      </c>
      <c r="J69" s="49" t="s">
        <v>5</v>
      </c>
      <c r="K69" s="49" t="s">
        <v>48</v>
      </c>
      <c r="L69" s="46" t="s">
        <v>297</v>
      </c>
      <c r="R69" s="37"/>
      <c r="S69" s="37" t="str">
        <f>"INDONMHPR"&amp;RIGHT(Commodities!$D$35,6)&amp;"_"&amp;AA69</f>
        <v>INDONMHPRBIOLOG_AD</v>
      </c>
      <c r="T69" s="37" t="str">
        <f>"Process Heat Other Non Metallic Minerals Biomass"&amp;"_"&amp;$S$5&amp;"_"&amp;AA69</f>
        <v>Process Heat Other Non Metallic Minerals Biomass_N_AD</v>
      </c>
      <c r="U69" s="37" t="s">
        <v>206</v>
      </c>
      <c r="V69" s="37" t="s">
        <v>293</v>
      </c>
      <c r="W69" s="37"/>
      <c r="X69" s="37"/>
      <c r="Y69" s="37"/>
      <c r="AA69" s="72" t="s">
        <v>276</v>
      </c>
      <c r="AG69" s="72"/>
      <c r="AH69" s="72"/>
      <c r="AI69" s="102"/>
      <c r="AJ69" s="72"/>
      <c r="AK69" s="72"/>
      <c r="AL69" s="72"/>
      <c r="AM69" s="72"/>
      <c r="AN69" s="102"/>
      <c r="AO69" s="102"/>
      <c r="AQ69" s="72"/>
      <c r="AR69" s="72"/>
    </row>
    <row r="70" spans="1:44" ht="14.4" thickBot="1" x14ac:dyDescent="0.3">
      <c r="B70" s="54" t="s">
        <v>280</v>
      </c>
      <c r="C70" s="54" t="s">
        <v>28</v>
      </c>
      <c r="D70" s="54" t="s">
        <v>32</v>
      </c>
      <c r="E70" s="54" t="s">
        <v>33</v>
      </c>
      <c r="F70" s="54"/>
      <c r="G70" s="84" t="s">
        <v>35</v>
      </c>
      <c r="H70" s="84"/>
      <c r="I70" s="84" t="s">
        <v>37</v>
      </c>
      <c r="J70" s="54" t="s">
        <v>38</v>
      </c>
      <c r="K70" s="54" t="s">
        <v>218</v>
      </c>
      <c r="L70" s="54"/>
      <c r="R70" s="37"/>
      <c r="S70" s="37" t="str">
        <f>"INDONMHPR"&amp;RIGHT(Commodities!$D$349,3)&amp;"_"&amp;AA70</f>
        <v>INDONMHPRHTH_ST</v>
      </c>
      <c r="T70" s="37" t="str">
        <f>"Process Heat Other Non Metallic Minerals Heat"&amp;"_"&amp;$S$5&amp;"_"&amp;AA70</f>
        <v>Process Heat Other Non Metallic Minerals Heat_N_ST</v>
      </c>
      <c r="U70" s="37" t="s">
        <v>206</v>
      </c>
      <c r="V70" s="37" t="s">
        <v>293</v>
      </c>
      <c r="W70" s="37"/>
      <c r="X70" s="37"/>
      <c r="Y70" s="37"/>
      <c r="AA70" s="72" t="s">
        <v>274</v>
      </c>
      <c r="AG70" s="72"/>
      <c r="AH70" s="72"/>
      <c r="AI70" s="102"/>
      <c r="AJ70" s="72"/>
      <c r="AK70" s="72"/>
      <c r="AL70" s="72"/>
      <c r="AM70" s="72"/>
      <c r="AN70" s="102"/>
      <c r="AO70" s="102"/>
      <c r="AQ70" s="72"/>
      <c r="AR70" s="72"/>
    </row>
    <row r="71" spans="1:44" ht="13.8" x14ac:dyDescent="0.25">
      <c r="B71" s="89" t="s">
        <v>281</v>
      </c>
      <c r="C71" s="90"/>
      <c r="D71" s="90"/>
      <c r="E71" s="90"/>
      <c r="F71" s="90"/>
      <c r="G71" s="90"/>
      <c r="H71" s="90"/>
      <c r="I71" s="90" t="s">
        <v>448</v>
      </c>
      <c r="J71" s="90" t="s">
        <v>448</v>
      </c>
      <c r="K71" s="90" t="s">
        <v>40</v>
      </c>
      <c r="L71" s="90"/>
      <c r="R71" s="37"/>
      <c r="S71" s="37" t="str">
        <f>"INDONMHPR"&amp;RIGHT(Commodities!$D$349,3)&amp;"_"&amp;AA71</f>
        <v>INDONMHPRHTH_IM</v>
      </c>
      <c r="T71" s="37" t="str">
        <f>"Process Heat Other Non Metallic Minerals Heat"&amp;"_"&amp;$S$5&amp;"_"&amp;AA71</f>
        <v>Process Heat Other Non Metallic Minerals Heat_N_IM</v>
      </c>
      <c r="U71" s="37" t="s">
        <v>206</v>
      </c>
      <c r="V71" s="37" t="s">
        <v>293</v>
      </c>
      <c r="W71" s="37"/>
      <c r="X71" s="37"/>
      <c r="Y71" s="37"/>
      <c r="AA71" s="72" t="s">
        <v>275</v>
      </c>
      <c r="AG71" s="72"/>
      <c r="AH71" s="72"/>
      <c r="AI71" s="102"/>
      <c r="AJ71" s="72"/>
      <c r="AK71" s="72"/>
      <c r="AL71" s="72"/>
      <c r="AM71" s="72"/>
      <c r="AN71" s="102"/>
      <c r="AO71" s="102"/>
      <c r="AQ71" s="72"/>
      <c r="AR71" s="72"/>
    </row>
    <row r="72" spans="1:44" ht="13.8" x14ac:dyDescent="0.25">
      <c r="B72" s="37" t="str">
        <f>S43</f>
        <v>INDONMHPRCOASUB_ST</v>
      </c>
      <c r="C72" s="37" t="str">
        <f>T43</f>
        <v>Process Heat Other Non Metallic Minerals Sub-bituminous_N_ST</v>
      </c>
      <c r="D72" s="72" t="s">
        <v>426</v>
      </c>
      <c r="E72" s="72" t="s">
        <v>288</v>
      </c>
      <c r="F72" s="94">
        <v>2018</v>
      </c>
      <c r="G72" s="72">
        <v>2018</v>
      </c>
      <c r="H72" s="140">
        <f>O72</f>
        <v>1.4285714285714286</v>
      </c>
      <c r="I72" s="147">
        <f>(728.4816*(1/0.9))*(1/25)</f>
        <v>32.376959999999997</v>
      </c>
      <c r="J72" s="147">
        <f>I72*0.1</f>
        <v>3.2376959999999997</v>
      </c>
      <c r="K72" s="141">
        <v>30</v>
      </c>
      <c r="L72" s="141">
        <v>0.8</v>
      </c>
      <c r="O72" s="165">
        <v>1.4285714285714286</v>
      </c>
      <c r="R72" s="37"/>
      <c r="S72" s="37" t="str">
        <f>"INDONMHPR"&amp;RIGHT(Commodities!$D$349,3)&amp;"_"&amp;AA72</f>
        <v>INDONMHPRHTH_AD</v>
      </c>
      <c r="T72" s="37" t="str">
        <f>"Process Heat Other Non Metallic Minerals Heat"&amp;"_"&amp;$S$5&amp;"_"&amp;AA72</f>
        <v>Process Heat Other Non Metallic Minerals Heat_N_AD</v>
      </c>
      <c r="U72" s="37" t="s">
        <v>206</v>
      </c>
      <c r="V72" s="37" t="s">
        <v>293</v>
      </c>
      <c r="W72" s="37"/>
      <c r="X72" s="37"/>
      <c r="Y72" s="37"/>
      <c r="AA72" s="72" t="s">
        <v>276</v>
      </c>
      <c r="AG72" s="72"/>
      <c r="AH72" s="72"/>
      <c r="AI72" s="102"/>
      <c r="AJ72" s="72"/>
      <c r="AK72" s="72"/>
      <c r="AL72" s="72"/>
      <c r="AM72" s="72"/>
      <c r="AN72" s="102"/>
      <c r="AO72" s="102"/>
      <c r="AQ72" s="72"/>
      <c r="AR72" s="72"/>
    </row>
    <row r="73" spans="1:44" ht="13.8" x14ac:dyDescent="0.25">
      <c r="B73" s="37" t="str">
        <f t="shared" ref="B73:C103" si="15">S44</f>
        <v>INDONMHPRCOASUB_IM</v>
      </c>
      <c r="C73" s="37" t="str">
        <f t="shared" si="15"/>
        <v>Process Heat Other Non Metallic Minerals Sub-bituminous_N_IM</v>
      </c>
      <c r="D73" s="72" t="str">
        <f>D72</f>
        <v>INDCOASUB</v>
      </c>
      <c r="E73" s="72" t="str">
        <f>E72</f>
        <v>INDONMHPR</v>
      </c>
      <c r="F73" s="94">
        <f t="shared" ref="F73:F104" si="16">G73</f>
        <v>2025</v>
      </c>
      <c r="G73" s="72">
        <f>G72+7</f>
        <v>2025</v>
      </c>
      <c r="H73" s="140">
        <f>H72*0.95</f>
        <v>1.3571428571428572</v>
      </c>
      <c r="I73" s="147">
        <f>I72*I34/I33</f>
        <v>46.192043950091488</v>
      </c>
      <c r="J73" s="147">
        <f t="shared" ref="J73:J104" si="17">I73*0.1</f>
        <v>4.6192043950091488</v>
      </c>
      <c r="K73" s="141">
        <v>30</v>
      </c>
      <c r="L73" s="141">
        <v>0.8</v>
      </c>
      <c r="O73" s="165">
        <v>1.4285714285714286</v>
      </c>
      <c r="R73" s="37"/>
      <c r="S73" s="37" t="str">
        <f>"INDONMHPR"&amp;RIGHT(Commodities!$D$341,3)&amp;"_"&amp;AA73</f>
        <v>INDONMHPRELC_ST</v>
      </c>
      <c r="T73" s="37" t="str">
        <f>"Process Heat Other Non Metallic Minerals Electricity"&amp;"_"&amp;$S$5&amp;"_"&amp;AA73</f>
        <v>Process Heat Other Non Metallic Minerals Electricity_N_ST</v>
      </c>
      <c r="U73" s="37" t="s">
        <v>206</v>
      </c>
      <c r="V73" s="37" t="s">
        <v>293</v>
      </c>
      <c r="W73" s="37"/>
      <c r="X73" s="37"/>
      <c r="Y73" s="37"/>
      <c r="AA73" s="72" t="s">
        <v>274</v>
      </c>
      <c r="AG73" s="72"/>
      <c r="AH73" s="72"/>
      <c r="AI73" s="102"/>
      <c r="AJ73" s="72"/>
      <c r="AK73" s="72"/>
      <c r="AL73" s="72"/>
      <c r="AM73" s="72"/>
      <c r="AN73" s="102"/>
      <c r="AO73" s="102"/>
      <c r="AQ73" s="72"/>
      <c r="AR73" s="72"/>
    </row>
    <row r="74" spans="1:44" ht="13.8" x14ac:dyDescent="0.25">
      <c r="B74" s="98" t="str">
        <f t="shared" si="15"/>
        <v>INDONMHPRCOASUB_AD</v>
      </c>
      <c r="C74" s="98" t="str">
        <f t="shared" si="15"/>
        <v>Process Heat Other Non Metallic Minerals Sub-bituminous_N_AD</v>
      </c>
      <c r="D74" s="98" t="str">
        <f>D73</f>
        <v>INDCOASUB</v>
      </c>
      <c r="E74" s="98" t="str">
        <f>E72</f>
        <v>INDONMHPR</v>
      </c>
      <c r="F74" s="99">
        <f t="shared" si="16"/>
        <v>2035</v>
      </c>
      <c r="G74" s="98">
        <f>G73+10</f>
        <v>2035</v>
      </c>
      <c r="H74" s="143">
        <f>H72*0.85</f>
        <v>1.2142857142857142</v>
      </c>
      <c r="I74" s="148">
        <f>I72*I35/I33</f>
        <v>59.31175848067469</v>
      </c>
      <c r="J74" s="148">
        <f t="shared" si="17"/>
        <v>5.9311758480674692</v>
      </c>
      <c r="K74" s="145">
        <v>30</v>
      </c>
      <c r="L74" s="145">
        <v>0.8</v>
      </c>
      <c r="O74" s="165">
        <v>1.4285714285714286</v>
      </c>
      <c r="R74" s="37"/>
      <c r="S74" s="37" t="str">
        <f>"INDONMHPR"&amp;RIGHT(Commodities!$D$341,3)&amp;"_"&amp;AA74</f>
        <v>INDONMHPRELC_IM</v>
      </c>
      <c r="T74" s="37" t="str">
        <f>"Process Heat Other Non Metallic Minerals Electricity"&amp;"_"&amp;$S$5&amp;"_"&amp;AA74</f>
        <v>Process Heat Other Non Metallic Minerals Electricity_N_IM</v>
      </c>
      <c r="U74" s="37" t="s">
        <v>206</v>
      </c>
      <c r="V74" s="37" t="s">
        <v>293</v>
      </c>
      <c r="W74" s="37"/>
      <c r="X74" s="37"/>
      <c r="Y74" s="37"/>
      <c r="AA74" s="72" t="s">
        <v>275</v>
      </c>
      <c r="AG74" s="72"/>
      <c r="AH74" s="72"/>
      <c r="AI74" s="102"/>
      <c r="AJ74" s="72"/>
      <c r="AK74" s="72"/>
      <c r="AL74" s="72"/>
      <c r="AM74" s="72"/>
      <c r="AN74" s="102"/>
      <c r="AO74" s="102"/>
      <c r="AQ74" s="72"/>
      <c r="AR74" s="72"/>
    </row>
    <row r="75" spans="1:44" ht="13.8" x14ac:dyDescent="0.25">
      <c r="B75" s="37" t="str">
        <f t="shared" si="15"/>
        <v>INDONMHPRCOABIC_ST</v>
      </c>
      <c r="C75" s="37" t="str">
        <f t="shared" si="15"/>
        <v>Process Heat Other Non Metallic Minerals Bituminous_N_ST</v>
      </c>
      <c r="D75" s="72" t="s">
        <v>141</v>
      </c>
      <c r="E75" s="72" t="s">
        <v>288</v>
      </c>
      <c r="F75" s="94">
        <v>2018</v>
      </c>
      <c r="G75" s="72">
        <v>2018</v>
      </c>
      <c r="H75" s="140">
        <f>O73</f>
        <v>1.4285714285714286</v>
      </c>
      <c r="I75" s="147">
        <f>(728.4816*(1/0.9))*(1/25)</f>
        <v>32.376959999999997</v>
      </c>
      <c r="J75" s="147">
        <f t="shared" si="17"/>
        <v>3.2376959999999997</v>
      </c>
      <c r="K75" s="141">
        <v>30</v>
      </c>
      <c r="L75" s="141">
        <v>0.8</v>
      </c>
      <c r="O75" s="165">
        <v>1.2820512820512819</v>
      </c>
      <c r="R75" s="98"/>
      <c r="S75" s="98" t="str">
        <f>"INDONMHPR"&amp;RIGHT(Commodities!$D$341,3)&amp;"_"&amp;AA75</f>
        <v>INDONMHPRELC_AD</v>
      </c>
      <c r="T75" s="98" t="str">
        <f>"Process Heat Other Non Metallic Minerals Electricity"&amp;"_"&amp;$S$5&amp;"_"&amp;AA75</f>
        <v>Process Heat Other Non Metallic Minerals Electricity_N_AD</v>
      </c>
      <c r="U75" s="98" t="s">
        <v>206</v>
      </c>
      <c r="V75" s="98" t="s">
        <v>293</v>
      </c>
      <c r="W75" s="98"/>
      <c r="X75" s="98"/>
      <c r="Y75" s="98"/>
      <c r="AA75" s="72" t="s">
        <v>276</v>
      </c>
      <c r="AG75" s="72"/>
      <c r="AH75" s="72"/>
      <c r="AI75" s="102"/>
      <c r="AJ75" s="72"/>
      <c r="AK75" s="72"/>
      <c r="AL75" s="72"/>
      <c r="AM75" s="72"/>
      <c r="AN75" s="102"/>
      <c r="AO75" s="102"/>
      <c r="AQ75" s="72"/>
      <c r="AR75" s="72"/>
    </row>
    <row r="76" spans="1:44" ht="13.8" x14ac:dyDescent="0.25">
      <c r="B76" s="37" t="str">
        <f t="shared" si="15"/>
        <v>INDONMHPRCOABIC_IM</v>
      </c>
      <c r="C76" s="37" t="str">
        <f t="shared" si="15"/>
        <v>Process Heat Other Non Metallic Minerals Bituminous_N_IM</v>
      </c>
      <c r="D76" s="72" t="str">
        <f>D75</f>
        <v>INDCOABIC</v>
      </c>
      <c r="E76" s="72" t="str">
        <f>E75</f>
        <v>INDONMHPR</v>
      </c>
      <c r="F76" s="94">
        <f t="shared" si="16"/>
        <v>2025</v>
      </c>
      <c r="G76" s="72">
        <f>G75+7</f>
        <v>2025</v>
      </c>
      <c r="H76" s="140">
        <f>H75*0.95</f>
        <v>1.3571428571428572</v>
      </c>
      <c r="I76" s="147">
        <f>I75*I37/I36</f>
        <v>46.192043950091488</v>
      </c>
      <c r="J76" s="147">
        <f t="shared" si="17"/>
        <v>4.6192043950091488</v>
      </c>
      <c r="K76" s="141">
        <v>30</v>
      </c>
      <c r="L76" s="141">
        <v>0.8</v>
      </c>
      <c r="O76" s="165">
        <v>1.2820512820512819</v>
      </c>
      <c r="R76" s="37"/>
      <c r="S76" s="37" t="str">
        <f>"INDONMMCD"&amp;RIGHT(Commodities!$D$18,6)&amp;"_"&amp;AA76</f>
        <v>INDONMMCDOILDSL_ST</v>
      </c>
      <c r="T76" s="37" t="str">
        <f>"Machine Drive Other Non Metallic Minerals Diesel"&amp;"_"&amp;$S$5&amp;"_"&amp;AA76</f>
        <v>Machine Drive Other Non Metallic Minerals Diesel_N_ST</v>
      </c>
      <c r="U76" s="37" t="s">
        <v>206</v>
      </c>
      <c r="V76" s="37" t="s">
        <v>293</v>
      </c>
      <c r="W76" s="37"/>
      <c r="X76" s="37"/>
      <c r="Y76" s="37"/>
      <c r="AA76" s="72" t="s">
        <v>274</v>
      </c>
      <c r="AG76" s="72"/>
      <c r="AH76" s="72"/>
      <c r="AI76" s="102"/>
      <c r="AJ76" s="72"/>
      <c r="AK76" s="72"/>
      <c r="AL76" s="72"/>
      <c r="AM76" s="72"/>
      <c r="AN76" s="102"/>
      <c r="AO76" s="102"/>
      <c r="AQ76" s="72"/>
      <c r="AR76" s="72"/>
    </row>
    <row r="77" spans="1:44" ht="13.8" x14ac:dyDescent="0.25">
      <c r="B77" s="98" t="str">
        <f t="shared" si="15"/>
        <v>INDONMHPRCOABIC_AD</v>
      </c>
      <c r="C77" s="98" t="str">
        <f t="shared" si="15"/>
        <v>Process Heat Other Non Metallic Minerals Bituminous_N_AD</v>
      </c>
      <c r="D77" s="98" t="str">
        <f>D76</f>
        <v>INDCOABIC</v>
      </c>
      <c r="E77" s="98" t="str">
        <f>E75</f>
        <v>INDONMHPR</v>
      </c>
      <c r="F77" s="99">
        <f t="shared" si="16"/>
        <v>2035</v>
      </c>
      <c r="G77" s="98">
        <f>G76+10</f>
        <v>2035</v>
      </c>
      <c r="H77" s="143">
        <f>H75*0.85</f>
        <v>1.2142857142857142</v>
      </c>
      <c r="I77" s="148">
        <f>I75*I38/I36</f>
        <v>59.31175848067469</v>
      </c>
      <c r="J77" s="148">
        <f t="shared" si="17"/>
        <v>5.9311758480674692</v>
      </c>
      <c r="K77" s="145">
        <v>30</v>
      </c>
      <c r="L77" s="145">
        <v>0.8</v>
      </c>
      <c r="O77" s="165">
        <v>1.4285714285714286</v>
      </c>
      <c r="R77" s="37"/>
      <c r="S77" s="37" t="str">
        <f>"INDONMMCD"&amp;RIGHT(Commodities!$D$18,6)&amp;"_"&amp;AA77</f>
        <v>INDONMMCDOILDSL_IM</v>
      </c>
      <c r="T77" s="37" t="str">
        <f>"Machine Drive Other Non Metallic Minerals Diesel"&amp;"_"&amp;$S$5&amp;"_"&amp;AA77</f>
        <v>Machine Drive Other Non Metallic Minerals Diesel_N_IM</v>
      </c>
      <c r="U77" s="37" t="s">
        <v>206</v>
      </c>
      <c r="V77" s="37" t="s">
        <v>293</v>
      </c>
      <c r="W77" s="37"/>
      <c r="X77" s="37"/>
      <c r="Y77" s="37"/>
      <c r="AA77" s="72" t="s">
        <v>275</v>
      </c>
      <c r="AG77" s="72"/>
      <c r="AH77" s="72"/>
      <c r="AI77" s="102"/>
      <c r="AJ77" s="72"/>
      <c r="AK77" s="72"/>
      <c r="AL77" s="72"/>
      <c r="AM77" s="72"/>
      <c r="AN77" s="102"/>
      <c r="AO77" s="102"/>
      <c r="AQ77" s="72"/>
      <c r="AR77" s="72"/>
    </row>
    <row r="78" spans="1:44" ht="13.8" x14ac:dyDescent="0.25">
      <c r="B78" s="37" t="str">
        <f t="shared" si="15"/>
        <v>INDONMHPRBIOBGS_ST</v>
      </c>
      <c r="C78" s="37" t="str">
        <f t="shared" si="15"/>
        <v>Process Heat Other Non Metallic Minerals BKB_N_ST</v>
      </c>
      <c r="D78" s="72" t="s">
        <v>148</v>
      </c>
      <c r="E78" s="72" t="s">
        <v>288</v>
      </c>
      <c r="F78" s="94">
        <f>G78</f>
        <v>2018</v>
      </c>
      <c r="G78" s="72">
        <v>2018</v>
      </c>
      <c r="H78" s="140">
        <f>O74</f>
        <v>1.4285714285714286</v>
      </c>
      <c r="I78" s="147">
        <f>(728.4816*(1/0.9))*(1/25)</f>
        <v>32.376959999999997</v>
      </c>
      <c r="J78" s="147">
        <f t="shared" si="17"/>
        <v>3.2376959999999997</v>
      </c>
      <c r="K78" s="141">
        <v>30</v>
      </c>
      <c r="L78" s="141">
        <v>0.8</v>
      </c>
      <c r="O78" s="165">
        <v>1.2820512820512819</v>
      </c>
      <c r="R78" s="37"/>
      <c r="S78" s="37" t="str">
        <f>"INDONMMCD"&amp;RIGHT(Commodities!$D$18,6)&amp;"_"&amp;AA78</f>
        <v>INDONMMCDOILDSL_AD</v>
      </c>
      <c r="T78" s="37" t="str">
        <f>"Machine Drive Other Non Metallic Minerals Diesel"&amp;"_"&amp;$S$5&amp;"_"&amp;AA78</f>
        <v>Machine Drive Other Non Metallic Minerals Diesel_N_AD</v>
      </c>
      <c r="U78" s="37" t="s">
        <v>206</v>
      </c>
      <c r="V78" s="37" t="s">
        <v>293</v>
      </c>
      <c r="W78" s="37"/>
      <c r="X78" s="37"/>
      <c r="Y78" s="37"/>
      <c r="AA78" s="72" t="s">
        <v>276</v>
      </c>
      <c r="AG78" s="72"/>
      <c r="AH78" s="72"/>
      <c r="AI78" s="102"/>
      <c r="AJ78" s="72"/>
      <c r="AK78" s="72"/>
      <c r="AL78" s="72"/>
      <c r="AM78" s="72"/>
      <c r="AN78" s="102"/>
      <c r="AO78" s="102"/>
      <c r="AQ78" s="72"/>
      <c r="AR78" s="72"/>
    </row>
    <row r="79" spans="1:44" ht="13.8" x14ac:dyDescent="0.25">
      <c r="B79" s="37" t="str">
        <f t="shared" si="15"/>
        <v>INDONMHPRBIOBGS_IM</v>
      </c>
      <c r="C79" s="37" t="str">
        <f t="shared" si="15"/>
        <v>Process Heat Other Non Metallic Minerals BKB_N_IM</v>
      </c>
      <c r="D79" s="72" t="str">
        <f>D78</f>
        <v>INDCOABKB</v>
      </c>
      <c r="E79" s="72" t="str">
        <f>E78</f>
        <v>INDONMHPR</v>
      </c>
      <c r="F79" s="94">
        <f t="shared" si="16"/>
        <v>2025</v>
      </c>
      <c r="G79" s="72">
        <f>G78+7</f>
        <v>2025</v>
      </c>
      <c r="H79" s="140">
        <f>H78*0.95</f>
        <v>1.3571428571428572</v>
      </c>
      <c r="I79" s="147">
        <f>I78*I40/I39</f>
        <v>46.192043950091488</v>
      </c>
      <c r="J79" s="147">
        <f t="shared" si="17"/>
        <v>4.6192043950091488</v>
      </c>
      <c r="K79" s="141">
        <v>30</v>
      </c>
      <c r="L79" s="141">
        <v>0.8</v>
      </c>
      <c r="O79" s="165">
        <v>1.25</v>
      </c>
      <c r="R79" s="37"/>
      <c r="S79" s="37" t="str">
        <f>"INDONMMCD"&amp;RIGHT(Commodities!$D$33,6)&amp;"_"&amp;AA79</f>
        <v>INDONMMCDGASNAT_ST</v>
      </c>
      <c r="T79" s="37" t="str">
        <f>"Machine Drive Other Non Metallic Minerals N. Gas"&amp;"_"&amp;$S$5&amp;"_"&amp;AA79</f>
        <v>Machine Drive Other Non Metallic Minerals N. Gas_N_ST</v>
      </c>
      <c r="U79" s="37" t="s">
        <v>206</v>
      </c>
      <c r="V79" s="37" t="s">
        <v>293</v>
      </c>
      <c r="W79" s="37"/>
      <c r="X79" s="37"/>
      <c r="Y79" s="37"/>
      <c r="AA79" s="72" t="s">
        <v>274</v>
      </c>
      <c r="AG79" s="72"/>
      <c r="AH79" s="72"/>
      <c r="AI79" s="102"/>
      <c r="AJ79" s="72"/>
      <c r="AK79" s="72"/>
      <c r="AL79" s="72"/>
      <c r="AM79" s="72"/>
      <c r="AN79" s="102"/>
      <c r="AO79" s="102"/>
      <c r="AQ79" s="72"/>
      <c r="AR79" s="72"/>
    </row>
    <row r="80" spans="1:44" ht="13.8" x14ac:dyDescent="0.25">
      <c r="B80" s="98" t="str">
        <f t="shared" si="15"/>
        <v>INDONMHPRBIOBGS_AD</v>
      </c>
      <c r="C80" s="98" t="str">
        <f t="shared" si="15"/>
        <v>Process Heat Other Non Metallic Minerals BKB_N_AD</v>
      </c>
      <c r="D80" s="98" t="str">
        <f>D79</f>
        <v>INDCOABKB</v>
      </c>
      <c r="E80" s="98" t="str">
        <f>E78</f>
        <v>INDONMHPR</v>
      </c>
      <c r="F80" s="99">
        <f t="shared" si="16"/>
        <v>2035</v>
      </c>
      <c r="G80" s="98">
        <f>G79+10</f>
        <v>2035</v>
      </c>
      <c r="H80" s="143">
        <f>H78*0.85</f>
        <v>1.2142857142857142</v>
      </c>
      <c r="I80" s="148">
        <f>I78*I41/I39</f>
        <v>59.31175848067469</v>
      </c>
      <c r="J80" s="148">
        <f t="shared" si="17"/>
        <v>5.9311758480674692</v>
      </c>
      <c r="K80" s="145">
        <v>30</v>
      </c>
      <c r="L80" s="145">
        <v>0.8</v>
      </c>
      <c r="O80" s="165">
        <v>1.4285714285714286</v>
      </c>
      <c r="R80" s="37"/>
      <c r="S80" s="37" t="str">
        <f>"INDONMMCD"&amp;RIGHT(Commodities!$D$33,6)&amp;"_"&amp;AA80</f>
        <v>INDONMMCDGASNAT_IM</v>
      </c>
      <c r="T80" s="37" t="str">
        <f>"Machine Drive Other Non Metallic Minerals N. Gas"&amp;"_"&amp;$S$5&amp;"_"&amp;AA80</f>
        <v>Machine Drive Other Non Metallic Minerals N. Gas_N_IM</v>
      </c>
      <c r="U80" s="37" t="s">
        <v>206</v>
      </c>
      <c r="V80" s="37" t="s">
        <v>293</v>
      </c>
      <c r="W80" s="37"/>
      <c r="X80" s="37"/>
      <c r="Y80" s="37"/>
      <c r="AA80" s="72" t="s">
        <v>275</v>
      </c>
      <c r="AG80" s="72"/>
      <c r="AH80" s="72"/>
      <c r="AI80" s="102"/>
      <c r="AJ80" s="72"/>
      <c r="AK80" s="72"/>
      <c r="AL80" s="72"/>
      <c r="AM80" s="72"/>
      <c r="AN80" s="102"/>
      <c r="AO80" s="102"/>
      <c r="AQ80" s="72"/>
      <c r="AR80" s="72"/>
    </row>
    <row r="81" spans="2:44" ht="13.8" x14ac:dyDescent="0.25">
      <c r="B81" s="37" t="str">
        <f t="shared" si="15"/>
        <v>INDONMHPROILDSL_ST</v>
      </c>
      <c r="C81" s="37" t="str">
        <f t="shared" si="15"/>
        <v>Process Heat Other Non Metallic Minerals Diesel_N_ST</v>
      </c>
      <c r="D81" s="72" t="s">
        <v>150</v>
      </c>
      <c r="E81" s="72" t="s">
        <v>288</v>
      </c>
      <c r="F81" s="94">
        <f>G81</f>
        <v>2018</v>
      </c>
      <c r="G81" s="72">
        <v>2018</v>
      </c>
      <c r="H81" s="140">
        <f>O75</f>
        <v>1.2820512820512819</v>
      </c>
      <c r="I81" s="147">
        <f>(315.36*(1/0.9))*(1/25)</f>
        <v>14.016000000000002</v>
      </c>
      <c r="J81" s="147">
        <f t="shared" si="17"/>
        <v>1.4016000000000002</v>
      </c>
      <c r="K81" s="141">
        <v>30</v>
      </c>
      <c r="L81" s="141">
        <v>0.8</v>
      </c>
      <c r="O81" s="165">
        <v>1.2</v>
      </c>
      <c r="R81" s="37"/>
      <c r="S81" s="37" t="str">
        <f>"INDONMMCD"&amp;RIGHT(Commodities!$D$33,6)&amp;"_"&amp;AA81</f>
        <v>INDONMMCDGASNAT_AD</v>
      </c>
      <c r="T81" s="37" t="str">
        <f>"Machine Drive Other Non Metallic Minerals N. Gas"&amp;"_"&amp;$S$5&amp;"_"&amp;AA81</f>
        <v>Machine Drive Other Non Metallic Minerals N. Gas_N_AD</v>
      </c>
      <c r="U81" s="37" t="s">
        <v>206</v>
      </c>
      <c r="V81" s="37" t="s">
        <v>293</v>
      </c>
      <c r="W81" s="37"/>
      <c r="X81" s="37"/>
      <c r="Y81" s="37"/>
      <c r="AA81" s="72" t="s">
        <v>276</v>
      </c>
      <c r="AG81" s="72"/>
      <c r="AH81" s="72"/>
      <c r="AI81" s="102"/>
      <c r="AJ81" s="72"/>
      <c r="AK81" s="72"/>
      <c r="AL81" s="72"/>
      <c r="AM81" s="72"/>
      <c r="AN81" s="102"/>
      <c r="AO81" s="102"/>
      <c r="AQ81" s="72"/>
      <c r="AR81" s="72"/>
    </row>
    <row r="82" spans="2:44" ht="13.8" x14ac:dyDescent="0.25">
      <c r="B82" s="37" t="str">
        <f t="shared" si="15"/>
        <v>INDONMHPROILDSL_IM</v>
      </c>
      <c r="C82" s="37" t="str">
        <f t="shared" si="15"/>
        <v>Process Heat Other Non Metallic Minerals Diesel_N_IM</v>
      </c>
      <c r="D82" s="72" t="str">
        <f>D81</f>
        <v>INDOILDSL</v>
      </c>
      <c r="E82" s="72" t="str">
        <f>E81</f>
        <v>INDONMHPR</v>
      </c>
      <c r="F82" s="94">
        <f t="shared" si="16"/>
        <v>2025</v>
      </c>
      <c r="G82" s="72">
        <f>G81+7</f>
        <v>2025</v>
      </c>
      <c r="H82" s="140">
        <f>H81*0.95</f>
        <v>1.2179487179487178</v>
      </c>
      <c r="I82" s="147">
        <f>I81*I43/I42</f>
        <v>19.99655582255043</v>
      </c>
      <c r="J82" s="147">
        <f t="shared" si="17"/>
        <v>1.999655582255043</v>
      </c>
      <c r="K82" s="141">
        <v>30</v>
      </c>
      <c r="L82" s="141">
        <v>0.8</v>
      </c>
      <c r="O82" s="165">
        <v>1.1000000000000001</v>
      </c>
      <c r="R82" s="37"/>
      <c r="S82" s="37" t="str">
        <f>"INDONMMCD"&amp;RIGHT(Commodities!$D$341,3)&amp;"_"&amp;AA82</f>
        <v>INDONMMCDELC_ST</v>
      </c>
      <c r="T82" s="37" t="str">
        <f>"Machine Drive Other Non Metallic Minerals Electricity"&amp;"_"&amp;$S$5&amp;"_"&amp;AA82</f>
        <v>Machine Drive Other Non Metallic Minerals Electricity_N_ST</v>
      </c>
      <c r="U82" s="37" t="s">
        <v>206</v>
      </c>
      <c r="V82" s="37" t="s">
        <v>293</v>
      </c>
      <c r="W82" s="37"/>
      <c r="X82" s="37"/>
      <c r="Y82" s="37"/>
      <c r="AA82" s="72" t="s">
        <v>274</v>
      </c>
      <c r="AG82" s="72"/>
      <c r="AH82" s="72"/>
      <c r="AI82" s="102"/>
      <c r="AJ82" s="72"/>
      <c r="AK82" s="72"/>
      <c r="AL82" s="72"/>
      <c r="AM82" s="72"/>
      <c r="AN82" s="102"/>
      <c r="AO82" s="102"/>
      <c r="AQ82" s="72"/>
      <c r="AR82" s="72"/>
    </row>
    <row r="83" spans="2:44" ht="13.8" x14ac:dyDescent="0.25">
      <c r="B83" s="98" t="str">
        <f t="shared" si="15"/>
        <v>INDONMHPROILDSL_AD</v>
      </c>
      <c r="C83" s="98" t="str">
        <f t="shared" si="15"/>
        <v>Process Heat Other Non Metallic Minerals Diesel_N_AD</v>
      </c>
      <c r="D83" s="98" t="str">
        <f>D82</f>
        <v>INDOILDSL</v>
      </c>
      <c r="E83" s="98" t="str">
        <f>E81</f>
        <v>INDONMHPR</v>
      </c>
      <c r="F83" s="99">
        <f t="shared" si="16"/>
        <v>2035</v>
      </c>
      <c r="G83" s="98">
        <f>G82+10</f>
        <v>2035</v>
      </c>
      <c r="H83" s="143">
        <f>H81*0.85</f>
        <v>1.0897435897435896</v>
      </c>
      <c r="I83" s="148">
        <f>I81*I44/I42</f>
        <v>25.676085922370003</v>
      </c>
      <c r="J83" s="148">
        <f t="shared" si="17"/>
        <v>2.5676085922370007</v>
      </c>
      <c r="K83" s="145">
        <v>30</v>
      </c>
      <c r="L83" s="145">
        <v>0.8</v>
      </c>
      <c r="R83" s="37"/>
      <c r="S83" s="37" t="str">
        <f>"INDONMMCD"&amp;RIGHT(Commodities!$D$341,3)&amp;"_"&amp;AA83</f>
        <v>INDONMMCDELC_IM</v>
      </c>
      <c r="T83" s="37" t="str">
        <f>"Machine Drive Other Non Metallic Minerals Electricity"&amp;"_"&amp;$S$5&amp;"_"&amp;AA83</f>
        <v>Machine Drive Other Non Metallic Minerals Electricity_N_IM</v>
      </c>
      <c r="U83" s="37" t="s">
        <v>206</v>
      </c>
      <c r="V83" s="37" t="s">
        <v>293</v>
      </c>
      <c r="W83" s="37"/>
      <c r="X83" s="37"/>
      <c r="Y83" s="37"/>
      <c r="AA83" s="72" t="s">
        <v>275</v>
      </c>
      <c r="AG83" s="72"/>
      <c r="AH83" s="72"/>
      <c r="AI83" s="102"/>
      <c r="AJ83" s="72"/>
      <c r="AK83" s="72"/>
      <c r="AL83" s="72"/>
      <c r="AM83" s="72"/>
      <c r="AN83" s="102"/>
      <c r="AO83" s="102"/>
      <c r="AQ83" s="72"/>
      <c r="AR83" s="72"/>
    </row>
    <row r="84" spans="2:44" ht="13.8" x14ac:dyDescent="0.25">
      <c r="B84" s="37" t="str">
        <f t="shared" si="15"/>
        <v>INDONMHPROILHFO_ST</v>
      </c>
      <c r="C84" s="37" t="str">
        <f t="shared" si="15"/>
        <v>Process Heat Other Non Metallic Minerals HFO_N_ST</v>
      </c>
      <c r="D84" s="72" t="s">
        <v>265</v>
      </c>
      <c r="E84" s="72" t="s">
        <v>288</v>
      </c>
      <c r="F84" s="94">
        <f>G84</f>
        <v>2018</v>
      </c>
      <c r="G84" s="72">
        <v>2018</v>
      </c>
      <c r="H84" s="140">
        <f>O76</f>
        <v>1.2820512820512819</v>
      </c>
      <c r="I84" s="147">
        <f>(378.432*(1/0.9))*(1/25)</f>
        <v>16.819200000000002</v>
      </c>
      <c r="J84" s="147">
        <f t="shared" si="17"/>
        <v>1.6819200000000003</v>
      </c>
      <c r="K84" s="141">
        <v>30</v>
      </c>
      <c r="L84" s="141">
        <v>0.8</v>
      </c>
      <c r="O84" s="102"/>
      <c r="R84" s="98"/>
      <c r="S84" s="98" t="str">
        <f>"INDONMMCD"&amp;RIGHT(Commodities!$D$341,3)&amp;"_"&amp;AA84</f>
        <v>INDONMMCDELC_AD</v>
      </c>
      <c r="T84" s="98" t="str">
        <f>"Machine Drive Other Non Metallic Minerals Electricity"&amp;"_"&amp;$S$5&amp;"_"&amp;AA84</f>
        <v>Machine Drive Other Non Metallic Minerals Electricity_N_AD</v>
      </c>
      <c r="U84" s="98" t="s">
        <v>206</v>
      </c>
      <c r="V84" s="98" t="s">
        <v>293</v>
      </c>
      <c r="W84" s="98"/>
      <c r="X84" s="98"/>
      <c r="Y84" s="98"/>
      <c r="AA84" s="72" t="s">
        <v>276</v>
      </c>
      <c r="AG84" s="72"/>
      <c r="AH84" s="72"/>
      <c r="AI84" s="102"/>
      <c r="AJ84" s="72"/>
      <c r="AK84" s="72"/>
      <c r="AL84" s="72"/>
      <c r="AM84" s="72"/>
      <c r="AN84" s="102"/>
      <c r="AO84" s="102"/>
      <c r="AQ84" s="72"/>
      <c r="AR84" s="72"/>
    </row>
    <row r="85" spans="2:44" ht="13.8" x14ac:dyDescent="0.25">
      <c r="B85" s="37" t="str">
        <f t="shared" si="15"/>
        <v>INDONMHPROILHFO_IM</v>
      </c>
      <c r="C85" s="37" t="str">
        <f t="shared" si="15"/>
        <v>Process Heat Other Non Metallic Minerals HFO_N_IM</v>
      </c>
      <c r="D85" s="72" t="str">
        <f>D84</f>
        <v>INDOILHFO</v>
      </c>
      <c r="E85" s="72" t="str">
        <f>E84</f>
        <v>INDONMHPR</v>
      </c>
      <c r="F85" s="94">
        <f t="shared" si="16"/>
        <v>2025</v>
      </c>
      <c r="G85" s="72">
        <f>G84+7</f>
        <v>2025</v>
      </c>
      <c r="H85" s="140">
        <f>H84*0.95</f>
        <v>1.2179487179487178</v>
      </c>
      <c r="I85" s="147">
        <f>I84*I46/I45</f>
        <v>23.99586698706052</v>
      </c>
      <c r="J85" s="147">
        <f t="shared" si="17"/>
        <v>2.3995866987060523</v>
      </c>
      <c r="K85" s="141">
        <v>30</v>
      </c>
      <c r="L85" s="141">
        <v>0.8</v>
      </c>
      <c r="R85" s="37"/>
      <c r="S85" s="37" t="str">
        <f>"INDONMOEN"&amp;RIGHT(Commodities!$D$341,3)&amp;"_"&amp;AA85</f>
        <v>INDONMOENELC_ST</v>
      </c>
      <c r="T85" s="37" t="str">
        <f>"Other Energy Other Non Metallic Minerals Electricity"&amp;"_"&amp;$S$5&amp;"_"&amp;AA85</f>
        <v>Other Energy Other Non Metallic Minerals Electricity_N_ST</v>
      </c>
      <c r="U85" s="37" t="s">
        <v>206</v>
      </c>
      <c r="V85" s="37" t="s">
        <v>293</v>
      </c>
      <c r="W85" s="37"/>
      <c r="X85" s="37"/>
      <c r="Y85" s="37"/>
      <c r="AA85" s="72" t="s">
        <v>274</v>
      </c>
      <c r="AG85" s="72"/>
      <c r="AH85" s="72"/>
      <c r="AI85" s="102"/>
      <c r="AJ85" s="72"/>
      <c r="AK85" s="72"/>
      <c r="AL85" s="72"/>
      <c r="AM85" s="72"/>
      <c r="AN85" s="102"/>
      <c r="AO85" s="102"/>
      <c r="AP85" s="72"/>
      <c r="AQ85" s="72"/>
      <c r="AR85" s="72"/>
    </row>
    <row r="86" spans="2:44" ht="13.8" x14ac:dyDescent="0.25">
      <c r="B86" s="98" t="str">
        <f t="shared" si="15"/>
        <v>INDONMHPROILHFO_AD</v>
      </c>
      <c r="C86" s="98" t="str">
        <f t="shared" si="15"/>
        <v>Process Heat Other Non Metallic Minerals HFO_N_AD</v>
      </c>
      <c r="D86" s="98" t="str">
        <f>D85</f>
        <v>INDOILHFO</v>
      </c>
      <c r="E86" s="98" t="str">
        <f>E84</f>
        <v>INDONMHPR</v>
      </c>
      <c r="F86" s="99">
        <f t="shared" si="16"/>
        <v>2035</v>
      </c>
      <c r="G86" s="98">
        <f>G85+10</f>
        <v>2035</v>
      </c>
      <c r="H86" s="143">
        <f>H84*0.85</f>
        <v>1.0897435897435896</v>
      </c>
      <c r="I86" s="148">
        <f>I84*I47/I45</f>
        <v>30.811303106844004</v>
      </c>
      <c r="J86" s="148">
        <f t="shared" si="17"/>
        <v>3.0811303106844008</v>
      </c>
      <c r="K86" s="145">
        <v>30</v>
      </c>
      <c r="L86" s="145">
        <v>0.8</v>
      </c>
      <c r="R86" s="37"/>
      <c r="S86" s="37" t="str">
        <f>"INDONMOEN"&amp;RIGHT(Commodities!$D$341,3)&amp;"_"&amp;AA86</f>
        <v>INDONMOENELC_IM</v>
      </c>
      <c r="T86" s="37" t="str">
        <f>"Other Energy Other Non Metallic Minerals Electricity"&amp;"_"&amp;$S$5&amp;"_"&amp;AA86</f>
        <v>Other Energy Other Non Metallic Minerals Electricity_N_IM</v>
      </c>
      <c r="U86" s="37" t="s">
        <v>206</v>
      </c>
      <c r="V86" s="37" t="s">
        <v>293</v>
      </c>
      <c r="W86" s="37"/>
      <c r="X86" s="37"/>
      <c r="Y86" s="37"/>
      <c r="AA86" s="72" t="s">
        <v>275</v>
      </c>
      <c r="AG86" s="72"/>
      <c r="AH86" s="72"/>
      <c r="AI86" s="102"/>
      <c r="AJ86" s="72"/>
      <c r="AK86" s="72"/>
      <c r="AL86" s="72"/>
      <c r="AM86" s="72"/>
      <c r="AN86" s="102"/>
      <c r="AO86" s="102"/>
      <c r="AQ86" s="72"/>
      <c r="AR86" s="72"/>
    </row>
    <row r="87" spans="2:44" ht="13.8" x14ac:dyDescent="0.25">
      <c r="B87" s="37" t="str">
        <f t="shared" si="15"/>
        <v>INDONMHPROILPCK_ST</v>
      </c>
      <c r="C87" s="37" t="str">
        <f t="shared" si="15"/>
        <v>Process Heat Other Non Metallic Minerals PetCoke_N_ST</v>
      </c>
      <c r="D87" s="72" t="s">
        <v>160</v>
      </c>
      <c r="E87" s="72" t="s">
        <v>288</v>
      </c>
      <c r="F87" s="94">
        <f>G87</f>
        <v>2018</v>
      </c>
      <c r="G87" s="72">
        <v>2018</v>
      </c>
      <c r="H87" s="140">
        <f>O77</f>
        <v>1.4285714285714286</v>
      </c>
      <c r="I87" s="147">
        <f>(728.4816*(1/0.9))*(1/25)</f>
        <v>32.376959999999997</v>
      </c>
      <c r="J87" s="147">
        <f t="shared" si="17"/>
        <v>3.2376959999999997</v>
      </c>
      <c r="K87" s="141">
        <v>30</v>
      </c>
      <c r="L87" s="141">
        <v>0.8</v>
      </c>
      <c r="O87" s="102"/>
      <c r="R87" s="98"/>
      <c r="S87" s="98" t="str">
        <f>"INDONMOEN"&amp;RIGHT(Commodities!$D$341,3)&amp;"_"&amp;AA87</f>
        <v>INDONMOENELC_AD</v>
      </c>
      <c r="T87" s="98" t="str">
        <f>"Other Energy Other Non Metallic Minerals Electricity"&amp;"_"&amp;$S$5&amp;"_"&amp;AA87</f>
        <v>Other Energy Other Non Metallic Minerals Electricity_N_AD</v>
      </c>
      <c r="U87" s="98" t="s">
        <v>206</v>
      </c>
      <c r="V87" s="98" t="s">
        <v>293</v>
      </c>
      <c r="W87" s="98"/>
      <c r="X87" s="98"/>
      <c r="Y87" s="98"/>
      <c r="AA87" s="72" t="s">
        <v>276</v>
      </c>
      <c r="AG87" s="72"/>
      <c r="AH87" s="72"/>
      <c r="AI87" s="102"/>
      <c r="AJ87" s="72"/>
      <c r="AK87" s="72"/>
      <c r="AL87" s="72"/>
      <c r="AM87" s="72"/>
      <c r="AN87" s="102"/>
      <c r="AO87" s="102"/>
      <c r="AQ87" s="72"/>
      <c r="AR87" s="72"/>
    </row>
    <row r="88" spans="2:44" ht="13.8" x14ac:dyDescent="0.25">
      <c r="B88" s="37" t="str">
        <f t="shared" si="15"/>
        <v>INDONMHPROILPCK_IM</v>
      </c>
      <c r="C88" s="37" t="str">
        <f t="shared" si="15"/>
        <v>Process Heat Other Non Metallic Minerals PetCoke_N_IM</v>
      </c>
      <c r="D88" s="72" t="str">
        <f>D87</f>
        <v>INDOILPCK</v>
      </c>
      <c r="E88" s="72" t="str">
        <f>E87</f>
        <v>INDONMHPR</v>
      </c>
      <c r="F88" s="94">
        <f t="shared" si="16"/>
        <v>2025</v>
      </c>
      <c r="G88" s="72">
        <f>G87+7</f>
        <v>2025</v>
      </c>
      <c r="H88" s="140">
        <f>H87*0.95</f>
        <v>1.3571428571428572</v>
      </c>
      <c r="I88" s="147">
        <f>I87*I49/I48</f>
        <v>46.192043950091488</v>
      </c>
      <c r="J88" s="147">
        <f t="shared" si="17"/>
        <v>4.6192043950091488</v>
      </c>
      <c r="K88" s="141">
        <v>30</v>
      </c>
      <c r="L88" s="141">
        <v>0.8</v>
      </c>
      <c r="R88" s="37" t="s">
        <v>277</v>
      </c>
      <c r="S88" s="37" t="str">
        <f>"INDDEMONM_N_"&amp;AA88</f>
        <v>INDDEMONM_N_ST</v>
      </c>
      <c r="T88" s="37" t="str">
        <f>"Other Non Metallic Industry Demand Technology_N_"&amp;AA88</f>
        <v>Other Non Metallic Industry Demand Technology_N_ST</v>
      </c>
      <c r="U88" s="37" t="s">
        <v>206</v>
      </c>
      <c r="V88" s="37" t="s">
        <v>293</v>
      </c>
      <c r="W88" s="37"/>
      <c r="X88" s="37"/>
      <c r="Y88" s="37"/>
      <c r="AA88" s="72" t="s">
        <v>274</v>
      </c>
      <c r="AG88" s="72"/>
      <c r="AH88" s="72"/>
      <c r="AI88" s="102"/>
    </row>
    <row r="89" spans="2:44" ht="13.8" x14ac:dyDescent="0.25">
      <c r="B89" s="98" t="str">
        <f t="shared" si="15"/>
        <v>INDONMHPROILPCK_AD</v>
      </c>
      <c r="C89" s="98" t="str">
        <f t="shared" si="15"/>
        <v>Process Heat Other Non Metallic Minerals PetCoke_N_AD</v>
      </c>
      <c r="D89" s="98" t="str">
        <f>D88</f>
        <v>INDOILPCK</v>
      </c>
      <c r="E89" s="98" t="str">
        <f>E87</f>
        <v>INDONMHPR</v>
      </c>
      <c r="F89" s="99">
        <f t="shared" si="16"/>
        <v>2035</v>
      </c>
      <c r="G89" s="98">
        <f>G88+10</f>
        <v>2035</v>
      </c>
      <c r="H89" s="143">
        <f>H87*0.85</f>
        <v>1.2142857142857142</v>
      </c>
      <c r="I89" s="148">
        <f>I87*I50/I48</f>
        <v>59.31175848067469</v>
      </c>
      <c r="J89" s="148">
        <f t="shared" si="17"/>
        <v>5.9311758480674692</v>
      </c>
      <c r="K89" s="145">
        <v>30</v>
      </c>
      <c r="L89" s="145">
        <v>0.8</v>
      </c>
      <c r="R89" s="37"/>
      <c r="S89" s="37" t="str">
        <f>"INDDEMONM_N_"&amp;AA89</f>
        <v>INDDEMONM_N_IM</v>
      </c>
      <c r="T89" s="37" t="str">
        <f>"Other Non Metallic Industry Demand Technology_N_"&amp;AA89</f>
        <v>Other Non Metallic Industry Demand Technology_N_IM</v>
      </c>
      <c r="U89" s="37" t="s">
        <v>206</v>
      </c>
      <c r="V89" s="37" t="s">
        <v>293</v>
      </c>
      <c r="W89" s="37"/>
      <c r="X89" s="37"/>
      <c r="Y89" s="37"/>
      <c r="AA89" s="72" t="s">
        <v>275</v>
      </c>
      <c r="AG89" s="72"/>
      <c r="AH89" s="72"/>
      <c r="AI89" s="102"/>
    </row>
    <row r="90" spans="2:44" ht="13.8" x14ac:dyDescent="0.25">
      <c r="B90" s="37" t="str">
        <f t="shared" si="15"/>
        <v>INDONMHPROILOTH_ST</v>
      </c>
      <c r="C90" s="37" t="str">
        <f t="shared" si="15"/>
        <v>Process Heat Other Non Metallic Minerals Other Oil Products_N_ST</v>
      </c>
      <c r="D90" s="72" t="s">
        <v>162</v>
      </c>
      <c r="E90" s="72" t="s">
        <v>288</v>
      </c>
      <c r="F90" s="94">
        <f>G90</f>
        <v>2100</v>
      </c>
      <c r="G90" s="72">
        <v>2100</v>
      </c>
      <c r="H90" s="140">
        <f>O78</f>
        <v>1.2820512820512819</v>
      </c>
      <c r="I90" s="147">
        <f>(378.432*(1/0.9))*(1/25)</f>
        <v>16.819200000000002</v>
      </c>
      <c r="J90" s="147">
        <f t="shared" si="17"/>
        <v>1.6819200000000003</v>
      </c>
      <c r="K90" s="141">
        <v>30</v>
      </c>
      <c r="L90" s="141">
        <v>0.8</v>
      </c>
      <c r="O90" s="102"/>
      <c r="R90" s="98"/>
      <c r="S90" s="98" t="str">
        <f>"INDDEMONM_N_"&amp;AA90</f>
        <v>INDDEMONM_N_AD</v>
      </c>
      <c r="T90" s="98" t="str">
        <f>"Other Non Metallic  Industry Demand Technology_N_"&amp;AA90</f>
        <v>Other Non Metallic  Industry Demand Technology_N_AD</v>
      </c>
      <c r="U90" s="98" t="s">
        <v>206</v>
      </c>
      <c r="V90" s="98" t="s">
        <v>293</v>
      </c>
      <c r="W90" s="98"/>
      <c r="X90" s="98"/>
      <c r="Y90" s="98"/>
      <c r="AA90" s="72" t="s">
        <v>276</v>
      </c>
      <c r="AG90" s="72"/>
      <c r="AH90" s="72"/>
      <c r="AI90" s="102"/>
    </row>
    <row r="91" spans="2:44" ht="13.8" x14ac:dyDescent="0.25">
      <c r="B91" s="37" t="str">
        <f t="shared" si="15"/>
        <v>INDONMHPROILOTH_IM</v>
      </c>
      <c r="C91" s="37" t="str">
        <f t="shared" si="15"/>
        <v>Process Heat Other Non Metallic Minerals Other Oil Products_N_IM</v>
      </c>
      <c r="D91" s="72" t="str">
        <f>D90</f>
        <v>INDOILOTH</v>
      </c>
      <c r="E91" s="72" t="str">
        <f>E90</f>
        <v>INDONMHPR</v>
      </c>
      <c r="F91" s="94">
        <f t="shared" si="16"/>
        <v>2100</v>
      </c>
      <c r="G91" s="72">
        <f>G90</f>
        <v>2100</v>
      </c>
      <c r="H91" s="140">
        <f>H90*0.95</f>
        <v>1.2179487179487178</v>
      </c>
      <c r="I91" s="147">
        <f>I90*I52/I51</f>
        <v>23.99586698706052</v>
      </c>
      <c r="J91" s="147">
        <f t="shared" si="17"/>
        <v>2.3995866987060523</v>
      </c>
      <c r="K91" s="141">
        <v>30</v>
      </c>
      <c r="L91" s="141">
        <v>0.8</v>
      </c>
      <c r="R91" s="37" t="s">
        <v>272</v>
      </c>
      <c r="S91" s="37" t="str">
        <f>"INDDEMCEME_N_"&amp;AA91</f>
        <v>INDDEMCEME_N_ST</v>
      </c>
      <c r="T91" s="37" t="str">
        <f>"Cement Finishing Technology_N_"&amp;AA91</f>
        <v>Cement Finishing Technology_N_ST</v>
      </c>
      <c r="U91" s="37" t="s">
        <v>284</v>
      </c>
      <c r="V91" s="37" t="s">
        <v>301</v>
      </c>
      <c r="W91" s="37"/>
      <c r="X91" s="37"/>
      <c r="Y91" s="37"/>
      <c r="AA91" s="72" t="s">
        <v>274</v>
      </c>
      <c r="AG91" s="72"/>
      <c r="AH91" s="72"/>
      <c r="AI91" s="102"/>
    </row>
    <row r="92" spans="2:44" ht="13.8" x14ac:dyDescent="0.25">
      <c r="B92" s="98" t="str">
        <f t="shared" si="15"/>
        <v>INDONMHPROILOTH_AD</v>
      </c>
      <c r="C92" s="98" t="str">
        <f t="shared" si="15"/>
        <v>Process Heat Other Non Metallic Minerals Other Oil Products_N_AD</v>
      </c>
      <c r="D92" s="98" t="str">
        <f>D91</f>
        <v>INDOILOTH</v>
      </c>
      <c r="E92" s="98" t="str">
        <f>E90</f>
        <v>INDONMHPR</v>
      </c>
      <c r="F92" s="99">
        <f t="shared" si="16"/>
        <v>2100</v>
      </c>
      <c r="G92" s="98">
        <f>G91</f>
        <v>2100</v>
      </c>
      <c r="H92" s="143">
        <f>H90*0.85</f>
        <v>1.0897435897435896</v>
      </c>
      <c r="I92" s="148">
        <f>I90*I53/I51</f>
        <v>30.811303106844004</v>
      </c>
      <c r="J92" s="148">
        <f t="shared" si="17"/>
        <v>3.0811303106844008</v>
      </c>
      <c r="K92" s="145">
        <v>30</v>
      </c>
      <c r="L92" s="145">
        <v>0.8</v>
      </c>
      <c r="R92" s="37"/>
      <c r="S92" s="37" t="str">
        <f t="shared" ref="S92:S93" si="18">"INDDEMCEME_N_"&amp;AA92</f>
        <v>INDDEMCEME_N_IM</v>
      </c>
      <c r="T92" s="37" t="str">
        <f t="shared" ref="T92:T93" si="19">"Cement Finishing Technology_N_"&amp;AA92</f>
        <v>Cement Finishing Technology_N_IM</v>
      </c>
      <c r="U92" s="37" t="s">
        <v>284</v>
      </c>
      <c r="V92" s="37" t="s">
        <v>301</v>
      </c>
      <c r="W92" s="37"/>
      <c r="X92" s="37"/>
      <c r="Y92" s="37"/>
      <c r="AA92" s="72" t="s">
        <v>275</v>
      </c>
      <c r="AG92" s="72"/>
      <c r="AH92" s="72"/>
      <c r="AI92" s="102"/>
    </row>
    <row r="93" spans="2:44" ht="13.8" x14ac:dyDescent="0.25">
      <c r="B93" s="37" t="str">
        <f t="shared" si="15"/>
        <v>INDONMHPRGASNAT_ST</v>
      </c>
      <c r="C93" s="37" t="str">
        <f t="shared" si="15"/>
        <v>Process Heat Other Non Metallic Minerals N. Gas_N_ST</v>
      </c>
      <c r="D93" s="72" t="s">
        <v>164</v>
      </c>
      <c r="E93" s="72" t="s">
        <v>288</v>
      </c>
      <c r="F93" s="94">
        <f>G93</f>
        <v>2018</v>
      </c>
      <c r="G93" s="72">
        <v>2018</v>
      </c>
      <c r="H93" s="140">
        <f>O79</f>
        <v>1.25</v>
      </c>
      <c r="I93" s="147">
        <f>(208.1376*(1/0.9))*(1/25)*1.5</f>
        <v>13.87584</v>
      </c>
      <c r="J93" s="147">
        <f t="shared" si="17"/>
        <v>1.3875840000000002</v>
      </c>
      <c r="K93" s="141">
        <v>30</v>
      </c>
      <c r="L93" s="141">
        <v>0.8</v>
      </c>
      <c r="O93" s="102"/>
      <c r="R93" s="98"/>
      <c r="S93" s="98" t="str">
        <f t="shared" si="18"/>
        <v>INDDEMCEME_N_AD</v>
      </c>
      <c r="T93" s="98" t="str">
        <f t="shared" si="19"/>
        <v>Cement Finishing Technology_N_AD</v>
      </c>
      <c r="U93" s="98" t="s">
        <v>284</v>
      </c>
      <c r="V93" s="98" t="s">
        <v>301</v>
      </c>
      <c r="W93" s="98"/>
      <c r="X93" s="98"/>
      <c r="Y93" s="98"/>
      <c r="AA93" s="72" t="s">
        <v>276</v>
      </c>
      <c r="AM93" s="72"/>
      <c r="AN93" s="72"/>
      <c r="AO93" s="102"/>
    </row>
    <row r="94" spans="2:44" ht="13.8" x14ac:dyDescent="0.25">
      <c r="B94" s="37" t="str">
        <f t="shared" si="15"/>
        <v>INDONMHPRGASNAT_IM</v>
      </c>
      <c r="C94" s="37" t="str">
        <f t="shared" si="15"/>
        <v>Process Heat Other Non Metallic Minerals N. Gas_N_IM</v>
      </c>
      <c r="D94" s="72" t="str">
        <f>D93</f>
        <v>INDGASNAT</v>
      </c>
      <c r="E94" s="72" t="str">
        <f>E93</f>
        <v>INDONMHPR</v>
      </c>
      <c r="F94" s="94">
        <f t="shared" si="16"/>
        <v>2025</v>
      </c>
      <c r="G94" s="72">
        <f>G93+7</f>
        <v>2025</v>
      </c>
      <c r="H94" s="140">
        <f>H93*0.95</f>
        <v>1.1875</v>
      </c>
      <c r="I94" s="147">
        <f>I93*I55/I54</f>
        <v>19.796590264324955</v>
      </c>
      <c r="J94" s="147">
        <f t="shared" si="17"/>
        <v>1.9796590264324956</v>
      </c>
      <c r="K94" s="141">
        <v>30</v>
      </c>
      <c r="L94" s="141">
        <v>0.8</v>
      </c>
      <c r="R94" s="37"/>
      <c r="S94" s="37" t="str">
        <f>"INDCEMDRY_N_"&amp;AA94</f>
        <v>INDCEMDRY_N_ST</v>
      </c>
      <c r="T94" s="37" t="str">
        <f>"Cement Production Dry process_N_"&amp;AA94</f>
        <v>Cement Production Dry process_N_ST</v>
      </c>
      <c r="U94" s="37" t="s">
        <v>284</v>
      </c>
      <c r="V94" s="37" t="s">
        <v>301</v>
      </c>
      <c r="W94" s="37"/>
      <c r="X94" s="37"/>
      <c r="Y94" s="37"/>
      <c r="AA94" s="72" t="s">
        <v>274</v>
      </c>
      <c r="AM94" s="72"/>
      <c r="AN94" s="72"/>
      <c r="AO94" s="102"/>
    </row>
    <row r="95" spans="2:44" ht="13.8" x14ac:dyDescent="0.25">
      <c r="B95" s="98" t="str">
        <f t="shared" si="15"/>
        <v>INDONMHPRGASNAT_AD</v>
      </c>
      <c r="C95" s="98" t="str">
        <f t="shared" si="15"/>
        <v>Process Heat Other Non Metallic Minerals N. Gas_N_AD</v>
      </c>
      <c r="D95" s="98" t="str">
        <f>D94</f>
        <v>INDGASNAT</v>
      </c>
      <c r="E95" s="98" t="str">
        <f>E93</f>
        <v>INDONMHPR</v>
      </c>
      <c r="F95" s="99">
        <f t="shared" si="16"/>
        <v>2035</v>
      </c>
      <c r="G95" s="98">
        <f>G94+10</f>
        <v>2035</v>
      </c>
      <c r="H95" s="143">
        <f>H93*0.85</f>
        <v>1.0625</v>
      </c>
      <c r="I95" s="148">
        <f>I93*I56/I54</f>
        <v>29.655879240337367</v>
      </c>
      <c r="J95" s="148">
        <f t="shared" si="17"/>
        <v>2.9655879240337368</v>
      </c>
      <c r="K95" s="145">
        <v>30</v>
      </c>
      <c r="L95" s="145">
        <v>0.8</v>
      </c>
      <c r="R95" s="37"/>
      <c r="S95" s="37" t="str">
        <f t="shared" ref="S95:S96" si="20">"INDCEMDRY_N_"&amp;AA95</f>
        <v>INDCEMDRY_N_IM</v>
      </c>
      <c r="T95" s="37" t="str">
        <f t="shared" ref="T95:T96" si="21">"Cement Production Dry process_N_"&amp;AA95</f>
        <v>Cement Production Dry process_N_IM</v>
      </c>
      <c r="U95" s="37" t="s">
        <v>284</v>
      </c>
      <c r="V95" s="37" t="s">
        <v>301</v>
      </c>
      <c r="W95" s="37"/>
      <c r="X95" s="37"/>
      <c r="Y95" s="37"/>
      <c r="AA95" s="72" t="s">
        <v>275</v>
      </c>
      <c r="AM95" s="72"/>
      <c r="AN95" s="72"/>
      <c r="AO95" s="102"/>
    </row>
    <row r="96" spans="2:44" ht="13.8" x14ac:dyDescent="0.25">
      <c r="B96" s="37" t="str">
        <f t="shared" si="15"/>
        <v>INDONMHPRBIOLOG_ST</v>
      </c>
      <c r="C96" s="37" t="str">
        <f t="shared" si="15"/>
        <v>Process Heat Other Non Metallic Minerals Biomass_N_ST</v>
      </c>
      <c r="D96" s="72" t="s">
        <v>168</v>
      </c>
      <c r="E96" s="72" t="s">
        <v>288</v>
      </c>
      <c r="F96" s="94">
        <f>G96</f>
        <v>2100</v>
      </c>
      <c r="G96" s="72">
        <v>2100</v>
      </c>
      <c r="H96" s="140">
        <f>O80</f>
        <v>1.4285714285714286</v>
      </c>
      <c r="I96" s="147">
        <f>(728.4816*(1/0.9))*(1/25)</f>
        <v>32.376959999999997</v>
      </c>
      <c r="J96" s="147">
        <f t="shared" si="17"/>
        <v>3.2376959999999997</v>
      </c>
      <c r="K96" s="141">
        <v>30</v>
      </c>
      <c r="L96" s="141">
        <v>0.8</v>
      </c>
      <c r="O96" s="102"/>
      <c r="R96" s="98"/>
      <c r="S96" s="98" t="str">
        <f t="shared" si="20"/>
        <v>INDCEMDRY_N_AD</v>
      </c>
      <c r="T96" s="98" t="str">
        <f t="shared" si="21"/>
        <v>Cement Production Dry process_N_AD</v>
      </c>
      <c r="U96" s="98" t="s">
        <v>284</v>
      </c>
      <c r="V96" s="98" t="s">
        <v>301</v>
      </c>
      <c r="W96" s="98"/>
      <c r="X96" s="98"/>
      <c r="Y96" s="98"/>
      <c r="AA96" s="72" t="s">
        <v>276</v>
      </c>
      <c r="AB96" s="72"/>
      <c r="AC96" s="72"/>
      <c r="AM96" s="72"/>
      <c r="AN96" s="72"/>
      <c r="AO96" s="102"/>
    </row>
    <row r="97" spans="2:41" ht="13.8" x14ac:dyDescent="0.25">
      <c r="B97" s="37" t="str">
        <f t="shared" si="15"/>
        <v>INDONMHPRBIOLOG_IM</v>
      </c>
      <c r="C97" s="37" t="str">
        <f t="shared" si="15"/>
        <v>Process Heat Other Non Metallic Minerals Biomass_N_IM</v>
      </c>
      <c r="D97" s="72" t="str">
        <f>D96</f>
        <v>INDBIOLOG</v>
      </c>
      <c r="E97" s="72" t="str">
        <f>E96</f>
        <v>INDONMHPR</v>
      </c>
      <c r="F97" s="94">
        <f t="shared" si="16"/>
        <v>2106</v>
      </c>
      <c r="G97" s="72">
        <f>G96+6</f>
        <v>2106</v>
      </c>
      <c r="H97" s="140">
        <f>H96*0.95</f>
        <v>1.3571428571428572</v>
      </c>
      <c r="I97" s="147">
        <f>I96*I58/I57</f>
        <v>59.311758480674698</v>
      </c>
      <c r="J97" s="147">
        <f t="shared" si="17"/>
        <v>5.9311758480674701</v>
      </c>
      <c r="K97" s="141">
        <v>30</v>
      </c>
      <c r="L97" s="141">
        <v>0.8</v>
      </c>
      <c r="R97" s="37"/>
      <c r="S97" s="37" t="str">
        <f>"INDCEMHPRCOASUB_N_"&amp;AA97</f>
        <v>INDCEMHPRCOASUB_N_ST</v>
      </c>
      <c r="T97" s="37" t="str">
        <f>"Process Heat Cement - Sub-bituminous_N_"&amp;AA97</f>
        <v>Process Heat Cement - Sub-bituminous_N_ST</v>
      </c>
      <c r="U97" s="37" t="s">
        <v>206</v>
      </c>
      <c r="V97" s="37" t="s">
        <v>293</v>
      </c>
      <c r="W97" s="37"/>
      <c r="X97" s="37"/>
      <c r="Y97" s="37"/>
      <c r="AA97" s="72" t="s">
        <v>274</v>
      </c>
      <c r="AB97" s="150"/>
      <c r="AC97" s="150"/>
      <c r="AD97" s="150"/>
      <c r="AE97" s="150"/>
      <c r="AM97" s="72"/>
      <c r="AN97" s="72"/>
      <c r="AO97" s="102"/>
    </row>
    <row r="98" spans="2:41" ht="13.8" x14ac:dyDescent="0.25">
      <c r="B98" s="98" t="str">
        <f t="shared" si="15"/>
        <v>INDONMHPRBIOLOG_AD</v>
      </c>
      <c r="C98" s="98" t="str">
        <f t="shared" si="15"/>
        <v>Process Heat Other Non Metallic Minerals Biomass_N_AD</v>
      </c>
      <c r="D98" s="98" t="str">
        <f>D97</f>
        <v>INDBIOLOG</v>
      </c>
      <c r="E98" s="98" t="str">
        <f>E96</f>
        <v>INDONMHPR</v>
      </c>
      <c r="F98" s="99">
        <f t="shared" si="16"/>
        <v>2116</v>
      </c>
      <c r="G98" s="98">
        <f>G97+10</f>
        <v>2116</v>
      </c>
      <c r="H98" s="143">
        <f>H96*0.85</f>
        <v>1.2142857142857142</v>
      </c>
      <c r="I98" s="148">
        <f>I96*I59/I57</f>
        <v>97.788557809717062</v>
      </c>
      <c r="J98" s="148">
        <f t="shared" si="17"/>
        <v>9.7788557809717069</v>
      </c>
      <c r="K98" s="145">
        <v>30</v>
      </c>
      <c r="L98" s="145">
        <v>0.8</v>
      </c>
      <c r="R98" s="37"/>
      <c r="S98" s="37" t="str">
        <f>"INDCEMHPRCOASUB_N_"&amp;AA98</f>
        <v>INDCEMHPRCOASUB_N_IM</v>
      </c>
      <c r="T98" s="37" t="str">
        <f>"Process Heat Cement - Sub-bituminous_N_"&amp;AA98</f>
        <v>Process Heat Cement - Sub-bituminous_N_IM</v>
      </c>
      <c r="U98" s="37" t="s">
        <v>206</v>
      </c>
      <c r="V98" s="37" t="s">
        <v>293</v>
      </c>
      <c r="W98" s="37"/>
      <c r="X98" s="37"/>
      <c r="Y98" s="37"/>
      <c r="AA98" s="72" t="s">
        <v>275</v>
      </c>
      <c r="AB98" s="152"/>
      <c r="AC98" s="152"/>
      <c r="AD98" s="152"/>
      <c r="AE98" s="152"/>
      <c r="AM98" s="72"/>
      <c r="AN98" s="72"/>
      <c r="AO98" s="102"/>
    </row>
    <row r="99" spans="2:41" ht="13.8" x14ac:dyDescent="0.25">
      <c r="B99" s="37" t="str">
        <f t="shared" si="15"/>
        <v>INDONMHPRHTH_ST</v>
      </c>
      <c r="C99" s="37" t="str">
        <f t="shared" si="15"/>
        <v>Process Heat Other Non Metallic Minerals Heat_N_ST</v>
      </c>
      <c r="D99" s="72" t="s">
        <v>1014</v>
      </c>
      <c r="E99" s="72" t="s">
        <v>288</v>
      </c>
      <c r="F99" s="94">
        <f>G99</f>
        <v>2018</v>
      </c>
      <c r="G99" s="72">
        <v>2018</v>
      </c>
      <c r="H99" s="140">
        <f>O81</f>
        <v>1.2</v>
      </c>
      <c r="I99" s="147">
        <f>(473.04*(1/0.9))*(1/25)</f>
        <v>21.024000000000001</v>
      </c>
      <c r="J99" s="147">
        <f t="shared" si="17"/>
        <v>2.1024000000000003</v>
      </c>
      <c r="K99" s="141">
        <v>30</v>
      </c>
      <c r="L99" s="141">
        <v>0.8</v>
      </c>
      <c r="O99" s="102"/>
      <c r="R99" s="37"/>
      <c r="S99" s="37" t="str">
        <f>"INDCEMHPRCOASUB_N_"&amp;AA99</f>
        <v>INDCEMHPRCOASUB_N_AD</v>
      </c>
      <c r="T99" s="37" t="str">
        <f>"Process Heat Cement - Sub-bituminous_N_"&amp;AA99</f>
        <v>Process Heat Cement - Sub-bituminous_N_AD</v>
      </c>
      <c r="U99" s="37" t="s">
        <v>206</v>
      </c>
      <c r="V99" s="37" t="s">
        <v>293</v>
      </c>
      <c r="W99" s="37"/>
      <c r="X99" s="37"/>
      <c r="Y99" s="37"/>
      <c r="Z99" s="72"/>
      <c r="AA99" s="72" t="s">
        <v>276</v>
      </c>
      <c r="AB99" s="152"/>
      <c r="AC99" s="152"/>
      <c r="AD99" s="152"/>
      <c r="AE99" s="152"/>
      <c r="AM99" s="72"/>
      <c r="AN99" s="72"/>
      <c r="AO99" s="102"/>
    </row>
    <row r="100" spans="2:41" ht="13.8" x14ac:dyDescent="0.25">
      <c r="B100" s="37" t="str">
        <f t="shared" si="15"/>
        <v>INDONMHPRHTH_IM</v>
      </c>
      <c r="C100" s="37" t="str">
        <f t="shared" si="15"/>
        <v>Process Heat Other Non Metallic Minerals Heat_N_IM</v>
      </c>
      <c r="D100" s="72" t="str">
        <f>D99</f>
        <v>INDNMMHTH</v>
      </c>
      <c r="E100" s="72" t="str">
        <f>E99</f>
        <v>INDONMHPR</v>
      </c>
      <c r="F100" s="94">
        <f t="shared" si="16"/>
        <v>2025</v>
      </c>
      <c r="G100" s="72">
        <f>G99+7</f>
        <v>2025</v>
      </c>
      <c r="H100" s="140">
        <f>H99*0.95</f>
        <v>1.1399999999999999</v>
      </c>
      <c r="I100" s="147">
        <f>I99*I61/I60</f>
        <v>29.994833733825647</v>
      </c>
      <c r="J100" s="147">
        <f t="shared" si="17"/>
        <v>2.999483373382565</v>
      </c>
      <c r="K100" s="141">
        <v>30</v>
      </c>
      <c r="L100" s="141">
        <v>0.8</v>
      </c>
      <c r="R100" s="37"/>
      <c r="S100" s="37" t="str">
        <f>"INDCEMHPRCOABIC_N_"&amp;AA100</f>
        <v>INDCEMHPRCOABIC_N_ST</v>
      </c>
      <c r="T100" s="37" t="str">
        <f>"Process Heat Cement - Bitouminous_N_"&amp;AA100</f>
        <v>Process Heat Cement - Bitouminous_N_ST</v>
      </c>
      <c r="U100" s="37" t="s">
        <v>206</v>
      </c>
      <c r="V100" s="37" t="s">
        <v>293</v>
      </c>
      <c r="W100" s="37"/>
      <c r="X100" s="37"/>
      <c r="Y100" s="37"/>
      <c r="Z100" s="150"/>
      <c r="AA100" s="72" t="s">
        <v>274</v>
      </c>
      <c r="AD100" s="153"/>
      <c r="AE100" s="153"/>
      <c r="AM100" s="72"/>
      <c r="AN100" s="72"/>
      <c r="AO100" s="102"/>
    </row>
    <row r="101" spans="2:41" ht="13.8" x14ac:dyDescent="0.25">
      <c r="B101" s="98" t="str">
        <f t="shared" si="15"/>
        <v>INDONMHPRHTH_AD</v>
      </c>
      <c r="C101" s="98" t="str">
        <f t="shared" si="15"/>
        <v>Process Heat Other Non Metallic Minerals Heat_N_AD</v>
      </c>
      <c r="D101" s="98" t="str">
        <f>D100</f>
        <v>INDNMMHTH</v>
      </c>
      <c r="E101" s="98" t="str">
        <f>E99</f>
        <v>INDONMHPR</v>
      </c>
      <c r="F101" s="99">
        <f t="shared" si="16"/>
        <v>2035</v>
      </c>
      <c r="G101" s="98">
        <f>G100+10</f>
        <v>2035</v>
      </c>
      <c r="H101" s="143">
        <f>H99*0.85</f>
        <v>1.02</v>
      </c>
      <c r="I101" s="148">
        <f>I99*I62/I60</f>
        <v>38.514128883555003</v>
      </c>
      <c r="J101" s="148">
        <f t="shared" si="17"/>
        <v>3.8514128883555006</v>
      </c>
      <c r="K101" s="145">
        <v>30</v>
      </c>
      <c r="L101" s="145">
        <v>0.8</v>
      </c>
      <c r="R101" s="37"/>
      <c r="S101" s="37" t="str">
        <f t="shared" ref="S101:S102" si="22">"INDCEMHPRCOABIC_N_"&amp;AA101</f>
        <v>INDCEMHPRCOABIC_N_IM</v>
      </c>
      <c r="T101" s="37" t="str">
        <f t="shared" ref="T101:T102" si="23">"Process Heat Cement - Bitouminous_N_"&amp;AA101</f>
        <v>Process Heat Cement - Bitouminous_N_IM</v>
      </c>
      <c r="U101" s="37" t="s">
        <v>206</v>
      </c>
      <c r="V101" s="37" t="s">
        <v>293</v>
      </c>
      <c r="W101" s="37"/>
      <c r="X101" s="37"/>
      <c r="Y101" s="37"/>
      <c r="Z101" s="152"/>
      <c r="AA101" s="72" t="s">
        <v>275</v>
      </c>
      <c r="AD101" s="153"/>
      <c r="AE101" s="153"/>
      <c r="AM101" s="72"/>
      <c r="AN101" s="72"/>
      <c r="AO101" s="102"/>
    </row>
    <row r="102" spans="2:41" ht="13.8" x14ac:dyDescent="0.25">
      <c r="B102" s="37" t="str">
        <f t="shared" si="15"/>
        <v>INDONMHPRELC_ST</v>
      </c>
      <c r="C102" s="37" t="str">
        <f t="shared" si="15"/>
        <v>Process Heat Other Non Metallic Minerals Electricity_N_ST</v>
      </c>
      <c r="D102" s="72" t="str">
        <f>Commodities!D341</f>
        <v>INDELC</v>
      </c>
      <c r="E102" s="72" t="s">
        <v>288</v>
      </c>
      <c r="F102" s="94">
        <f>G102</f>
        <v>2018</v>
      </c>
      <c r="G102" s="72">
        <v>2018</v>
      </c>
      <c r="H102" s="140">
        <f>O82</f>
        <v>1.1000000000000001</v>
      </c>
      <c r="I102" s="147">
        <f>(473.04*(1/0.9))*(1/25)</f>
        <v>21.024000000000001</v>
      </c>
      <c r="J102" s="147">
        <f t="shared" si="17"/>
        <v>2.1024000000000003</v>
      </c>
      <c r="K102" s="141">
        <v>30</v>
      </c>
      <c r="L102" s="141">
        <v>0.8</v>
      </c>
      <c r="O102" s="102"/>
      <c r="R102" s="37"/>
      <c r="S102" s="37" t="str">
        <f t="shared" si="22"/>
        <v>INDCEMHPRCOABIC_N_AD</v>
      </c>
      <c r="T102" s="37" t="str">
        <f t="shared" si="23"/>
        <v>Process Heat Cement - Bitouminous_N_AD</v>
      </c>
      <c r="U102" s="37" t="s">
        <v>206</v>
      </c>
      <c r="V102" s="37" t="s">
        <v>293</v>
      </c>
      <c r="W102" s="37"/>
      <c r="X102" s="37"/>
      <c r="Y102" s="37"/>
      <c r="Z102" s="152"/>
      <c r="AA102" s="72" t="s">
        <v>276</v>
      </c>
      <c r="AD102" s="153"/>
      <c r="AE102" s="153"/>
      <c r="AM102" s="72"/>
      <c r="AN102" s="72"/>
      <c r="AO102" s="102"/>
    </row>
    <row r="103" spans="2:41" ht="13.8" x14ac:dyDescent="0.25">
      <c r="B103" s="37" t="str">
        <f t="shared" si="15"/>
        <v>INDONMHPRELC_IM</v>
      </c>
      <c r="C103" s="37" t="str">
        <f t="shared" si="15"/>
        <v>Process Heat Other Non Metallic Minerals Electricity_N_IM</v>
      </c>
      <c r="D103" s="72" t="str">
        <f>D102</f>
        <v>INDELC</v>
      </c>
      <c r="E103" s="72" t="str">
        <f>E102</f>
        <v>INDONMHPR</v>
      </c>
      <c r="F103" s="94">
        <f t="shared" si="16"/>
        <v>2025</v>
      </c>
      <c r="G103" s="72">
        <f>G102+7</f>
        <v>2025</v>
      </c>
      <c r="H103" s="140">
        <f>H102*0.95</f>
        <v>1.0449999999999999</v>
      </c>
      <c r="I103" s="147">
        <f>I102*I64/I63</f>
        <v>29.994833733825647</v>
      </c>
      <c r="J103" s="147">
        <f t="shared" si="17"/>
        <v>2.999483373382565</v>
      </c>
      <c r="K103" s="141">
        <v>30</v>
      </c>
      <c r="L103" s="141">
        <v>0.8</v>
      </c>
      <c r="R103" s="37"/>
      <c r="S103" s="37" t="str">
        <f>"INDCEMHPRCOABCO_N_"&amp;AA103</f>
        <v>INDCEMHPRCOABCO_N_ST</v>
      </c>
      <c r="T103" s="37" t="str">
        <f>"Process Heat Cement - BrownCoal_N_"&amp;AA103</f>
        <v>Process Heat Cement - BrownCoal_N_ST</v>
      </c>
      <c r="U103" s="37" t="s">
        <v>206</v>
      </c>
      <c r="V103" s="37" t="s">
        <v>293</v>
      </c>
      <c r="W103" s="37"/>
      <c r="X103" s="37"/>
      <c r="Y103" s="37"/>
      <c r="Z103" s="153"/>
      <c r="AA103" s="72" t="s">
        <v>274</v>
      </c>
      <c r="AD103" s="153"/>
      <c r="AE103" s="153"/>
      <c r="AM103" s="72"/>
      <c r="AN103" s="72"/>
      <c r="AO103" s="102"/>
    </row>
    <row r="104" spans="2:41" ht="13.8" x14ac:dyDescent="0.25">
      <c r="B104" s="98" t="str">
        <f t="shared" ref="B104:C104" si="24">S75</f>
        <v>INDONMHPRELC_AD</v>
      </c>
      <c r="C104" s="98" t="str">
        <f t="shared" si="24"/>
        <v>Process Heat Other Non Metallic Minerals Electricity_N_AD</v>
      </c>
      <c r="D104" s="98" t="str">
        <f>D103</f>
        <v>INDELC</v>
      </c>
      <c r="E104" s="98" t="str">
        <f>E102</f>
        <v>INDONMHPR</v>
      </c>
      <c r="F104" s="99">
        <f t="shared" si="16"/>
        <v>2035</v>
      </c>
      <c r="G104" s="98">
        <f>G103+10</f>
        <v>2035</v>
      </c>
      <c r="H104" s="143">
        <f>H102*0.92</f>
        <v>1.0120000000000002</v>
      </c>
      <c r="I104" s="148">
        <f>I102*I65/I63</f>
        <v>38.514128883554996</v>
      </c>
      <c r="J104" s="148">
        <f t="shared" si="17"/>
        <v>3.8514128883554997</v>
      </c>
      <c r="K104" s="145">
        <v>30</v>
      </c>
      <c r="L104" s="145">
        <v>0.8</v>
      </c>
      <c r="R104" s="37"/>
      <c r="S104" s="37" t="str">
        <f>"INDCEMHPRCOABCO_N_"&amp;AA104</f>
        <v>INDCEMHPRCOABCO_N_IM</v>
      </c>
      <c r="T104" s="37" t="str">
        <f>"Process Heat Cement - BrownCoal_N_"&amp;AA104</f>
        <v>Process Heat Cement - BrownCoal_N_IM</v>
      </c>
      <c r="U104" s="37" t="s">
        <v>206</v>
      </c>
      <c r="V104" s="37" t="s">
        <v>293</v>
      </c>
      <c r="W104" s="37"/>
      <c r="X104" s="37"/>
      <c r="Y104" s="37"/>
      <c r="AA104" s="72" t="s">
        <v>275</v>
      </c>
      <c r="AD104" s="153"/>
      <c r="AE104" s="153"/>
      <c r="AM104" s="72"/>
      <c r="AN104" s="72"/>
      <c r="AO104" s="102"/>
    </row>
    <row r="105" spans="2:41" ht="14.4" x14ac:dyDescent="0.3">
      <c r="B105" s="160" t="s">
        <v>1060</v>
      </c>
      <c r="C105" s="160" t="s">
        <v>1061</v>
      </c>
      <c r="D105" s="160" t="s">
        <v>1062</v>
      </c>
      <c r="E105" s="160" t="s">
        <v>288</v>
      </c>
      <c r="F105" s="161">
        <v>2035</v>
      </c>
      <c r="G105" s="160">
        <v>2035</v>
      </c>
      <c r="H105" s="162">
        <v>1.0625</v>
      </c>
      <c r="I105" s="163">
        <f>I95*1.5</f>
        <v>44.483818860506048</v>
      </c>
      <c r="J105" s="163">
        <f>J95*1.5</f>
        <v>4.4483818860506048</v>
      </c>
      <c r="K105" s="164">
        <v>30</v>
      </c>
      <c r="L105" s="164">
        <v>0.8</v>
      </c>
      <c r="R105" s="98"/>
      <c r="S105" s="98" t="str">
        <f>"INDCEMHPRCOABCO_N_"&amp;AA105</f>
        <v>INDCEMHPRCOABCO_N_AD</v>
      </c>
      <c r="T105" s="98" t="str">
        <f>"Process Heat Cement - BrownCoal_N_"&amp;AA105</f>
        <v>Process Heat Cement - BrownCoal_N_AD</v>
      </c>
      <c r="U105" s="98" t="s">
        <v>206</v>
      </c>
      <c r="V105" s="98" t="s">
        <v>293</v>
      </c>
      <c r="W105" s="98"/>
      <c r="X105" s="98"/>
      <c r="Y105" s="98"/>
      <c r="AA105" s="72" t="s">
        <v>276</v>
      </c>
      <c r="AD105" s="153"/>
      <c r="AE105" s="153"/>
      <c r="AM105" s="72"/>
      <c r="AN105" s="72"/>
      <c r="AO105" s="102"/>
    </row>
    <row r="106" spans="2:41" ht="13.8" x14ac:dyDescent="0.25">
      <c r="R106" s="37"/>
      <c r="S106" s="37" t="str">
        <f>"INDCEMHPROILDSL_N_"&amp;AA106</f>
        <v>INDCEMHPROILDSL_N_ST</v>
      </c>
      <c r="T106" s="37" t="str">
        <f>"Process Heat Cement - DSL_N_"&amp;AA106</f>
        <v>Process Heat Cement - DSL_N_ST</v>
      </c>
      <c r="U106" s="37" t="s">
        <v>206</v>
      </c>
      <c r="V106" s="37" t="s">
        <v>293</v>
      </c>
      <c r="W106" s="37"/>
      <c r="X106" s="37"/>
      <c r="Y106" s="37"/>
      <c r="AA106" s="72" t="s">
        <v>274</v>
      </c>
      <c r="AD106" s="153"/>
      <c r="AE106" s="153"/>
      <c r="AM106" s="72"/>
      <c r="AN106" s="72"/>
      <c r="AO106" s="102"/>
    </row>
    <row r="107" spans="2:41" ht="13.8" x14ac:dyDescent="0.25">
      <c r="I107" s="35">
        <v>1.5</v>
      </c>
      <c r="R107" s="37"/>
      <c r="S107" s="37" t="str">
        <f>"INDCEMHPROILDSL_N_"&amp;AA107</f>
        <v>INDCEMHPROILDSL_N_IM</v>
      </c>
      <c r="T107" s="37" t="str">
        <f>"Process Heat Cement - DSL_N_"&amp;AA107</f>
        <v>Process Heat Cement - DSL_N_IM</v>
      </c>
      <c r="U107" s="37" t="s">
        <v>206</v>
      </c>
      <c r="V107" s="37" t="s">
        <v>293</v>
      </c>
      <c r="W107" s="37"/>
      <c r="X107" s="37"/>
      <c r="Y107" s="37"/>
      <c r="AA107" s="72" t="s">
        <v>275</v>
      </c>
      <c r="AD107" s="153"/>
      <c r="AE107" s="153"/>
      <c r="AM107" s="72"/>
      <c r="AN107" s="72"/>
      <c r="AO107" s="102"/>
    </row>
    <row r="108" spans="2:41" ht="17.25" customHeight="1" x14ac:dyDescent="0.25">
      <c r="R108" s="37"/>
      <c r="S108" s="37" t="str">
        <f>"INDCEMHPROILDSL_N_"&amp;AA108</f>
        <v>INDCEMHPROILDSL_N_AD</v>
      </c>
      <c r="T108" s="37" t="str">
        <f>"Process Heat Cement - DSL_N_"&amp;AA108</f>
        <v>Process Heat Cement - DSL_N_AD</v>
      </c>
      <c r="U108" s="37" t="s">
        <v>206</v>
      </c>
      <c r="V108" s="37" t="s">
        <v>293</v>
      </c>
      <c r="W108" s="37"/>
      <c r="X108" s="37"/>
      <c r="Y108" s="37"/>
      <c r="AA108" s="72" t="s">
        <v>276</v>
      </c>
      <c r="AD108" s="153"/>
      <c r="AE108" s="153"/>
      <c r="AM108" s="72"/>
      <c r="AN108" s="72"/>
      <c r="AO108" s="102"/>
    </row>
    <row r="109" spans="2:41" ht="13.8" x14ac:dyDescent="0.25">
      <c r="B109" s="37"/>
      <c r="C109" s="37"/>
      <c r="D109" s="37"/>
      <c r="E109" s="136" t="s">
        <v>295</v>
      </c>
      <c r="F109" s="137" t="s">
        <v>0</v>
      </c>
      <c r="G109" s="138" t="s">
        <v>295</v>
      </c>
      <c r="H109" s="138" t="s">
        <v>295</v>
      </c>
      <c r="I109" s="138" t="s">
        <v>295</v>
      </c>
      <c r="J109" s="37"/>
      <c r="K109" s="37"/>
      <c r="L109" s="72"/>
      <c r="R109" s="37"/>
      <c r="S109" s="37" t="str">
        <f>"INDCEMHPRGASNAT_N_"&amp;AA109</f>
        <v>INDCEMHPRGASNAT_N_ST</v>
      </c>
      <c r="T109" s="37" t="str">
        <f>"Process Heat Cement - Natural gas_N_"&amp;AA109</f>
        <v>Process Heat Cement - Natural gas_N_ST</v>
      </c>
      <c r="U109" s="37" t="s">
        <v>206</v>
      </c>
      <c r="V109" s="37" t="s">
        <v>293</v>
      </c>
      <c r="W109" s="37"/>
      <c r="X109" s="37"/>
      <c r="Y109" s="37"/>
      <c r="AA109" s="72" t="s">
        <v>274</v>
      </c>
      <c r="AD109" s="153"/>
      <c r="AE109" s="153"/>
      <c r="AM109" s="72"/>
      <c r="AN109" s="72"/>
      <c r="AO109" s="102"/>
    </row>
    <row r="110" spans="2:41" ht="13.8" x14ac:dyDescent="0.25">
      <c r="B110" s="45" t="s">
        <v>1</v>
      </c>
      <c r="C110" s="45" t="s">
        <v>227</v>
      </c>
      <c r="D110" s="45" t="s">
        <v>3</v>
      </c>
      <c r="E110" s="45" t="s">
        <v>4</v>
      </c>
      <c r="F110" s="46" t="s">
        <v>233</v>
      </c>
      <c r="G110" s="45" t="s">
        <v>14</v>
      </c>
      <c r="H110" s="139" t="s">
        <v>250</v>
      </c>
      <c r="I110" s="79" t="s">
        <v>36</v>
      </c>
      <c r="J110" s="49" t="s">
        <v>5</v>
      </c>
      <c r="K110" s="49" t="s">
        <v>48</v>
      </c>
      <c r="L110" s="46" t="s">
        <v>297</v>
      </c>
      <c r="R110" s="37"/>
      <c r="S110" s="37" t="str">
        <f>"INDCEMHPRGASNAT_N_"&amp;AA110</f>
        <v>INDCEMHPRGASNAT_N_IM</v>
      </c>
      <c r="T110" s="37" t="str">
        <f>"Process Heat Cement - Natural gas_N_"&amp;AA110</f>
        <v>Process Heat Cement - Natural gas_N_IM</v>
      </c>
      <c r="U110" s="37" t="s">
        <v>206</v>
      </c>
      <c r="V110" s="37" t="s">
        <v>293</v>
      </c>
      <c r="W110" s="37"/>
      <c r="X110" s="37"/>
      <c r="Y110" s="37"/>
      <c r="AA110" s="72" t="s">
        <v>275</v>
      </c>
      <c r="AD110" s="153"/>
      <c r="AE110" s="153"/>
      <c r="AM110" s="72"/>
      <c r="AN110" s="72"/>
      <c r="AO110" s="102"/>
    </row>
    <row r="111" spans="2:41" ht="14.4" thickBot="1" x14ac:dyDescent="0.3">
      <c r="B111" s="54" t="s">
        <v>280</v>
      </c>
      <c r="C111" s="54" t="s">
        <v>28</v>
      </c>
      <c r="D111" s="54" t="s">
        <v>32</v>
      </c>
      <c r="E111" s="54" t="s">
        <v>33</v>
      </c>
      <c r="F111" s="54"/>
      <c r="G111" s="84" t="s">
        <v>35</v>
      </c>
      <c r="H111" s="84"/>
      <c r="I111" s="84" t="s">
        <v>37</v>
      </c>
      <c r="J111" s="54" t="s">
        <v>38</v>
      </c>
      <c r="K111" s="54" t="s">
        <v>218</v>
      </c>
      <c r="L111" s="54"/>
      <c r="R111" s="37"/>
      <c r="S111" s="37" t="str">
        <f>"INDCEMHPRGASNAT_N_"&amp;AA111</f>
        <v>INDCEMHPRGASNAT_N_AD</v>
      </c>
      <c r="T111" s="37" t="str">
        <f>"Process Heat Cement - Natural gas_N_"&amp;AA111</f>
        <v>Process Heat Cement - Natural gas_N_AD</v>
      </c>
      <c r="U111" s="37" t="s">
        <v>206</v>
      </c>
      <c r="V111" s="37" t="s">
        <v>293</v>
      </c>
      <c r="W111" s="37"/>
      <c r="X111" s="37"/>
      <c r="Y111" s="37"/>
      <c r="AA111" s="72" t="s">
        <v>276</v>
      </c>
      <c r="AD111" s="153"/>
      <c r="AE111" s="153"/>
      <c r="AM111" s="72"/>
      <c r="AN111" s="72"/>
      <c r="AO111" s="102"/>
    </row>
    <row r="112" spans="2:41" ht="13.8" x14ac:dyDescent="0.25">
      <c r="B112" s="89" t="s">
        <v>281</v>
      </c>
      <c r="C112" s="90"/>
      <c r="D112" s="90"/>
      <c r="E112" s="90"/>
      <c r="F112" s="90"/>
      <c r="G112" s="90"/>
      <c r="H112" s="90"/>
      <c r="I112" s="90" t="s">
        <v>448</v>
      </c>
      <c r="J112" s="90" t="s">
        <v>448</v>
      </c>
      <c r="K112" s="90" t="s">
        <v>40</v>
      </c>
      <c r="L112" s="90"/>
      <c r="R112" s="37"/>
      <c r="S112" s="37" t="str">
        <f>"INDCEMHPRELC_N_"&amp;AA112</f>
        <v>INDCEMHPRELC_N_ST</v>
      </c>
      <c r="T112" s="37" t="str">
        <f>"Process Heat Cement - Electricity_N_"&amp;AA112</f>
        <v>Process Heat Cement - Electricity_N_ST</v>
      </c>
      <c r="U112" s="37" t="s">
        <v>206</v>
      </c>
      <c r="V112" s="37" t="s">
        <v>293</v>
      </c>
      <c r="W112" s="37"/>
      <c r="X112" s="37"/>
      <c r="Y112" s="37"/>
      <c r="AA112" s="72" t="s">
        <v>274</v>
      </c>
      <c r="AD112" s="153"/>
      <c r="AE112" s="153"/>
      <c r="AM112" s="72"/>
      <c r="AN112" s="72"/>
      <c r="AO112" s="102"/>
    </row>
    <row r="113" spans="2:43" ht="13.8" x14ac:dyDescent="0.25">
      <c r="B113" s="37" t="str">
        <f>S76</f>
        <v>INDONMMCDOILDSL_ST</v>
      </c>
      <c r="C113" s="37" t="str">
        <f>T76</f>
        <v>Machine Drive Other Non Metallic Minerals Diesel_N_ST</v>
      </c>
      <c r="D113" s="72" t="s">
        <v>150</v>
      </c>
      <c r="E113" s="72" t="s">
        <v>289</v>
      </c>
      <c r="F113" s="94">
        <f>G113</f>
        <v>2018</v>
      </c>
      <c r="G113" s="72">
        <v>2018</v>
      </c>
      <c r="H113" s="140">
        <f>O113</f>
        <v>2</v>
      </c>
      <c r="I113" s="97">
        <v>5.7777777777777786</v>
      </c>
      <c r="J113" s="97">
        <f t="shared" ref="J113:J121" si="25">(I113*0.1)*(1/0.9)</f>
        <v>0.64197530864197538</v>
      </c>
      <c r="K113" s="141">
        <v>20</v>
      </c>
      <c r="L113" s="141">
        <v>0.8</v>
      </c>
      <c r="O113" s="165">
        <v>2</v>
      </c>
      <c r="R113" s="37"/>
      <c r="S113" s="37" t="str">
        <f>"INDCEMHPRELC_N_"&amp;AA113</f>
        <v>INDCEMHPRELC_N_IM</v>
      </c>
      <c r="T113" s="37" t="str">
        <f>"Process Heat Cement - Electricity_N_"&amp;AA113</f>
        <v>Process Heat Cement - Electricity_N_IM</v>
      </c>
      <c r="U113" s="37" t="s">
        <v>206</v>
      </c>
      <c r="V113" s="37" t="s">
        <v>293</v>
      </c>
      <c r="W113" s="37"/>
      <c r="X113" s="37"/>
      <c r="Y113" s="37"/>
      <c r="Z113" s="153"/>
      <c r="AA113" s="72" t="s">
        <v>275</v>
      </c>
      <c r="AD113" s="153"/>
      <c r="AE113" s="153"/>
      <c r="AM113" s="72"/>
      <c r="AN113" s="72"/>
      <c r="AO113" s="102"/>
    </row>
    <row r="114" spans="2:43" ht="13.8" x14ac:dyDescent="0.25">
      <c r="B114" s="37" t="str">
        <f t="shared" ref="B114:C124" si="26">S77</f>
        <v>INDONMMCDOILDSL_IM</v>
      </c>
      <c r="C114" s="37" t="str">
        <f t="shared" si="26"/>
        <v>Machine Drive Other Non Metallic Minerals Diesel_N_IM</v>
      </c>
      <c r="D114" s="72" t="str">
        <f>D113</f>
        <v>INDOILDSL</v>
      </c>
      <c r="E114" s="72" t="str">
        <f>E113</f>
        <v>INDONMMCD</v>
      </c>
      <c r="F114" s="94">
        <f t="shared" ref="F114:F124" si="27">G114</f>
        <v>2025</v>
      </c>
      <c r="G114" s="72">
        <f>G113+7</f>
        <v>2025</v>
      </c>
      <c r="H114" s="140">
        <f>H113*0.9</f>
        <v>1.8</v>
      </c>
      <c r="I114" s="97">
        <v>8.2431261318225388</v>
      </c>
      <c r="J114" s="97">
        <f t="shared" si="25"/>
        <v>0.9159029035358377</v>
      </c>
      <c r="K114" s="141">
        <v>20</v>
      </c>
      <c r="L114" s="141">
        <v>0.8</v>
      </c>
      <c r="O114" s="165">
        <v>2</v>
      </c>
      <c r="R114" s="98"/>
      <c r="S114" s="98" t="str">
        <f>"INDCEMHPRELC_N_"&amp;AA114</f>
        <v>INDCEMHPRELC_N_AD</v>
      </c>
      <c r="T114" s="98" t="str">
        <f>"Process Heat Cement - Electricity_N_"&amp;AA114</f>
        <v>Process Heat Cement - Electricity_N_AD</v>
      </c>
      <c r="U114" s="98" t="s">
        <v>206</v>
      </c>
      <c r="V114" s="98" t="s">
        <v>293</v>
      </c>
      <c r="W114" s="98"/>
      <c r="X114" s="98"/>
      <c r="Y114" s="98"/>
      <c r="AA114" s="72" t="s">
        <v>276</v>
      </c>
      <c r="AD114" s="153"/>
      <c r="AE114" s="153"/>
      <c r="AM114" s="72"/>
      <c r="AN114" s="72"/>
      <c r="AO114" s="102"/>
    </row>
    <row r="115" spans="2:43" ht="13.8" x14ac:dyDescent="0.25">
      <c r="B115" s="98" t="str">
        <f t="shared" si="26"/>
        <v>INDONMMCDOILDSL_AD</v>
      </c>
      <c r="C115" s="98" t="str">
        <f t="shared" si="26"/>
        <v>Machine Drive Other Non Metallic Minerals Diesel_N_AD</v>
      </c>
      <c r="D115" s="98" t="str">
        <f>D114</f>
        <v>INDOILDSL</v>
      </c>
      <c r="E115" s="98" t="str">
        <f>E113</f>
        <v>INDONMMCD</v>
      </c>
      <c r="F115" s="99">
        <f t="shared" si="27"/>
        <v>2035</v>
      </c>
      <c r="G115" s="98">
        <f>G114+10</f>
        <v>2035</v>
      </c>
      <c r="H115" s="143">
        <f>H113*0.75</f>
        <v>1.5</v>
      </c>
      <c r="I115" s="167">
        <v>10.584383466223045</v>
      </c>
      <c r="J115" s="167">
        <f t="shared" si="25"/>
        <v>1.1760426073581163</v>
      </c>
      <c r="K115" s="145">
        <v>20</v>
      </c>
      <c r="L115" s="145">
        <v>0.8</v>
      </c>
      <c r="O115" s="165">
        <v>1.1111111111111112</v>
      </c>
      <c r="R115" s="98"/>
      <c r="S115" s="98" t="str">
        <f>B105</f>
        <v>INDONMHPRH2G_AD</v>
      </c>
      <c r="T115" s="98" t="str">
        <f>C105</f>
        <v>Process Heat Other Non Metallic Minerals H2_N_AD</v>
      </c>
      <c r="U115" s="98" t="s">
        <v>206</v>
      </c>
      <c r="V115" s="98" t="s">
        <v>293</v>
      </c>
      <c r="W115" s="98"/>
      <c r="X115" s="98"/>
      <c r="Y115" s="98"/>
      <c r="AA115" s="72"/>
      <c r="AD115" s="153"/>
      <c r="AE115" s="153"/>
      <c r="AM115" s="72"/>
      <c r="AN115" s="72"/>
      <c r="AO115" s="102"/>
    </row>
    <row r="116" spans="2:43" ht="13.8" x14ac:dyDescent="0.25">
      <c r="B116" s="37" t="str">
        <f t="shared" si="26"/>
        <v>INDONMMCDGASNAT_ST</v>
      </c>
      <c r="C116" s="37" t="str">
        <f t="shared" si="26"/>
        <v>Machine Drive Other Non Metallic Minerals N. Gas_N_ST</v>
      </c>
      <c r="D116" s="72" t="s">
        <v>164</v>
      </c>
      <c r="E116" s="72" t="s">
        <v>289</v>
      </c>
      <c r="F116" s="94">
        <f>G116</f>
        <v>2020</v>
      </c>
      <c r="G116" s="72">
        <v>2020</v>
      </c>
      <c r="H116" s="140">
        <f>O114</f>
        <v>2</v>
      </c>
      <c r="I116" s="97">
        <v>6.2222222222222214</v>
      </c>
      <c r="J116" s="97">
        <f t="shared" si="25"/>
        <v>0.6913580246913581</v>
      </c>
      <c r="K116" s="141">
        <v>20</v>
      </c>
      <c r="L116" s="141">
        <v>0.8</v>
      </c>
      <c r="O116" s="165">
        <v>1.25</v>
      </c>
      <c r="R116" s="98"/>
      <c r="S116" s="98" t="str">
        <f>B199</f>
        <v>INDCEMHPRH2G_N_AD</v>
      </c>
      <c r="T116" s="98" t="str">
        <f>C199</f>
        <v>Process Heat Cement H2_N_AD</v>
      </c>
      <c r="U116" s="98" t="s">
        <v>206</v>
      </c>
      <c r="V116" s="98" t="s">
        <v>293</v>
      </c>
      <c r="W116" s="98"/>
      <c r="X116" s="98"/>
      <c r="Y116" s="98"/>
      <c r="AA116" s="72"/>
      <c r="AD116" s="153"/>
      <c r="AE116" s="153"/>
      <c r="AM116" s="72"/>
      <c r="AN116" s="72"/>
      <c r="AO116" s="102"/>
    </row>
    <row r="117" spans="2:43" ht="13.8" x14ac:dyDescent="0.25">
      <c r="B117" s="37" t="str">
        <f t="shared" si="26"/>
        <v>INDONMMCDGASNAT_IM</v>
      </c>
      <c r="C117" s="37" t="str">
        <f t="shared" si="26"/>
        <v>Machine Drive Other Non Metallic Minerals N. Gas_N_IM</v>
      </c>
      <c r="D117" s="72" t="str">
        <f>D116</f>
        <v>INDGASNAT</v>
      </c>
      <c r="E117" s="72" t="str">
        <f>E116</f>
        <v>INDONMMCD</v>
      </c>
      <c r="F117" s="94">
        <f t="shared" si="27"/>
        <v>2030</v>
      </c>
      <c r="G117" s="72">
        <f>G116+10</f>
        <v>2030</v>
      </c>
      <c r="H117" s="140">
        <f>H116*0.9</f>
        <v>1.8</v>
      </c>
      <c r="I117" s="97">
        <v>8.8772127573473494</v>
      </c>
      <c r="J117" s="97">
        <f t="shared" si="25"/>
        <v>0.98635697303859449</v>
      </c>
      <c r="K117" s="141">
        <v>20</v>
      </c>
      <c r="L117" s="141">
        <v>0.8</v>
      </c>
      <c r="O117" s="165"/>
      <c r="R117" s="72"/>
      <c r="S117" s="72"/>
      <c r="T117" s="72"/>
      <c r="U117" s="72"/>
      <c r="W117" s="96"/>
      <c r="AA117" s="72"/>
      <c r="AD117" s="153"/>
      <c r="AE117" s="153"/>
      <c r="AM117" s="72"/>
      <c r="AN117" s="72"/>
      <c r="AO117" s="102"/>
    </row>
    <row r="118" spans="2:43" ht="13.8" x14ac:dyDescent="0.25">
      <c r="B118" s="98" t="str">
        <f t="shared" si="26"/>
        <v>INDONMMCDGASNAT_AD</v>
      </c>
      <c r="C118" s="98" t="str">
        <f t="shared" si="26"/>
        <v>Machine Drive Other Non Metallic Minerals N. Gas_N_AD</v>
      </c>
      <c r="D118" s="98" t="str">
        <f>D117</f>
        <v>INDGASNAT</v>
      </c>
      <c r="E118" s="98" t="str">
        <f>E116</f>
        <v>INDONMMCD</v>
      </c>
      <c r="F118" s="99">
        <f t="shared" si="27"/>
        <v>2040</v>
      </c>
      <c r="G118" s="98">
        <f>G117+10</f>
        <v>2040</v>
      </c>
      <c r="H118" s="143">
        <f>H116*0.75</f>
        <v>1.5</v>
      </c>
      <c r="I118" s="167">
        <v>11.398566809778664</v>
      </c>
      <c r="J118" s="167">
        <f t="shared" si="25"/>
        <v>1.2665074233087406</v>
      </c>
      <c r="K118" s="145">
        <v>20</v>
      </c>
      <c r="L118" s="145">
        <v>0.8</v>
      </c>
      <c r="R118" s="72"/>
      <c r="S118" s="72"/>
      <c r="T118" s="72"/>
      <c r="U118" s="72"/>
      <c r="W118" s="96"/>
      <c r="AA118" s="72"/>
      <c r="AD118" s="153"/>
      <c r="AE118" s="153"/>
      <c r="AM118" s="72"/>
      <c r="AN118" s="72"/>
      <c r="AO118" s="102"/>
    </row>
    <row r="119" spans="2:43" ht="13.8" x14ac:dyDescent="0.25">
      <c r="B119" s="37" t="str">
        <f t="shared" si="26"/>
        <v>INDONMMCDELC_ST</v>
      </c>
      <c r="C119" s="37" t="str">
        <f t="shared" si="26"/>
        <v>Machine Drive Other Non Metallic Minerals Electricity_N_ST</v>
      </c>
      <c r="D119" s="72" t="str">
        <f>Commodities!$D$341</f>
        <v>INDELC</v>
      </c>
      <c r="E119" s="72" t="s">
        <v>289</v>
      </c>
      <c r="F119" s="94">
        <f>G119</f>
        <v>2018</v>
      </c>
      <c r="G119" s="72">
        <v>2018</v>
      </c>
      <c r="H119" s="140">
        <f>O115</f>
        <v>1.1111111111111112</v>
      </c>
      <c r="I119" s="97">
        <v>4</v>
      </c>
      <c r="J119" s="97">
        <f t="shared" si="25"/>
        <v>0.44444444444444448</v>
      </c>
      <c r="K119" s="141">
        <v>20</v>
      </c>
      <c r="L119" s="141">
        <v>0.8</v>
      </c>
      <c r="O119" s="102"/>
      <c r="R119" s="72"/>
      <c r="S119" s="72"/>
      <c r="T119" s="72"/>
      <c r="U119" s="72"/>
      <c r="W119" s="96"/>
      <c r="AA119" s="72"/>
      <c r="AD119" s="153"/>
      <c r="AE119" s="153"/>
      <c r="AM119" s="72"/>
      <c r="AN119" s="72"/>
      <c r="AO119" s="102"/>
    </row>
    <row r="120" spans="2:43" ht="13.8" x14ac:dyDescent="0.25">
      <c r="B120" s="37" t="str">
        <f t="shared" si="26"/>
        <v>INDONMMCDELC_IM</v>
      </c>
      <c r="C120" s="37" t="str">
        <f t="shared" si="26"/>
        <v>Machine Drive Other Non Metallic Minerals Electricity_N_IM</v>
      </c>
      <c r="D120" s="72" t="str">
        <f>D119</f>
        <v>INDELC</v>
      </c>
      <c r="E120" s="72" t="str">
        <f>E119</f>
        <v>INDONMMCD</v>
      </c>
      <c r="F120" s="94">
        <f t="shared" si="27"/>
        <v>2025</v>
      </c>
      <c r="G120" s="72">
        <f>G119+7</f>
        <v>2025</v>
      </c>
      <c r="H120" s="140">
        <f>H119*0.95</f>
        <v>1.0555555555555556</v>
      </c>
      <c r="I120" s="97">
        <v>5.7067796297232967</v>
      </c>
      <c r="J120" s="97">
        <f t="shared" si="25"/>
        <v>0.63408662552481077</v>
      </c>
      <c r="K120" s="141">
        <v>20</v>
      </c>
      <c r="L120" s="141">
        <v>0.8</v>
      </c>
      <c r="R120" s="72"/>
      <c r="S120" s="72"/>
      <c r="T120" s="72"/>
      <c r="U120" s="72"/>
      <c r="W120" s="96"/>
      <c r="AA120" s="72"/>
      <c r="AD120" s="153"/>
      <c r="AE120" s="153"/>
      <c r="AM120" s="72"/>
      <c r="AN120" s="72"/>
      <c r="AO120" s="102"/>
    </row>
    <row r="121" spans="2:43" ht="13.8" x14ac:dyDescent="0.25">
      <c r="B121" s="98" t="str">
        <f t="shared" si="26"/>
        <v>INDONMMCDELC_AD</v>
      </c>
      <c r="C121" s="98" t="str">
        <f t="shared" si="26"/>
        <v>Machine Drive Other Non Metallic Minerals Electricity_N_AD</v>
      </c>
      <c r="D121" s="98" t="str">
        <f>D120</f>
        <v>INDELC</v>
      </c>
      <c r="E121" s="98" t="str">
        <f>E119</f>
        <v>INDONMMCD</v>
      </c>
      <c r="F121" s="99">
        <f t="shared" si="27"/>
        <v>2035</v>
      </c>
      <c r="G121" s="98">
        <f>G120+10</f>
        <v>2035</v>
      </c>
      <c r="H121" s="143">
        <f>H119*0.92</f>
        <v>1.0222222222222224</v>
      </c>
      <c r="I121" s="167">
        <v>7.3276500920005709</v>
      </c>
      <c r="J121" s="167">
        <f t="shared" si="25"/>
        <v>0.81418334355561905</v>
      </c>
      <c r="K121" s="145">
        <v>20</v>
      </c>
      <c r="L121" s="145">
        <v>0.8</v>
      </c>
      <c r="R121" s="72"/>
      <c r="S121" s="72"/>
      <c r="T121" s="72"/>
      <c r="U121" s="72"/>
      <c r="W121" s="96"/>
      <c r="AD121" s="153"/>
      <c r="AE121" s="153"/>
      <c r="AM121" s="72"/>
      <c r="AN121" s="72"/>
      <c r="AO121" s="102"/>
    </row>
    <row r="122" spans="2:43" ht="13.8" x14ac:dyDescent="0.25">
      <c r="B122" s="37" t="str">
        <f t="shared" si="26"/>
        <v>INDONMOENELC_ST</v>
      </c>
      <c r="C122" s="37" t="str">
        <f t="shared" si="26"/>
        <v>Other Energy Other Non Metallic Minerals Electricity_N_ST</v>
      </c>
      <c r="D122" s="72" t="str">
        <f>Commodities!$D$341</f>
        <v>INDELC</v>
      </c>
      <c r="E122" s="72" t="s">
        <v>290</v>
      </c>
      <c r="F122" s="94">
        <f>G122</f>
        <v>2018</v>
      </c>
      <c r="G122" s="72">
        <v>2018</v>
      </c>
      <c r="H122" s="140">
        <f>O116</f>
        <v>1.25</v>
      </c>
      <c r="I122" s="97">
        <v>0.02</v>
      </c>
      <c r="J122" s="97">
        <f>0.001*(1/0.9)</f>
        <v>1.1111111111111111E-3</v>
      </c>
      <c r="K122" s="141">
        <v>30</v>
      </c>
      <c r="L122" s="141">
        <v>0.8</v>
      </c>
      <c r="O122" s="102"/>
      <c r="R122" s="72"/>
      <c r="S122" s="72"/>
      <c r="T122" s="72"/>
      <c r="U122" s="72"/>
      <c r="AD122" s="153"/>
      <c r="AE122" s="153"/>
      <c r="AM122" s="72"/>
      <c r="AN122" s="72"/>
      <c r="AO122" s="102"/>
    </row>
    <row r="123" spans="2:43" ht="13.8" x14ac:dyDescent="0.25">
      <c r="B123" s="37" t="str">
        <f t="shared" si="26"/>
        <v>INDONMOENELC_IM</v>
      </c>
      <c r="C123" s="37" t="str">
        <f t="shared" si="26"/>
        <v>Other Energy Other Non Metallic Minerals Electricity_N_IM</v>
      </c>
      <c r="D123" s="72" t="str">
        <f>D122</f>
        <v>INDELC</v>
      </c>
      <c r="E123" s="72" t="str">
        <f>E122</f>
        <v>INDONMOEN</v>
      </c>
      <c r="F123" s="94">
        <f t="shared" si="27"/>
        <v>2025</v>
      </c>
      <c r="G123" s="72">
        <f>G122+7</f>
        <v>2025</v>
      </c>
      <c r="H123" s="140">
        <f>H122*0.9</f>
        <v>1.125</v>
      </c>
      <c r="I123" s="97">
        <v>2.8533898148616482E-2</v>
      </c>
      <c r="J123" s="97">
        <f>0.001*(1/0.9)</f>
        <v>1.1111111111111111E-3</v>
      </c>
      <c r="K123" s="141">
        <v>30</v>
      </c>
      <c r="L123" s="141">
        <v>0.8</v>
      </c>
      <c r="R123" s="72"/>
      <c r="S123" s="72"/>
      <c r="T123" s="72"/>
      <c r="U123" s="72"/>
      <c r="W123" s="96"/>
      <c r="X123" s="72"/>
      <c r="Z123" s="153"/>
      <c r="AA123" s="166"/>
      <c r="AD123" s="153"/>
      <c r="AE123" s="153"/>
      <c r="AM123" s="72"/>
      <c r="AN123" s="72"/>
      <c r="AO123" s="102"/>
    </row>
    <row r="124" spans="2:43" ht="13.8" x14ac:dyDescent="0.25">
      <c r="B124" s="98" t="str">
        <f t="shared" si="26"/>
        <v>INDONMOENELC_AD</v>
      </c>
      <c r="C124" s="98" t="str">
        <f t="shared" si="26"/>
        <v>Other Energy Other Non Metallic Minerals Electricity_N_AD</v>
      </c>
      <c r="D124" s="98" t="str">
        <f>D123</f>
        <v>INDELC</v>
      </c>
      <c r="E124" s="98" t="str">
        <f>E122</f>
        <v>INDONMOEN</v>
      </c>
      <c r="F124" s="99">
        <f t="shared" si="27"/>
        <v>2035</v>
      </c>
      <c r="G124" s="98">
        <f>G123+10</f>
        <v>2035</v>
      </c>
      <c r="H124" s="143">
        <f>H122*0.85</f>
        <v>1.0625</v>
      </c>
      <c r="I124" s="167">
        <v>3.6638250460002852E-2</v>
      </c>
      <c r="J124" s="167">
        <f>0.001*(1/0.9)</f>
        <v>1.1111111111111111E-3</v>
      </c>
      <c r="K124" s="145">
        <v>30</v>
      </c>
      <c r="L124" s="145">
        <v>0.8</v>
      </c>
      <c r="R124" s="72"/>
      <c r="S124" s="72"/>
      <c r="T124" s="72"/>
      <c r="U124" s="72"/>
      <c r="W124" s="96"/>
      <c r="AD124" s="153"/>
      <c r="AE124" s="153"/>
      <c r="AM124" s="72"/>
      <c r="AN124" s="72"/>
      <c r="AO124" s="102"/>
    </row>
    <row r="125" spans="2:43" ht="13.8" x14ac:dyDescent="0.25">
      <c r="B125" s="37"/>
      <c r="R125" s="72"/>
      <c r="S125" s="72"/>
      <c r="T125" s="72"/>
      <c r="U125" s="72"/>
      <c r="W125" s="96"/>
      <c r="AF125" s="153"/>
      <c r="AG125" s="153"/>
      <c r="AO125" s="72"/>
      <c r="AP125" s="72"/>
      <c r="AQ125" s="102"/>
    </row>
    <row r="126" spans="2:43" ht="13.8" x14ac:dyDescent="0.25">
      <c r="R126" s="72"/>
      <c r="S126" s="72"/>
      <c r="T126" s="72"/>
      <c r="U126" s="72"/>
      <c r="W126" s="96"/>
      <c r="AF126" s="153"/>
      <c r="AG126" s="153"/>
      <c r="AO126" s="72"/>
      <c r="AP126" s="72"/>
      <c r="AQ126" s="102"/>
    </row>
    <row r="127" spans="2:43" ht="13.8" x14ac:dyDescent="0.25">
      <c r="R127" s="72"/>
      <c r="S127" s="72"/>
      <c r="T127" s="72"/>
      <c r="U127" s="72"/>
      <c r="W127" s="96"/>
      <c r="AF127" s="153"/>
      <c r="AG127" s="153"/>
      <c r="AO127" s="72"/>
      <c r="AP127" s="72"/>
      <c r="AQ127" s="102"/>
    </row>
    <row r="128" spans="2:43" ht="13.8" x14ac:dyDescent="0.25">
      <c r="S128" s="72"/>
      <c r="T128" s="72"/>
      <c r="U128" s="72"/>
      <c r="V128" s="72"/>
      <c r="W128" s="72"/>
      <c r="Y128" s="96"/>
      <c r="AF128" s="153"/>
      <c r="AG128" s="153"/>
      <c r="AO128" s="72"/>
      <c r="AP128" s="72"/>
      <c r="AQ128" s="102"/>
    </row>
    <row r="129" spans="1:43" ht="13.8" x14ac:dyDescent="0.25">
      <c r="S129" s="72"/>
      <c r="T129" s="72"/>
      <c r="U129" s="72"/>
      <c r="V129" s="72"/>
      <c r="W129" s="72"/>
      <c r="Y129" s="96"/>
      <c r="AF129" s="153"/>
      <c r="AG129" s="153"/>
      <c r="AO129" s="72"/>
      <c r="AP129" s="72"/>
      <c r="AQ129" s="102"/>
    </row>
    <row r="130" spans="1:43" ht="13.8" x14ac:dyDescent="0.25">
      <c r="A130" s="107"/>
      <c r="B130" s="107" t="s">
        <v>300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S130" s="72"/>
      <c r="T130" s="72"/>
      <c r="U130" s="72"/>
      <c r="V130" s="72"/>
      <c r="W130" s="72"/>
      <c r="Y130" s="96"/>
      <c r="AO130" s="72"/>
      <c r="AP130" s="72"/>
      <c r="AQ130" s="102"/>
    </row>
    <row r="131" spans="1:43" ht="13.8" x14ac:dyDescent="0.25">
      <c r="S131" s="72"/>
      <c r="T131" s="72"/>
      <c r="U131" s="72"/>
      <c r="V131" s="72"/>
      <c r="W131" s="72"/>
      <c r="Y131" s="96"/>
      <c r="AO131" s="72"/>
      <c r="AP131" s="72"/>
      <c r="AQ131" s="102"/>
    </row>
    <row r="132" spans="1:43" ht="13.8" x14ac:dyDescent="0.25">
      <c r="S132" s="72"/>
      <c r="T132" s="72"/>
      <c r="U132" s="72"/>
      <c r="V132" s="72"/>
      <c r="W132" s="72"/>
      <c r="AO132" s="72"/>
      <c r="AP132" s="72"/>
      <c r="AQ132" s="102"/>
    </row>
    <row r="133" spans="1:43" ht="13.8" x14ac:dyDescent="0.25">
      <c r="AB133" s="72"/>
      <c r="AC133" s="72"/>
      <c r="AD133" s="72"/>
      <c r="AE133" s="72"/>
      <c r="AO133" s="72"/>
      <c r="AP133" s="72"/>
      <c r="AQ133" s="102"/>
    </row>
    <row r="134" spans="1:43" ht="13.8" x14ac:dyDescent="0.25">
      <c r="AB134" s="150"/>
      <c r="AC134" s="150"/>
      <c r="AD134" s="150"/>
      <c r="AE134" s="150"/>
      <c r="AF134" s="150"/>
      <c r="AG134" s="150"/>
      <c r="AO134" s="72"/>
      <c r="AP134" s="72"/>
      <c r="AQ134" s="102"/>
    </row>
    <row r="135" spans="1:43" ht="13.8" x14ac:dyDescent="0.25">
      <c r="B135" s="37"/>
      <c r="C135" s="107"/>
      <c r="D135" s="107"/>
      <c r="E135" s="72"/>
      <c r="F135" s="108" t="s">
        <v>0</v>
      </c>
      <c r="G135" s="36"/>
      <c r="H135" s="72"/>
      <c r="I135" s="72"/>
      <c r="J135" s="72"/>
      <c r="K135" s="72"/>
      <c r="L135" s="72"/>
      <c r="AB135" s="152"/>
      <c r="AC135" s="152"/>
      <c r="AD135" s="152"/>
      <c r="AE135" s="152"/>
      <c r="AF135" s="152"/>
      <c r="AG135" s="152"/>
      <c r="AO135" s="72"/>
      <c r="AP135" s="72"/>
      <c r="AQ135" s="102"/>
    </row>
    <row r="136" spans="1:43" ht="13.8" x14ac:dyDescent="0.25">
      <c r="B136" s="45" t="s">
        <v>1</v>
      </c>
      <c r="C136" s="45" t="s">
        <v>227</v>
      </c>
      <c r="D136" s="45" t="s">
        <v>3</v>
      </c>
      <c r="E136" s="45" t="s">
        <v>4</v>
      </c>
      <c r="F136" s="46" t="s">
        <v>233</v>
      </c>
      <c r="G136" s="115" t="s">
        <v>14</v>
      </c>
      <c r="H136" s="47" t="s">
        <v>250</v>
      </c>
      <c r="I136" s="47" t="s">
        <v>36</v>
      </c>
      <c r="J136" s="49" t="s">
        <v>5</v>
      </c>
      <c r="K136" s="49" t="s">
        <v>48</v>
      </c>
      <c r="L136" s="72"/>
      <c r="S136" s="72"/>
      <c r="U136" s="72"/>
      <c r="V136" s="154"/>
      <c r="W136" s="114"/>
      <c r="X136" s="114"/>
      <c r="Y136" s="155"/>
      <c r="Z136" s="155"/>
      <c r="AA136" s="155"/>
      <c r="AB136" s="152"/>
      <c r="AC136" s="152"/>
      <c r="AD136" s="152"/>
      <c r="AE136" s="152"/>
      <c r="AF136" s="152"/>
      <c r="AG136" s="152"/>
      <c r="AO136" s="72"/>
      <c r="AP136" s="72"/>
      <c r="AQ136" s="102"/>
    </row>
    <row r="137" spans="1:43" ht="14.4" thickBot="1" x14ac:dyDescent="0.3">
      <c r="B137" s="54" t="s">
        <v>234</v>
      </c>
      <c r="C137" s="54" t="s">
        <v>28</v>
      </c>
      <c r="D137" s="54" t="s">
        <v>32</v>
      </c>
      <c r="E137" s="54" t="s">
        <v>33</v>
      </c>
      <c r="F137" s="55"/>
      <c r="G137" s="56" t="s">
        <v>35</v>
      </c>
      <c r="H137" s="56" t="s">
        <v>278</v>
      </c>
      <c r="I137" s="56" t="s">
        <v>37</v>
      </c>
      <c r="J137" s="54" t="s">
        <v>38</v>
      </c>
      <c r="K137" s="54" t="s">
        <v>218</v>
      </c>
      <c r="L137" s="72"/>
      <c r="S137" s="156"/>
      <c r="U137" s="156"/>
      <c r="V137" s="156"/>
      <c r="W137" s="156"/>
      <c r="X137" s="157"/>
      <c r="Y137" s="150"/>
      <c r="Z137" s="158"/>
      <c r="AA137" s="150"/>
      <c r="AF137" s="151"/>
      <c r="AG137" s="151"/>
      <c r="AO137" s="72"/>
      <c r="AP137" s="72"/>
      <c r="AQ137" s="102"/>
    </row>
    <row r="138" spans="1:43" ht="13.8" x14ac:dyDescent="0.25">
      <c r="B138" s="89"/>
      <c r="C138" s="90"/>
      <c r="D138" s="90"/>
      <c r="E138" s="90" t="s">
        <v>231</v>
      </c>
      <c r="F138" s="91"/>
      <c r="G138" s="90"/>
      <c r="H138" s="90"/>
      <c r="I138" s="90" t="s">
        <v>449</v>
      </c>
      <c r="J138" s="90" t="s">
        <v>449</v>
      </c>
      <c r="K138" s="90" t="s">
        <v>40</v>
      </c>
      <c r="L138" s="72"/>
      <c r="S138" s="152"/>
      <c r="T138" s="152"/>
      <c r="U138" s="152"/>
      <c r="V138" s="152"/>
      <c r="W138" s="152"/>
      <c r="X138" s="101"/>
      <c r="Y138" s="152"/>
      <c r="Z138" s="152"/>
      <c r="AA138" s="152"/>
      <c r="AC138" s="166"/>
      <c r="AF138" s="151"/>
      <c r="AG138" s="151"/>
      <c r="AO138" s="72"/>
      <c r="AP138" s="72"/>
      <c r="AQ138" s="102"/>
    </row>
    <row r="139" spans="1:43" ht="15" x14ac:dyDescent="0.25">
      <c r="B139" s="60" t="str">
        <f>S91</f>
        <v>INDDEMCEME_N_ST</v>
      </c>
      <c r="C139" s="60" t="str">
        <f>T91</f>
        <v>Cement Finishing Technology_N_ST</v>
      </c>
      <c r="D139" s="36" t="s">
        <v>429</v>
      </c>
      <c r="E139" s="36"/>
      <c r="F139" s="123">
        <f>G139</f>
        <v>2018</v>
      </c>
      <c r="G139" s="124">
        <v>2018</v>
      </c>
      <c r="H139" s="125">
        <v>0.75</v>
      </c>
      <c r="I139" s="125">
        <f>10*(1/0.9)</f>
        <v>11.111111111111111</v>
      </c>
      <c r="J139" s="127"/>
      <c r="K139" s="127">
        <v>30</v>
      </c>
      <c r="L139" s="72"/>
      <c r="M139" s="72"/>
      <c r="S139" s="169"/>
      <c r="T139" s="152"/>
      <c r="U139" s="152"/>
      <c r="V139" s="152"/>
      <c r="W139" s="152"/>
      <c r="X139" s="152"/>
      <c r="Y139" s="152"/>
      <c r="Z139" s="159"/>
      <c r="AA139" s="152"/>
      <c r="AC139" s="166"/>
      <c r="AF139" s="151"/>
      <c r="AG139" s="151"/>
      <c r="AO139" s="72"/>
      <c r="AP139" s="72"/>
      <c r="AQ139" s="102"/>
    </row>
    <row r="140" spans="1:43" ht="13.8" x14ac:dyDescent="0.25">
      <c r="B140" s="36"/>
      <c r="C140" s="128"/>
      <c r="D140" s="36" t="s">
        <v>150</v>
      </c>
      <c r="E140" s="36"/>
      <c r="F140" s="123">
        <f>F139</f>
        <v>2018</v>
      </c>
      <c r="G140" s="129"/>
      <c r="H140" s="97">
        <v>1.04</v>
      </c>
      <c r="I140" s="104"/>
      <c r="J140" s="72"/>
      <c r="K140" s="72"/>
      <c r="L140" s="72"/>
      <c r="M140" s="72"/>
      <c r="S140" s="72"/>
      <c r="T140" s="72"/>
      <c r="U140" s="72"/>
      <c r="V140" s="72"/>
      <c r="W140" s="72"/>
      <c r="Y140" s="96"/>
      <c r="Z140" s="104"/>
      <c r="AC140" s="166"/>
      <c r="AF140" s="151"/>
      <c r="AG140" s="151"/>
      <c r="AO140" s="72"/>
      <c r="AP140" s="72"/>
      <c r="AQ140" s="102"/>
    </row>
    <row r="141" spans="1:43" ht="13.8" x14ac:dyDescent="0.25">
      <c r="B141" s="36"/>
      <c r="C141" s="128"/>
      <c r="D141" s="36" t="s">
        <v>164</v>
      </c>
      <c r="E141" s="36"/>
      <c r="F141" s="123">
        <f>F139</f>
        <v>2018</v>
      </c>
      <c r="G141" s="129"/>
      <c r="H141" s="97">
        <v>0</v>
      </c>
      <c r="I141" s="104"/>
      <c r="J141" s="72"/>
      <c r="K141" s="72"/>
      <c r="L141" s="72"/>
      <c r="M141" s="72"/>
      <c r="S141" s="72"/>
      <c r="T141" s="72"/>
      <c r="U141" s="72"/>
      <c r="V141" s="72"/>
      <c r="W141" s="72"/>
      <c r="Y141" s="96"/>
      <c r="Z141" s="104"/>
      <c r="AC141" s="166"/>
      <c r="AF141" s="151"/>
      <c r="AG141" s="151"/>
      <c r="AO141" s="72"/>
      <c r="AP141" s="72"/>
      <c r="AQ141" s="102"/>
    </row>
    <row r="142" spans="1:43" ht="13.8" x14ac:dyDescent="0.25">
      <c r="B142" s="36"/>
      <c r="C142" s="128"/>
      <c r="D142" s="36" t="s">
        <v>199</v>
      </c>
      <c r="E142" s="36"/>
      <c r="F142" s="123">
        <f>F139</f>
        <v>2018</v>
      </c>
      <c r="G142" s="129"/>
      <c r="H142" s="97">
        <v>0.27</v>
      </c>
      <c r="I142" s="104"/>
      <c r="J142" s="72"/>
      <c r="K142" s="72"/>
      <c r="L142" s="72"/>
      <c r="M142" s="72"/>
      <c r="S142" s="72"/>
      <c r="T142" s="72"/>
      <c r="U142" s="72"/>
      <c r="V142" s="72"/>
      <c r="W142" s="72"/>
      <c r="Y142" s="96"/>
      <c r="AC142" s="166"/>
      <c r="AF142" s="151"/>
      <c r="AG142" s="151"/>
      <c r="AO142" s="72"/>
      <c r="AP142" s="72"/>
      <c r="AQ142" s="102"/>
    </row>
    <row r="143" spans="1:43" ht="13.8" x14ac:dyDescent="0.25">
      <c r="B143" s="67"/>
      <c r="C143" s="131"/>
      <c r="D143" s="131"/>
      <c r="E143" s="131" t="s">
        <v>259</v>
      </c>
      <c r="F143" s="132">
        <f>F139</f>
        <v>2018</v>
      </c>
      <c r="G143" s="133"/>
      <c r="H143" s="98"/>
      <c r="I143" s="319"/>
      <c r="J143" s="98"/>
      <c r="K143" s="98"/>
      <c r="L143" s="72"/>
      <c r="M143" s="102"/>
      <c r="S143" s="72"/>
      <c r="T143" s="72"/>
      <c r="U143" s="72"/>
      <c r="V143" s="72"/>
      <c r="W143" s="72"/>
      <c r="Y143" s="96"/>
      <c r="AC143" s="166"/>
      <c r="AF143" s="151"/>
      <c r="AG143" s="151"/>
      <c r="AO143" s="72"/>
      <c r="AP143" s="72"/>
      <c r="AQ143" s="102"/>
    </row>
    <row r="144" spans="1:43" ht="13.8" x14ac:dyDescent="0.25">
      <c r="B144" s="60" t="str">
        <f>S92</f>
        <v>INDDEMCEME_N_IM</v>
      </c>
      <c r="C144" s="60" t="str">
        <f>T92</f>
        <v>Cement Finishing Technology_N_IM</v>
      </c>
      <c r="D144" s="36" t="str">
        <f>D139</f>
        <v>MATCNK</v>
      </c>
      <c r="E144" s="36"/>
      <c r="F144" s="123">
        <f>G144</f>
        <v>2025</v>
      </c>
      <c r="G144" s="124">
        <f>G139+7</f>
        <v>2025</v>
      </c>
      <c r="H144" s="125">
        <v>0.75</v>
      </c>
      <c r="I144" s="125">
        <v>23.522222406807497</v>
      </c>
      <c r="J144" s="127"/>
      <c r="K144" s="127">
        <v>30</v>
      </c>
      <c r="L144" s="72"/>
      <c r="M144" s="102"/>
      <c r="N144" s="321">
        <v>0.95</v>
      </c>
      <c r="S144" s="72"/>
      <c r="T144" s="72"/>
      <c r="U144" s="72"/>
      <c r="V144" s="72"/>
      <c r="W144" s="72"/>
      <c r="Y144" s="96"/>
      <c r="AC144" s="166"/>
      <c r="AF144" s="151"/>
      <c r="AG144" s="151"/>
      <c r="AO144" s="72"/>
      <c r="AP144" s="72"/>
      <c r="AQ144" s="102"/>
    </row>
    <row r="145" spans="2:43" ht="13.8" x14ac:dyDescent="0.25">
      <c r="B145" s="36"/>
      <c r="C145" s="128"/>
      <c r="D145" s="36" t="str">
        <f t="shared" ref="D145:D147" si="28">D140</f>
        <v>INDOILDSL</v>
      </c>
      <c r="E145" s="36"/>
      <c r="F145" s="123">
        <f>F144</f>
        <v>2025</v>
      </c>
      <c r="G145" s="129"/>
      <c r="H145" s="97">
        <f>H140*$N$144</f>
        <v>0.98799999999999999</v>
      </c>
      <c r="I145" s="104"/>
      <c r="J145" s="72"/>
      <c r="K145" s="72"/>
      <c r="L145" s="72"/>
      <c r="M145" s="102"/>
      <c r="S145" s="72"/>
      <c r="T145" s="72"/>
      <c r="U145" s="72"/>
      <c r="V145" s="72"/>
      <c r="W145" s="72"/>
      <c r="Y145" s="96"/>
      <c r="AC145" s="166"/>
      <c r="AF145" s="151"/>
      <c r="AG145" s="151"/>
      <c r="AO145" s="72"/>
      <c r="AP145" s="72"/>
      <c r="AQ145" s="102"/>
    </row>
    <row r="146" spans="2:43" ht="13.8" x14ac:dyDescent="0.25">
      <c r="B146" s="36"/>
      <c r="C146" s="128"/>
      <c r="D146" s="36" t="str">
        <f t="shared" si="28"/>
        <v>INDGASNAT</v>
      </c>
      <c r="E146" s="36"/>
      <c r="F146" s="123">
        <f>F144</f>
        <v>2025</v>
      </c>
      <c r="G146" s="129"/>
      <c r="H146" s="97">
        <f>H141*$N$144</f>
        <v>0</v>
      </c>
      <c r="I146" s="104"/>
      <c r="J146" s="72"/>
      <c r="K146" s="72"/>
      <c r="L146" s="72"/>
      <c r="M146" s="102"/>
      <c r="S146" s="72"/>
      <c r="T146" s="72"/>
      <c r="U146" s="72"/>
      <c r="V146" s="72"/>
      <c r="W146" s="72"/>
      <c r="Y146" s="96"/>
      <c r="AC146" s="166"/>
      <c r="AF146" s="151"/>
      <c r="AG146" s="151"/>
      <c r="AO146" s="72"/>
      <c r="AP146" s="72"/>
      <c r="AQ146" s="102"/>
    </row>
    <row r="147" spans="2:43" ht="13.8" x14ac:dyDescent="0.25">
      <c r="B147" s="36"/>
      <c r="C147" s="128"/>
      <c r="D147" s="36" t="str">
        <f t="shared" si="28"/>
        <v>INDELC</v>
      </c>
      <c r="E147" s="36"/>
      <c r="F147" s="123">
        <f>F144</f>
        <v>2025</v>
      </c>
      <c r="G147" s="129"/>
      <c r="H147" s="97">
        <f>H142*$N$144</f>
        <v>0.25650000000000001</v>
      </c>
      <c r="I147" s="104"/>
      <c r="J147" s="72"/>
      <c r="K147" s="72"/>
      <c r="L147" s="72"/>
      <c r="M147" s="102"/>
      <c r="S147" s="72"/>
      <c r="T147" s="72"/>
      <c r="U147" s="72"/>
      <c r="V147" s="72"/>
      <c r="W147" s="72"/>
      <c r="Y147" s="96"/>
      <c r="AC147" s="166"/>
      <c r="AF147" s="151"/>
      <c r="AG147" s="151"/>
      <c r="AO147" s="72"/>
      <c r="AP147" s="72"/>
      <c r="AQ147" s="102"/>
    </row>
    <row r="148" spans="2:43" ht="13.8" x14ac:dyDescent="0.25">
      <c r="B148" s="67"/>
      <c r="C148" s="131"/>
      <c r="D148" s="131"/>
      <c r="E148" s="131" t="str">
        <f>E143</f>
        <v>INDCEM</v>
      </c>
      <c r="F148" s="132">
        <f>F144</f>
        <v>2025</v>
      </c>
      <c r="G148" s="133"/>
      <c r="H148" s="98"/>
      <c r="I148" s="319"/>
      <c r="J148" s="98"/>
      <c r="K148" s="98"/>
      <c r="L148" s="72"/>
      <c r="M148" s="102"/>
      <c r="S148" s="72"/>
      <c r="T148" s="72"/>
      <c r="U148" s="72"/>
      <c r="V148" s="72"/>
      <c r="W148" s="72"/>
      <c r="Y148" s="96"/>
      <c r="AB148" s="153"/>
      <c r="AC148" s="166"/>
      <c r="AF148" s="151"/>
      <c r="AG148" s="151"/>
      <c r="AO148" s="72"/>
      <c r="AP148" s="72"/>
      <c r="AQ148" s="102"/>
    </row>
    <row r="149" spans="2:43" ht="13.8" x14ac:dyDescent="0.25">
      <c r="B149" s="60" t="str">
        <f>S93</f>
        <v>INDDEMCEME_N_AD</v>
      </c>
      <c r="C149" s="60" t="str">
        <f>T93</f>
        <v>Cement Finishing Technology_N_AD</v>
      </c>
      <c r="D149" s="36" t="str">
        <f>D144</f>
        <v>MATCNK</v>
      </c>
      <c r="E149" s="36"/>
      <c r="F149" s="123">
        <f>G149</f>
        <v>2035</v>
      </c>
      <c r="G149" s="124">
        <f>G144+10</f>
        <v>2035</v>
      </c>
      <c r="H149" s="125">
        <v>0.75</v>
      </c>
      <c r="I149" s="125">
        <v>45.057777409385238</v>
      </c>
      <c r="J149" s="127"/>
      <c r="K149" s="127">
        <v>30</v>
      </c>
      <c r="M149" s="102"/>
      <c r="N149" s="321"/>
      <c r="S149" s="72"/>
      <c r="T149" s="72"/>
      <c r="U149" s="72"/>
      <c r="V149" s="72"/>
      <c r="W149" s="72"/>
      <c r="Y149" s="96"/>
      <c r="AC149" s="166"/>
      <c r="AF149" s="151"/>
      <c r="AG149" s="151"/>
      <c r="AO149" s="72"/>
      <c r="AP149" s="72"/>
      <c r="AQ149" s="102"/>
    </row>
    <row r="150" spans="2:43" ht="13.8" x14ac:dyDescent="0.25">
      <c r="B150" s="36"/>
      <c r="C150" s="128"/>
      <c r="D150" s="36" t="str">
        <f t="shared" ref="D150:D152" si="29">D145</f>
        <v>INDOILDSL</v>
      </c>
      <c r="E150" s="36"/>
      <c r="F150" s="123">
        <f>F149</f>
        <v>2035</v>
      </c>
      <c r="G150" s="129"/>
      <c r="H150" s="97">
        <v>0.2</v>
      </c>
      <c r="I150" s="72"/>
      <c r="J150" s="72"/>
      <c r="K150" s="72"/>
      <c r="M150" s="101"/>
      <c r="S150" s="72"/>
      <c r="T150" s="72"/>
      <c r="U150" s="72"/>
      <c r="V150" s="72"/>
      <c r="W150" s="72"/>
      <c r="AC150" s="166"/>
      <c r="AF150" s="151"/>
      <c r="AG150" s="151"/>
      <c r="AO150" s="72"/>
      <c r="AP150" s="72"/>
      <c r="AQ150" s="102"/>
    </row>
    <row r="151" spans="2:43" ht="13.8" x14ac:dyDescent="0.25">
      <c r="B151" s="36"/>
      <c r="C151" s="128"/>
      <c r="D151" s="36" t="str">
        <f t="shared" si="29"/>
        <v>INDGASNAT</v>
      </c>
      <c r="E151" s="36"/>
      <c r="F151" s="123">
        <f>F149</f>
        <v>2035</v>
      </c>
      <c r="G151" s="129"/>
      <c r="H151" s="97">
        <v>0.5</v>
      </c>
      <c r="I151" s="72"/>
      <c r="J151" s="72"/>
      <c r="K151" s="72"/>
      <c r="S151" s="72"/>
      <c r="T151" s="72"/>
      <c r="U151" s="72"/>
      <c r="V151" s="72"/>
      <c r="W151" s="72"/>
      <c r="Y151" s="96"/>
      <c r="Z151" s="104"/>
      <c r="AC151" s="166"/>
      <c r="AF151" s="151"/>
      <c r="AG151" s="151"/>
      <c r="AO151" s="72"/>
      <c r="AP151" s="72"/>
      <c r="AQ151" s="102"/>
    </row>
    <row r="152" spans="2:43" ht="13.8" x14ac:dyDescent="0.25">
      <c r="B152" s="36"/>
      <c r="C152" s="128"/>
      <c r="D152" s="36" t="str">
        <f t="shared" si="29"/>
        <v>INDELC</v>
      </c>
      <c r="E152" s="36"/>
      <c r="F152" s="123">
        <f>F149</f>
        <v>2035</v>
      </c>
      <c r="G152" s="129"/>
      <c r="H152" s="97">
        <v>0.5</v>
      </c>
      <c r="I152" s="72"/>
      <c r="J152" s="72"/>
      <c r="K152" s="72"/>
      <c r="S152" s="72"/>
      <c r="T152" s="72"/>
      <c r="U152" s="72"/>
      <c r="V152" s="72"/>
      <c r="W152" s="72"/>
      <c r="Y152" s="96"/>
      <c r="Z152" s="104"/>
      <c r="AC152" s="166"/>
      <c r="AF152" s="151"/>
      <c r="AG152" s="151"/>
      <c r="AO152" s="72"/>
      <c r="AP152" s="72"/>
      <c r="AQ152" s="102"/>
    </row>
    <row r="153" spans="2:43" ht="13.8" x14ac:dyDescent="0.25">
      <c r="B153" s="67"/>
      <c r="C153" s="131"/>
      <c r="D153" s="131"/>
      <c r="E153" s="131" t="str">
        <f>E148</f>
        <v>INDCEM</v>
      </c>
      <c r="F153" s="132">
        <f>F149</f>
        <v>2035</v>
      </c>
      <c r="G153" s="133"/>
      <c r="H153" s="98"/>
      <c r="I153" s="98"/>
      <c r="J153" s="98"/>
      <c r="K153" s="98"/>
      <c r="S153" s="72"/>
      <c r="T153" s="72"/>
      <c r="U153" s="72"/>
      <c r="V153" s="72"/>
      <c r="W153" s="72"/>
      <c r="Y153" s="96"/>
      <c r="AC153" s="166"/>
      <c r="AF153" s="151"/>
      <c r="AG153" s="151"/>
      <c r="AO153" s="72"/>
      <c r="AP153" s="72"/>
      <c r="AQ153" s="102"/>
    </row>
    <row r="154" spans="2:43" ht="13.8" x14ac:dyDescent="0.25">
      <c r="S154" s="72"/>
      <c r="T154" s="72"/>
      <c r="U154" s="72"/>
      <c r="V154" s="72"/>
      <c r="W154" s="72"/>
      <c r="Y154" s="96"/>
      <c r="AC154" s="166"/>
      <c r="AF154" s="151"/>
      <c r="AG154" s="151"/>
      <c r="AO154" s="72"/>
      <c r="AP154" s="72"/>
      <c r="AQ154" s="102"/>
    </row>
    <row r="155" spans="2:43" ht="13.8" x14ac:dyDescent="0.25">
      <c r="S155" s="72"/>
      <c r="T155" s="72"/>
      <c r="U155" s="72"/>
      <c r="V155" s="72"/>
      <c r="W155" s="72"/>
      <c r="Y155" s="96"/>
      <c r="AC155" s="166"/>
      <c r="AF155" s="151"/>
      <c r="AG155" s="151"/>
      <c r="AO155" s="72"/>
      <c r="AP155" s="72"/>
      <c r="AQ155" s="102"/>
    </row>
    <row r="156" spans="2:43" ht="13.8" x14ac:dyDescent="0.25">
      <c r="S156" s="72"/>
      <c r="T156" s="72"/>
      <c r="U156" s="72"/>
      <c r="V156" s="72"/>
      <c r="W156" s="72"/>
      <c r="Y156" s="96"/>
      <c r="AC156" s="166"/>
      <c r="AF156" s="151"/>
      <c r="AG156" s="151"/>
      <c r="AO156" s="72"/>
      <c r="AP156" s="72"/>
      <c r="AQ156" s="102"/>
    </row>
    <row r="157" spans="2:43" ht="13.8" x14ac:dyDescent="0.25">
      <c r="S157" s="72"/>
      <c r="T157" s="72"/>
      <c r="U157" s="72"/>
      <c r="V157" s="72"/>
      <c r="W157" s="72"/>
      <c r="Y157" s="96"/>
      <c r="AC157" s="166"/>
      <c r="AF157" s="151"/>
      <c r="AG157" s="151"/>
      <c r="AO157" s="72"/>
      <c r="AP157" s="72"/>
      <c r="AQ157" s="102"/>
    </row>
    <row r="158" spans="2:43" ht="13.8" x14ac:dyDescent="0.25">
      <c r="B158" s="37"/>
      <c r="C158" s="107"/>
      <c r="D158" s="107"/>
      <c r="E158" s="72"/>
      <c r="F158" s="108" t="s">
        <v>0</v>
      </c>
      <c r="G158" s="36"/>
      <c r="H158" s="72"/>
      <c r="I158" s="72"/>
      <c r="J158" s="72"/>
      <c r="K158" s="72"/>
      <c r="L158" s="72"/>
      <c r="S158" s="72"/>
      <c r="T158" s="72"/>
      <c r="U158" s="72"/>
      <c r="V158" s="72"/>
      <c r="W158" s="72"/>
      <c r="Y158" s="96"/>
      <c r="AC158" s="166"/>
      <c r="AF158" s="151"/>
      <c r="AG158" s="151"/>
      <c r="AO158" s="72"/>
      <c r="AP158" s="72"/>
      <c r="AQ158" s="102"/>
    </row>
    <row r="159" spans="2:43" ht="13.8" x14ac:dyDescent="0.25">
      <c r="B159" s="45" t="s">
        <v>1</v>
      </c>
      <c r="C159" s="45" t="s">
        <v>227</v>
      </c>
      <c r="D159" s="45" t="s">
        <v>3</v>
      </c>
      <c r="E159" s="45" t="s">
        <v>4</v>
      </c>
      <c r="F159" s="46" t="s">
        <v>233</v>
      </c>
      <c r="G159" s="115" t="s">
        <v>14</v>
      </c>
      <c r="H159" s="47" t="s">
        <v>250</v>
      </c>
      <c r="I159" s="47" t="s">
        <v>36</v>
      </c>
      <c r="J159" s="49" t="s">
        <v>5</v>
      </c>
      <c r="K159" s="49" t="s">
        <v>48</v>
      </c>
      <c r="L159" s="72"/>
      <c r="S159" s="72"/>
      <c r="T159" s="72"/>
      <c r="U159" s="72"/>
      <c r="V159" s="72"/>
      <c r="W159" s="72"/>
      <c r="Y159" s="96"/>
      <c r="AB159" s="153"/>
      <c r="AF159" s="151"/>
      <c r="AG159" s="151"/>
      <c r="AO159" s="72"/>
      <c r="AP159" s="72"/>
      <c r="AQ159" s="102"/>
    </row>
    <row r="160" spans="2:43" ht="14.4" thickBot="1" x14ac:dyDescent="0.3">
      <c r="B160" s="54" t="s">
        <v>234</v>
      </c>
      <c r="C160" s="54" t="s">
        <v>28</v>
      </c>
      <c r="D160" s="54" t="s">
        <v>32</v>
      </c>
      <c r="E160" s="54" t="s">
        <v>33</v>
      </c>
      <c r="F160" s="55"/>
      <c r="G160" s="56" t="s">
        <v>35</v>
      </c>
      <c r="H160" s="56" t="s">
        <v>278</v>
      </c>
      <c r="I160" s="56" t="s">
        <v>37</v>
      </c>
      <c r="J160" s="54" t="s">
        <v>38</v>
      </c>
      <c r="K160" s="54" t="s">
        <v>218</v>
      </c>
      <c r="L160" s="72"/>
      <c r="S160" s="72"/>
      <c r="T160" s="72"/>
      <c r="U160" s="72"/>
      <c r="V160" s="72"/>
      <c r="W160" s="72"/>
      <c r="Y160" s="96"/>
      <c r="AF160" s="151"/>
      <c r="AG160" s="151"/>
      <c r="AO160" s="72"/>
      <c r="AP160" s="72"/>
      <c r="AQ160" s="102"/>
    </row>
    <row r="161" spans="2:39" ht="13.8" x14ac:dyDescent="0.25">
      <c r="B161" s="89"/>
      <c r="C161" s="90"/>
      <c r="D161" s="90"/>
      <c r="E161" s="90" t="s">
        <v>231</v>
      </c>
      <c r="F161" s="91"/>
      <c r="G161" s="90"/>
      <c r="H161" s="90"/>
      <c r="I161" s="90" t="s">
        <v>449</v>
      </c>
      <c r="J161" s="90" t="s">
        <v>449</v>
      </c>
      <c r="K161" s="90" t="s">
        <v>40</v>
      </c>
      <c r="L161" s="72"/>
      <c r="S161" s="72"/>
      <c r="T161" s="72"/>
      <c r="U161" s="72"/>
      <c r="V161" s="72"/>
      <c r="W161" s="72"/>
      <c r="AB161" s="151"/>
      <c r="AC161" s="151"/>
      <c r="AK161" s="72"/>
      <c r="AL161" s="72"/>
      <c r="AM161" s="102"/>
    </row>
    <row r="162" spans="2:39" ht="13.8" x14ac:dyDescent="0.25">
      <c r="B162" s="60" t="str">
        <f>S94</f>
        <v>INDCEMDRY_N_ST</v>
      </c>
      <c r="C162" s="60" t="str">
        <f>T94</f>
        <v>Cement Production Dry process_N_ST</v>
      </c>
      <c r="D162" s="36" t="s">
        <v>199</v>
      </c>
      <c r="E162" s="36"/>
      <c r="F162" s="123">
        <f>G162</f>
        <v>2018</v>
      </c>
      <c r="G162" s="124">
        <v>2018</v>
      </c>
      <c r="H162" s="125">
        <v>0.05</v>
      </c>
      <c r="I162" s="126">
        <f>150*(1/0.9)</f>
        <v>166.66666666666669</v>
      </c>
      <c r="J162" s="127"/>
      <c r="K162" s="127">
        <v>30</v>
      </c>
      <c r="L162" s="72"/>
      <c r="M162" s="72"/>
      <c r="S162" s="72"/>
      <c r="T162" s="72"/>
      <c r="U162" s="72"/>
      <c r="V162" s="72"/>
      <c r="W162" s="72"/>
      <c r="Y162" s="96"/>
      <c r="Z162" s="72"/>
      <c r="AB162" s="151"/>
      <c r="AC162" s="151"/>
      <c r="AK162" s="72"/>
      <c r="AL162" s="72"/>
      <c r="AM162" s="102"/>
    </row>
    <row r="163" spans="2:39" ht="13.8" x14ac:dyDescent="0.25">
      <c r="B163" s="36"/>
      <c r="C163" s="36"/>
      <c r="D163" s="36" t="s">
        <v>291</v>
      </c>
      <c r="E163" s="36"/>
      <c r="F163" s="123">
        <f>F162</f>
        <v>2018</v>
      </c>
      <c r="G163" s="129"/>
      <c r="H163" s="97">
        <v>1.51</v>
      </c>
      <c r="I163" s="72"/>
      <c r="J163" s="72"/>
      <c r="K163" s="72"/>
      <c r="L163" s="72"/>
      <c r="M163" s="72"/>
      <c r="S163" s="72"/>
      <c r="T163" s="72"/>
      <c r="U163" s="72"/>
      <c r="V163" s="72"/>
      <c r="W163" s="72"/>
      <c r="Y163" s="96"/>
      <c r="Z163" s="72"/>
      <c r="AB163" s="151"/>
      <c r="AC163" s="151"/>
      <c r="AK163" s="72"/>
      <c r="AL163" s="72"/>
      <c r="AM163" s="102"/>
    </row>
    <row r="164" spans="2:39" ht="13.8" x14ac:dyDescent="0.25">
      <c r="B164" s="36"/>
      <c r="C164" s="36"/>
      <c r="D164" s="36" t="s">
        <v>1052</v>
      </c>
      <c r="E164" s="36"/>
      <c r="F164" s="123">
        <f>F163</f>
        <v>2018</v>
      </c>
      <c r="G164" s="129"/>
      <c r="H164" s="97">
        <v>1</v>
      </c>
      <c r="I164" s="72"/>
      <c r="J164" s="72"/>
      <c r="K164" s="72"/>
      <c r="L164" s="72"/>
      <c r="M164" s="72"/>
      <c r="S164" s="72"/>
      <c r="T164" s="72"/>
      <c r="U164" s="72"/>
      <c r="V164" s="72"/>
      <c r="W164" s="72"/>
      <c r="Y164" s="96"/>
      <c r="Z164" s="72"/>
      <c r="AB164" s="151"/>
      <c r="AC164" s="151"/>
      <c r="AK164" s="72"/>
      <c r="AL164" s="72"/>
      <c r="AM164" s="102"/>
    </row>
    <row r="165" spans="2:39" ht="13.8" x14ac:dyDescent="0.25">
      <c r="B165" s="67"/>
      <c r="C165" s="67"/>
      <c r="D165" s="131"/>
      <c r="E165" s="131" t="s">
        <v>429</v>
      </c>
      <c r="F165" s="132">
        <f>F162</f>
        <v>2018</v>
      </c>
      <c r="G165" s="133"/>
      <c r="H165" s="98"/>
      <c r="I165" s="98"/>
      <c r="J165" s="98"/>
      <c r="K165" s="98"/>
      <c r="L165" s="72"/>
      <c r="M165" s="102"/>
      <c r="R165" s="72"/>
      <c r="S165" s="72"/>
      <c r="U165" s="96"/>
      <c r="AB165" s="151"/>
      <c r="AC165" s="151"/>
      <c r="AK165" s="72"/>
      <c r="AL165" s="72"/>
      <c r="AM165" s="102"/>
    </row>
    <row r="166" spans="2:39" ht="13.8" x14ac:dyDescent="0.25">
      <c r="B166" s="60" t="str">
        <f>S95</f>
        <v>INDCEMDRY_N_IM</v>
      </c>
      <c r="C166" s="60" t="str">
        <f>T95</f>
        <v>Cement Production Dry process_N_IM</v>
      </c>
      <c r="D166" s="36" t="str">
        <f>D162</f>
        <v>INDELC</v>
      </c>
      <c r="E166" s="36"/>
      <c r="F166" s="123">
        <f>G166</f>
        <v>2025</v>
      </c>
      <c r="G166" s="124">
        <f>G162+7</f>
        <v>2025</v>
      </c>
      <c r="H166" s="125">
        <f>H162*$N$166</f>
        <v>4.8500000000000001E-2</v>
      </c>
      <c r="I166" s="299">
        <v>352.83333610211253</v>
      </c>
      <c r="J166" s="127"/>
      <c r="K166" s="127">
        <v>30</v>
      </c>
      <c r="L166" s="72"/>
      <c r="M166" s="102"/>
      <c r="N166" s="321">
        <v>0.97</v>
      </c>
      <c r="R166" s="72"/>
      <c r="S166" s="72"/>
      <c r="U166" s="96"/>
      <c r="AB166" s="151"/>
      <c r="AC166" s="151"/>
      <c r="AK166" s="72"/>
      <c r="AL166" s="72"/>
      <c r="AM166" s="102"/>
    </row>
    <row r="167" spans="2:39" ht="13.8" x14ac:dyDescent="0.25">
      <c r="B167" s="36"/>
      <c r="C167" s="36"/>
      <c r="D167" s="36" t="str">
        <f>D163</f>
        <v>INDCEMPRC</v>
      </c>
      <c r="E167" s="36"/>
      <c r="F167" s="123">
        <f>F166</f>
        <v>2025</v>
      </c>
      <c r="G167" s="129"/>
      <c r="H167" s="97">
        <f>H163*$N$166</f>
        <v>1.4646999999999999</v>
      </c>
      <c r="I167" s="72"/>
      <c r="J167" s="72"/>
      <c r="K167" s="72"/>
      <c r="L167" s="72"/>
      <c r="M167" s="102"/>
      <c r="R167" s="72"/>
      <c r="S167" s="72"/>
      <c r="U167" s="96"/>
      <c r="AK167" s="72"/>
      <c r="AL167" s="72"/>
      <c r="AM167" s="102"/>
    </row>
    <row r="168" spans="2:39" ht="13.8" x14ac:dyDescent="0.25">
      <c r="B168" s="36"/>
      <c r="C168" s="36"/>
      <c r="D168" s="36" t="s">
        <v>1052</v>
      </c>
      <c r="E168" s="36"/>
      <c r="F168" s="123">
        <f>F167</f>
        <v>2025</v>
      </c>
      <c r="G168" s="129"/>
      <c r="H168" s="97">
        <f>H164</f>
        <v>1</v>
      </c>
      <c r="I168" s="72"/>
      <c r="J168" s="72"/>
      <c r="K168" s="72"/>
      <c r="L168" s="72"/>
      <c r="M168" s="102"/>
      <c r="R168" s="72"/>
      <c r="S168" s="72"/>
      <c r="U168" s="96"/>
      <c r="AK168" s="72"/>
      <c r="AL168" s="72"/>
      <c r="AM168" s="102"/>
    </row>
    <row r="169" spans="2:39" ht="17.399999999999999" x14ac:dyDescent="0.3">
      <c r="B169" s="67"/>
      <c r="C169" s="67"/>
      <c r="D169" s="131"/>
      <c r="E169" s="131" t="str">
        <f>E165</f>
        <v>MATCNK</v>
      </c>
      <c r="F169" s="132">
        <f>F166</f>
        <v>2025</v>
      </c>
      <c r="G169" s="133"/>
      <c r="H169" s="149"/>
      <c r="I169" s="98"/>
      <c r="J169" s="98"/>
      <c r="K169" s="98"/>
      <c r="L169" s="72"/>
      <c r="M169" s="102"/>
      <c r="N169" s="321">
        <v>0.95</v>
      </c>
      <c r="Q169" s="170"/>
      <c r="R169" s="72"/>
      <c r="S169" s="72"/>
      <c r="U169" s="96"/>
    </row>
    <row r="170" spans="2:39" ht="13.8" x14ac:dyDescent="0.25">
      <c r="B170" s="60" t="str">
        <f>S96</f>
        <v>INDCEMDRY_N_AD</v>
      </c>
      <c r="C170" s="60" t="str">
        <f>T96</f>
        <v>Cement Production Dry process_N_AD</v>
      </c>
      <c r="D170" s="36" t="str">
        <f>D166</f>
        <v>INDELC</v>
      </c>
      <c r="E170" s="36"/>
      <c r="F170" s="123">
        <f>G170</f>
        <v>2035</v>
      </c>
      <c r="G170" s="124">
        <f>G166+10</f>
        <v>2035</v>
      </c>
      <c r="H170" s="97">
        <f>H162*$N$169</f>
        <v>4.7500000000000001E-2</v>
      </c>
      <c r="I170" s="299">
        <v>675.86666114077877</v>
      </c>
      <c r="J170" s="127"/>
      <c r="K170" s="127">
        <v>30</v>
      </c>
      <c r="M170" s="102"/>
      <c r="Q170" s="72"/>
      <c r="R170" s="72"/>
      <c r="S170" s="72"/>
      <c r="AB170" s="72"/>
      <c r="AC170" s="72"/>
    </row>
    <row r="171" spans="2:39" ht="13.8" x14ac:dyDescent="0.25">
      <c r="B171" s="36"/>
      <c r="C171" s="128"/>
      <c r="D171" s="36" t="str">
        <f>D167</f>
        <v>INDCEMPRC</v>
      </c>
      <c r="E171" s="36"/>
      <c r="F171" s="123">
        <f>F170</f>
        <v>2035</v>
      </c>
      <c r="G171" s="129"/>
      <c r="H171" s="97">
        <f>H163*$N$169</f>
        <v>1.4344999999999999</v>
      </c>
      <c r="I171" s="72"/>
      <c r="J171" s="72"/>
      <c r="K171" s="72"/>
      <c r="M171" s="101"/>
      <c r="Q171" s="72"/>
    </row>
    <row r="172" spans="2:39" ht="13.8" x14ac:dyDescent="0.25">
      <c r="B172" s="36"/>
      <c r="C172" s="128"/>
      <c r="D172" s="36" t="s">
        <v>1052</v>
      </c>
      <c r="E172" s="36"/>
      <c r="F172" s="123">
        <f>F171</f>
        <v>2035</v>
      </c>
      <c r="G172" s="129"/>
      <c r="H172" s="97">
        <f>H168</f>
        <v>1</v>
      </c>
      <c r="I172" s="72"/>
      <c r="J172" s="72"/>
      <c r="K172" s="72"/>
      <c r="M172" s="101"/>
      <c r="Q172" s="72"/>
    </row>
    <row r="173" spans="2:39" ht="17.399999999999999" x14ac:dyDescent="0.3">
      <c r="B173" s="67"/>
      <c r="C173" s="131"/>
      <c r="D173" s="131"/>
      <c r="E173" s="131" t="str">
        <f>E169</f>
        <v>MATCNK</v>
      </c>
      <c r="F173" s="132">
        <f>F170</f>
        <v>2035</v>
      </c>
      <c r="G173" s="133"/>
      <c r="H173" s="98"/>
      <c r="I173" s="98"/>
      <c r="J173" s="98"/>
      <c r="K173" s="98"/>
      <c r="R173" s="170"/>
      <c r="S173" s="72"/>
    </row>
    <row r="174" spans="2:39" ht="13.8" x14ac:dyDescent="0.25">
      <c r="R174" s="102"/>
      <c r="S174" s="72"/>
      <c r="AA174" s="105"/>
      <c r="AD174" s="72"/>
      <c r="AE174" s="72"/>
    </row>
    <row r="175" spans="2:39" ht="13.8" x14ac:dyDescent="0.25">
      <c r="R175" s="102"/>
      <c r="S175" s="72"/>
      <c r="AB175" s="150"/>
      <c r="AC175" s="150"/>
      <c r="AD175" s="150"/>
    </row>
    <row r="176" spans="2:39" ht="13.8" x14ac:dyDescent="0.25">
      <c r="AB176" s="152"/>
      <c r="AC176" s="152"/>
      <c r="AD176" s="152"/>
      <c r="AF176" s="120"/>
      <c r="AG176" s="120"/>
      <c r="AH176" s="120"/>
    </row>
    <row r="177" spans="2:34" ht="13.8" x14ac:dyDescent="0.25">
      <c r="B177" s="37"/>
      <c r="C177" s="37"/>
      <c r="D177" s="37"/>
      <c r="E177" s="136" t="s">
        <v>295</v>
      </c>
      <c r="F177" s="137" t="s">
        <v>0</v>
      </c>
      <c r="G177" s="138" t="s">
        <v>295</v>
      </c>
      <c r="H177" s="138" t="s">
        <v>295</v>
      </c>
      <c r="I177" s="138" t="s">
        <v>295</v>
      </c>
      <c r="J177" s="37"/>
      <c r="K177" s="37"/>
      <c r="L177" s="72"/>
      <c r="R177" s="154"/>
      <c r="S177" s="114"/>
      <c r="T177" s="114"/>
      <c r="U177" s="155"/>
      <c r="V177" s="155"/>
      <c r="W177" s="155"/>
      <c r="X177" s="155"/>
      <c r="Y177" s="72"/>
      <c r="Z177" s="72"/>
      <c r="AA177" s="72"/>
      <c r="AB177" s="152"/>
      <c r="AC177" s="152"/>
      <c r="AD177" s="152"/>
    </row>
    <row r="178" spans="2:34" ht="13.8" x14ac:dyDescent="0.25">
      <c r="B178" s="45" t="s">
        <v>1</v>
      </c>
      <c r="C178" s="45" t="s">
        <v>227</v>
      </c>
      <c r="D178" s="45" t="s">
        <v>3</v>
      </c>
      <c r="E178" s="45" t="s">
        <v>4</v>
      </c>
      <c r="F178" s="46" t="s">
        <v>233</v>
      </c>
      <c r="G178" s="45" t="s">
        <v>14</v>
      </c>
      <c r="H178" s="139" t="s">
        <v>16</v>
      </c>
      <c r="I178" s="79" t="s">
        <v>36</v>
      </c>
      <c r="J178" s="49" t="s">
        <v>5</v>
      </c>
      <c r="K178" s="49" t="s">
        <v>48</v>
      </c>
      <c r="L178" s="46" t="s">
        <v>297</v>
      </c>
      <c r="R178" s="156"/>
      <c r="S178" s="156"/>
      <c r="T178" s="157"/>
      <c r="U178" s="150"/>
      <c r="V178" s="150"/>
      <c r="W178" s="150"/>
      <c r="X178" s="150"/>
      <c r="Y178" s="150"/>
      <c r="Z178" s="150"/>
      <c r="AA178" s="150"/>
      <c r="AB178" s="168"/>
      <c r="AC178" s="168"/>
      <c r="AD178" s="96"/>
    </row>
    <row r="179" spans="2:34" ht="14.4" thickBot="1" x14ac:dyDescent="0.3">
      <c r="B179" s="54" t="s">
        <v>280</v>
      </c>
      <c r="C179" s="54" t="s">
        <v>28</v>
      </c>
      <c r="D179" s="54" t="s">
        <v>32</v>
      </c>
      <c r="E179" s="54" t="s">
        <v>33</v>
      </c>
      <c r="F179" s="54"/>
      <c r="G179" s="84" t="s">
        <v>35</v>
      </c>
      <c r="H179" s="84"/>
      <c r="I179" s="84" t="s">
        <v>37</v>
      </c>
      <c r="J179" s="54" t="s">
        <v>38</v>
      </c>
      <c r="K179" s="54" t="s">
        <v>218</v>
      </c>
      <c r="L179" s="54"/>
      <c r="R179" s="152"/>
      <c r="S179" s="152"/>
      <c r="T179" s="101"/>
      <c r="U179" s="152"/>
      <c r="V179" s="152"/>
      <c r="W179" s="152"/>
      <c r="X179" s="152"/>
      <c r="Y179" s="152"/>
      <c r="Z179" s="152"/>
      <c r="AA179" s="152"/>
      <c r="AB179" s="168"/>
      <c r="AC179" s="168"/>
      <c r="AD179" s="96"/>
    </row>
    <row r="180" spans="2:34" ht="13.8" x14ac:dyDescent="0.25">
      <c r="B180" s="89" t="s">
        <v>281</v>
      </c>
      <c r="C180" s="90"/>
      <c r="D180" s="90"/>
      <c r="E180" s="90"/>
      <c r="F180" s="90"/>
      <c r="G180" s="90"/>
      <c r="H180" s="90"/>
      <c r="I180" s="90" t="s">
        <v>448</v>
      </c>
      <c r="J180" s="90" t="s">
        <v>448</v>
      </c>
      <c r="K180" s="90" t="s">
        <v>40</v>
      </c>
      <c r="L180" s="90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68"/>
      <c r="AC180" s="168"/>
      <c r="AD180" s="96"/>
    </row>
    <row r="181" spans="2:34" ht="13.8" x14ac:dyDescent="0.25">
      <c r="B181" s="37" t="str">
        <f t="shared" ref="B181:B198" si="30">S97</f>
        <v>INDCEMHPRCOASUB_N_ST</v>
      </c>
      <c r="C181" s="37" t="str">
        <f t="shared" ref="C181:C198" si="31">T97</f>
        <v>Process Heat Cement - Sub-bituminous_N_ST</v>
      </c>
      <c r="D181" s="72" t="s">
        <v>426</v>
      </c>
      <c r="E181" s="72" t="s">
        <v>291</v>
      </c>
      <c r="F181" s="94">
        <f>G181</f>
        <v>2018</v>
      </c>
      <c r="G181" s="72">
        <v>2018</v>
      </c>
      <c r="H181" s="140">
        <f>N181</f>
        <v>0.6</v>
      </c>
      <c r="I181" s="95">
        <v>222.22222222222223</v>
      </c>
      <c r="J181" s="95">
        <f>(I181*0.05)*(1/0.9)</f>
        <v>12.345679012345681</v>
      </c>
      <c r="K181" s="141">
        <v>35</v>
      </c>
      <c r="L181" s="141">
        <v>0.8</v>
      </c>
      <c r="N181" s="269">
        <v>0.6</v>
      </c>
      <c r="O181" s="102"/>
      <c r="R181" s="72"/>
      <c r="S181" s="105"/>
      <c r="T181" s="105"/>
      <c r="U181" s="97"/>
      <c r="V181" s="102"/>
      <c r="W181" s="102"/>
      <c r="X181" s="72"/>
      <c r="Y181" s="168"/>
      <c r="Z181" s="102"/>
      <c r="AA181" s="102"/>
      <c r="AB181" s="168"/>
      <c r="AC181" s="168"/>
      <c r="AD181" s="96"/>
      <c r="AF181" s="72"/>
      <c r="AG181" s="72"/>
      <c r="AH181" s="72"/>
    </row>
    <row r="182" spans="2:34" ht="13.8" x14ac:dyDescent="0.25">
      <c r="B182" s="37" t="str">
        <f t="shared" si="30"/>
        <v>INDCEMHPRCOASUB_N_IM</v>
      </c>
      <c r="C182" s="37" t="str">
        <f t="shared" si="31"/>
        <v>Process Heat Cement - Sub-bituminous_N_IM</v>
      </c>
      <c r="D182" s="72" t="str">
        <f>D181</f>
        <v>INDCOASUB</v>
      </c>
      <c r="E182" s="72" t="str">
        <f>E181</f>
        <v>INDCEMPRC</v>
      </c>
      <c r="F182" s="94">
        <f t="shared" ref="F182:F183" si="32">G182</f>
        <v>2025</v>
      </c>
      <c r="G182" s="72">
        <f>G181+7</f>
        <v>2025</v>
      </c>
      <c r="H182" s="102">
        <f>+H181*1.2</f>
        <v>0.72</v>
      </c>
      <c r="I182" s="95">
        <v>407.09167177780944</v>
      </c>
      <c r="J182" s="95">
        <f t="shared" ref="J182:J198" si="33">(I182*0.05)*(1/0.9)</f>
        <v>22.616203987656082</v>
      </c>
      <c r="K182" s="141">
        <v>35</v>
      </c>
      <c r="L182" s="141">
        <v>0.8</v>
      </c>
      <c r="N182" s="269">
        <v>0.6</v>
      </c>
      <c r="R182" s="72"/>
      <c r="S182" s="72"/>
      <c r="T182" s="102"/>
      <c r="U182" s="102"/>
      <c r="V182" s="102"/>
      <c r="W182" s="102"/>
      <c r="X182" s="72"/>
      <c r="Y182" s="168"/>
      <c r="Z182" s="102"/>
      <c r="AA182" s="102"/>
      <c r="AB182" s="168"/>
      <c r="AC182" s="168"/>
      <c r="AD182" s="96"/>
    </row>
    <row r="183" spans="2:34" ht="13.8" x14ac:dyDescent="0.25">
      <c r="B183" s="98" t="str">
        <f t="shared" si="30"/>
        <v>INDCEMHPRCOASUB_N_AD</v>
      </c>
      <c r="C183" s="98" t="str">
        <f t="shared" si="31"/>
        <v>Process Heat Cement - Sub-bituminous_N_AD</v>
      </c>
      <c r="D183" s="98" t="str">
        <f>D182</f>
        <v>INDCOASUB</v>
      </c>
      <c r="E183" s="98" t="str">
        <f>E181</f>
        <v>INDCEMPRC</v>
      </c>
      <c r="F183" s="99">
        <f t="shared" si="32"/>
        <v>2035</v>
      </c>
      <c r="G183" s="98">
        <f>G182+10</f>
        <v>2035</v>
      </c>
      <c r="H183" s="143">
        <f>H181*1.3</f>
        <v>0.78</v>
      </c>
      <c r="I183" s="144">
        <v>671.18069838494944</v>
      </c>
      <c r="J183" s="144">
        <f t="shared" si="33"/>
        <v>37.287816576941637</v>
      </c>
      <c r="K183" s="145">
        <v>35</v>
      </c>
      <c r="L183" s="145">
        <v>0.8</v>
      </c>
      <c r="N183" s="269">
        <v>0.6</v>
      </c>
      <c r="R183" s="72"/>
      <c r="S183" s="72"/>
      <c r="T183" s="102"/>
      <c r="U183" s="102"/>
      <c r="V183" s="102"/>
      <c r="W183" s="102"/>
      <c r="X183" s="72"/>
      <c r="Y183" s="168"/>
      <c r="Z183" s="102"/>
      <c r="AA183" s="102"/>
      <c r="AB183" s="168"/>
      <c r="AC183" s="168"/>
      <c r="AD183" s="96"/>
    </row>
    <row r="184" spans="2:34" ht="13.8" x14ac:dyDescent="0.25">
      <c r="B184" s="37" t="str">
        <f t="shared" si="30"/>
        <v>INDCEMHPRCOABIC_N_ST</v>
      </c>
      <c r="C184" s="37" t="str">
        <f t="shared" si="31"/>
        <v>Process Heat Cement - Bitouminous_N_ST</v>
      </c>
      <c r="D184" s="72" t="s">
        <v>141</v>
      </c>
      <c r="E184" s="72" t="s">
        <v>291</v>
      </c>
      <c r="F184" s="94">
        <f>G184</f>
        <v>2018</v>
      </c>
      <c r="G184" s="72">
        <v>2018</v>
      </c>
      <c r="H184" s="140">
        <f>N182</f>
        <v>0.6</v>
      </c>
      <c r="I184" s="95">
        <v>222.22222222222223</v>
      </c>
      <c r="J184" s="95">
        <f t="shared" si="33"/>
        <v>12.345679012345681</v>
      </c>
      <c r="K184" s="141">
        <v>35</v>
      </c>
      <c r="L184" s="141">
        <v>0.8</v>
      </c>
      <c r="N184" s="269">
        <v>0.65</v>
      </c>
      <c r="O184" s="102"/>
      <c r="R184" s="72"/>
      <c r="S184" s="72"/>
      <c r="T184" s="102"/>
      <c r="U184" s="102"/>
      <c r="V184" s="102"/>
      <c r="W184" s="102"/>
      <c r="X184" s="72"/>
      <c r="Y184" s="168"/>
      <c r="Z184" s="102"/>
      <c r="AA184" s="102"/>
      <c r="AB184" s="168"/>
      <c r="AC184" s="168"/>
      <c r="AD184" s="96"/>
    </row>
    <row r="185" spans="2:34" ht="13.8" x14ac:dyDescent="0.25">
      <c r="B185" s="37" t="str">
        <f t="shared" si="30"/>
        <v>INDCEMHPRCOABIC_N_IM</v>
      </c>
      <c r="C185" s="37" t="str">
        <f t="shared" si="31"/>
        <v>Process Heat Cement - Bitouminous_N_IM</v>
      </c>
      <c r="D185" s="72" t="str">
        <f>D184</f>
        <v>INDCOABIC</v>
      </c>
      <c r="E185" s="72" t="str">
        <f>E184</f>
        <v>INDCEMPRC</v>
      </c>
      <c r="F185" s="94">
        <f t="shared" ref="F185:F186" si="34">G185</f>
        <v>2025</v>
      </c>
      <c r="G185" s="72">
        <f>G184+7</f>
        <v>2025</v>
      </c>
      <c r="H185" s="102">
        <f>+H184*1.2</f>
        <v>0.72</v>
      </c>
      <c r="I185" s="95">
        <v>407.09167177780944</v>
      </c>
      <c r="J185" s="95">
        <f t="shared" si="33"/>
        <v>22.616203987656082</v>
      </c>
      <c r="K185" s="141">
        <v>35</v>
      </c>
      <c r="L185" s="141">
        <v>0.8</v>
      </c>
      <c r="R185" s="72"/>
      <c r="S185" s="72"/>
      <c r="T185" s="102"/>
      <c r="U185" s="102"/>
      <c r="V185" s="102"/>
      <c r="W185" s="102"/>
      <c r="X185" s="72"/>
      <c r="Y185" s="168"/>
      <c r="Z185" s="102"/>
      <c r="AA185" s="102"/>
      <c r="AB185" s="168"/>
      <c r="AC185" s="168"/>
      <c r="AD185" s="96"/>
    </row>
    <row r="186" spans="2:34" ht="13.8" x14ac:dyDescent="0.25">
      <c r="B186" s="98" t="str">
        <f t="shared" si="30"/>
        <v>INDCEMHPRCOABIC_N_AD</v>
      </c>
      <c r="C186" s="98" t="str">
        <f t="shared" si="31"/>
        <v>Process Heat Cement - Bitouminous_N_AD</v>
      </c>
      <c r="D186" s="98" t="str">
        <f>D185</f>
        <v>INDCOABIC</v>
      </c>
      <c r="E186" s="98" t="str">
        <f>E184</f>
        <v>INDCEMPRC</v>
      </c>
      <c r="F186" s="99">
        <f t="shared" si="34"/>
        <v>2035</v>
      </c>
      <c r="G186" s="98">
        <f>G185+10</f>
        <v>2035</v>
      </c>
      <c r="H186" s="143">
        <f>H184*1.3</f>
        <v>0.78</v>
      </c>
      <c r="I186" s="144">
        <v>671.18069838494944</v>
      </c>
      <c r="J186" s="144">
        <f t="shared" si="33"/>
        <v>37.287816576941637</v>
      </c>
      <c r="K186" s="145">
        <v>35</v>
      </c>
      <c r="L186" s="145">
        <v>0.8</v>
      </c>
      <c r="R186" s="72"/>
      <c r="S186" s="72"/>
      <c r="T186" s="102"/>
      <c r="U186" s="102"/>
      <c r="V186" s="102"/>
      <c r="W186" s="102"/>
      <c r="X186" s="72"/>
      <c r="Y186" s="168"/>
      <c r="Z186" s="102"/>
      <c r="AA186" s="102"/>
      <c r="AB186" s="168"/>
      <c r="AC186" s="168"/>
      <c r="AD186" s="96"/>
    </row>
    <row r="187" spans="2:34" ht="13.8" x14ac:dyDescent="0.25">
      <c r="B187" s="37" t="str">
        <f t="shared" si="30"/>
        <v>INDCEMHPRCOABCO_N_ST</v>
      </c>
      <c r="C187" s="37" t="str">
        <f t="shared" si="31"/>
        <v>Process Heat Cement - BrownCoal_N_ST</v>
      </c>
      <c r="D187" s="72" t="s">
        <v>430</v>
      </c>
      <c r="E187" s="72" t="s">
        <v>291</v>
      </c>
      <c r="F187" s="94">
        <f>G187</f>
        <v>2018</v>
      </c>
      <c r="G187" s="72">
        <v>2018</v>
      </c>
      <c r="H187" s="140">
        <f>N183</f>
        <v>0.6</v>
      </c>
      <c r="I187" s="95">
        <v>222.22222222222223</v>
      </c>
      <c r="J187" s="95">
        <f t="shared" si="33"/>
        <v>12.345679012345681</v>
      </c>
      <c r="K187" s="141">
        <v>35</v>
      </c>
      <c r="L187" s="141">
        <v>0.8</v>
      </c>
      <c r="O187" s="102"/>
      <c r="R187" s="72"/>
      <c r="S187" s="72"/>
      <c r="T187" s="102"/>
      <c r="U187" s="102"/>
      <c r="V187" s="102"/>
      <c r="W187" s="102"/>
      <c r="X187" s="72"/>
      <c r="Y187" s="168"/>
      <c r="Z187" s="102"/>
      <c r="AA187" s="102"/>
      <c r="AB187" s="168"/>
      <c r="AC187" s="168"/>
      <c r="AD187" s="96"/>
    </row>
    <row r="188" spans="2:34" ht="13.8" x14ac:dyDescent="0.25">
      <c r="B188" s="37" t="str">
        <f t="shared" si="30"/>
        <v>INDCEMHPRCOABCO_N_IM</v>
      </c>
      <c r="C188" s="37" t="str">
        <f t="shared" si="31"/>
        <v>Process Heat Cement - BrownCoal_N_IM</v>
      </c>
      <c r="D188" s="72" t="str">
        <f>D187</f>
        <v>INDCOABCO</v>
      </c>
      <c r="E188" s="72" t="str">
        <f>E187</f>
        <v>INDCEMPRC</v>
      </c>
      <c r="F188" s="94">
        <f t="shared" ref="F188:F189" si="35">G188</f>
        <v>2025</v>
      </c>
      <c r="G188" s="72">
        <f>G187+7</f>
        <v>2025</v>
      </c>
      <c r="H188" s="102">
        <f>+H187*1.2</f>
        <v>0.72</v>
      </c>
      <c r="I188" s="95">
        <v>407.09167177780944</v>
      </c>
      <c r="J188" s="95">
        <f t="shared" si="33"/>
        <v>22.616203987656082</v>
      </c>
      <c r="K188" s="141">
        <v>35</v>
      </c>
      <c r="L188" s="141">
        <v>0.8</v>
      </c>
      <c r="Q188" s="72"/>
      <c r="R188" s="72"/>
      <c r="S188" s="72"/>
      <c r="T188" s="102"/>
      <c r="U188" s="102"/>
      <c r="V188" s="102"/>
      <c r="W188" s="102"/>
      <c r="X188" s="72"/>
      <c r="Y188" s="168"/>
      <c r="Z188" s="102"/>
      <c r="AA188" s="102"/>
      <c r="AB188" s="168"/>
      <c r="AC188" s="168"/>
      <c r="AD188" s="96"/>
    </row>
    <row r="189" spans="2:34" ht="13.8" x14ac:dyDescent="0.25">
      <c r="B189" s="98" t="str">
        <f t="shared" si="30"/>
        <v>INDCEMHPRCOABCO_N_AD</v>
      </c>
      <c r="C189" s="98" t="str">
        <f t="shared" si="31"/>
        <v>Process Heat Cement - BrownCoal_N_AD</v>
      </c>
      <c r="D189" s="98" t="str">
        <f>D188</f>
        <v>INDCOABCO</v>
      </c>
      <c r="E189" s="98" t="str">
        <f>E187</f>
        <v>INDCEMPRC</v>
      </c>
      <c r="F189" s="99">
        <f t="shared" si="35"/>
        <v>2035</v>
      </c>
      <c r="G189" s="98">
        <f>G188+10</f>
        <v>2035</v>
      </c>
      <c r="H189" s="143">
        <f>H187*1.3</f>
        <v>0.78</v>
      </c>
      <c r="I189" s="144">
        <v>671.18069838494944</v>
      </c>
      <c r="J189" s="144">
        <f t="shared" si="33"/>
        <v>37.287816576941637</v>
      </c>
      <c r="K189" s="145">
        <v>35</v>
      </c>
      <c r="L189" s="145">
        <v>0.8</v>
      </c>
      <c r="R189" s="72"/>
      <c r="S189" s="72"/>
      <c r="T189" s="102"/>
      <c r="U189" s="102"/>
      <c r="V189" s="102"/>
      <c r="W189" s="102"/>
      <c r="X189" s="72"/>
      <c r="Y189" s="168"/>
      <c r="Z189" s="102"/>
      <c r="AA189" s="102"/>
      <c r="AB189" s="168"/>
      <c r="AC189" s="168"/>
      <c r="AD189" s="96"/>
    </row>
    <row r="190" spans="2:34" ht="13.8" x14ac:dyDescent="0.25">
      <c r="B190" s="37" t="str">
        <f t="shared" si="30"/>
        <v>INDCEMHPROILDSL_N_ST</v>
      </c>
      <c r="C190" s="37" t="str">
        <f t="shared" si="31"/>
        <v>Process Heat Cement - DSL_N_ST</v>
      </c>
      <c r="D190" s="72" t="str">
        <f>D150</f>
        <v>INDOILDSL</v>
      </c>
      <c r="E190" s="72" t="s">
        <v>291</v>
      </c>
      <c r="F190" s="94">
        <f>G190</f>
        <v>2018</v>
      </c>
      <c r="G190" s="72">
        <v>2018</v>
      </c>
      <c r="H190" s="140">
        <f>N184</f>
        <v>0.65</v>
      </c>
      <c r="I190" s="95">
        <v>222.22222222222223</v>
      </c>
      <c r="J190" s="95">
        <f t="shared" si="33"/>
        <v>12.345679012345681</v>
      </c>
      <c r="K190" s="141">
        <v>35</v>
      </c>
      <c r="L190" s="141">
        <v>0.8</v>
      </c>
      <c r="O190" s="102"/>
      <c r="R190" s="72"/>
      <c r="S190" s="105"/>
      <c r="T190" s="105"/>
      <c r="U190" s="97"/>
      <c r="V190" s="102"/>
      <c r="W190" s="102"/>
      <c r="X190" s="72"/>
      <c r="Y190" s="168"/>
      <c r="Z190" s="102"/>
      <c r="AA190" s="102"/>
      <c r="AB190" s="168"/>
      <c r="AC190" s="168"/>
      <c r="AD190" s="96"/>
    </row>
    <row r="191" spans="2:34" ht="13.8" x14ac:dyDescent="0.25">
      <c r="B191" s="37" t="str">
        <f t="shared" si="30"/>
        <v>INDCEMHPROILDSL_N_IM</v>
      </c>
      <c r="C191" s="37" t="str">
        <f t="shared" si="31"/>
        <v>Process Heat Cement - DSL_N_IM</v>
      </c>
      <c r="D191" s="72" t="str">
        <f>D190</f>
        <v>INDOILDSL</v>
      </c>
      <c r="E191" s="72" t="str">
        <f>E190</f>
        <v>INDCEMPRC</v>
      </c>
      <c r="F191" s="94">
        <f t="shared" ref="F191:F192" si="36">G191</f>
        <v>2025</v>
      </c>
      <c r="G191" s="72">
        <f>G190+7</f>
        <v>2025</v>
      </c>
      <c r="H191" s="102">
        <f>+H190*1.2</f>
        <v>0.78</v>
      </c>
      <c r="I191" s="95">
        <v>407.09167177780944</v>
      </c>
      <c r="J191" s="95">
        <f t="shared" si="33"/>
        <v>22.616203987656082</v>
      </c>
      <c r="K191" s="141">
        <v>35</v>
      </c>
      <c r="L191" s="141">
        <v>0.8</v>
      </c>
      <c r="R191" s="72"/>
      <c r="S191" s="72"/>
      <c r="T191" s="102"/>
      <c r="U191" s="102"/>
      <c r="V191" s="102"/>
      <c r="W191" s="102"/>
      <c r="X191" s="72"/>
      <c r="Y191" s="168"/>
      <c r="Z191" s="102"/>
      <c r="AA191" s="102"/>
      <c r="AB191" s="168"/>
      <c r="AC191" s="168"/>
      <c r="AD191" s="96"/>
    </row>
    <row r="192" spans="2:34" ht="13.8" x14ac:dyDescent="0.25">
      <c r="B192" s="98" t="str">
        <f t="shared" si="30"/>
        <v>INDCEMHPROILDSL_N_AD</v>
      </c>
      <c r="C192" s="98" t="str">
        <f t="shared" si="31"/>
        <v>Process Heat Cement - DSL_N_AD</v>
      </c>
      <c r="D192" s="98" t="str">
        <f>D191</f>
        <v>INDOILDSL</v>
      </c>
      <c r="E192" s="98" t="str">
        <f>E190</f>
        <v>INDCEMPRC</v>
      </c>
      <c r="F192" s="99">
        <f t="shared" si="36"/>
        <v>2035</v>
      </c>
      <c r="G192" s="98">
        <f>G191+10</f>
        <v>2035</v>
      </c>
      <c r="H192" s="143">
        <f>H190*1.3</f>
        <v>0.84500000000000008</v>
      </c>
      <c r="I192" s="144">
        <v>671.18069838494944</v>
      </c>
      <c r="J192" s="144">
        <f t="shared" si="33"/>
        <v>37.287816576941637</v>
      </c>
      <c r="K192" s="145">
        <v>35</v>
      </c>
      <c r="L192" s="145">
        <v>0.8</v>
      </c>
      <c r="R192" s="72"/>
      <c r="S192" s="72"/>
      <c r="T192" s="102"/>
      <c r="U192" s="102"/>
      <c r="V192" s="102"/>
      <c r="W192" s="102"/>
      <c r="X192" s="72"/>
      <c r="Y192" s="168"/>
      <c r="Z192" s="102"/>
      <c r="AA192" s="102"/>
      <c r="AB192" s="168"/>
      <c r="AC192" s="168"/>
      <c r="AD192" s="96"/>
    </row>
    <row r="193" spans="2:30" ht="13.8" x14ac:dyDescent="0.25">
      <c r="B193" s="37" t="str">
        <f t="shared" si="30"/>
        <v>INDCEMHPRGASNAT_N_ST</v>
      </c>
      <c r="C193" s="37" t="str">
        <f t="shared" si="31"/>
        <v>Process Heat Cement - Natural gas_N_ST</v>
      </c>
      <c r="D193" s="72" t="str">
        <f>D151</f>
        <v>INDGASNAT</v>
      </c>
      <c r="E193" s="72" t="s">
        <v>291</v>
      </c>
      <c r="F193" s="94">
        <f>G193</f>
        <v>2018</v>
      </c>
      <c r="G193" s="72">
        <v>2018</v>
      </c>
      <c r="H193" s="140">
        <v>0.7</v>
      </c>
      <c r="I193" s="95">
        <v>222.22222222222223</v>
      </c>
      <c r="J193" s="95">
        <f t="shared" si="33"/>
        <v>12.345679012345681</v>
      </c>
      <c r="K193" s="141">
        <v>35</v>
      </c>
      <c r="L193" s="141">
        <v>0.8</v>
      </c>
      <c r="O193" s="102"/>
      <c r="R193" s="72"/>
      <c r="S193" s="72"/>
      <c r="T193" s="102"/>
      <c r="U193" s="102"/>
      <c r="V193" s="102"/>
      <c r="W193" s="102"/>
      <c r="X193" s="72"/>
      <c r="Y193" s="168"/>
      <c r="Z193" s="102"/>
      <c r="AA193" s="102"/>
      <c r="AB193" s="168"/>
      <c r="AC193" s="168"/>
      <c r="AD193" s="96"/>
    </row>
    <row r="194" spans="2:30" ht="13.8" x14ac:dyDescent="0.25">
      <c r="B194" s="37" t="str">
        <f t="shared" si="30"/>
        <v>INDCEMHPRGASNAT_N_IM</v>
      </c>
      <c r="C194" s="37" t="str">
        <f t="shared" si="31"/>
        <v>Process Heat Cement - Natural gas_N_IM</v>
      </c>
      <c r="D194" s="72" t="str">
        <f>D193</f>
        <v>INDGASNAT</v>
      </c>
      <c r="E194" s="72" t="str">
        <f>E193</f>
        <v>INDCEMPRC</v>
      </c>
      <c r="F194" s="94">
        <f t="shared" ref="F194:F195" si="37">G194</f>
        <v>2025</v>
      </c>
      <c r="G194" s="72">
        <f>G193+7</f>
        <v>2025</v>
      </c>
      <c r="H194" s="102">
        <f>+H193*1.2</f>
        <v>0.84</v>
      </c>
      <c r="I194" s="95">
        <v>407.09167177780944</v>
      </c>
      <c r="J194" s="95">
        <f t="shared" si="33"/>
        <v>22.616203987656082</v>
      </c>
      <c r="K194" s="141">
        <v>35</v>
      </c>
      <c r="L194" s="141">
        <v>0.8</v>
      </c>
      <c r="R194" s="72"/>
      <c r="S194" s="72"/>
      <c r="T194" s="102"/>
      <c r="U194" s="102"/>
      <c r="V194" s="102"/>
      <c r="W194" s="102"/>
      <c r="X194" s="72"/>
      <c r="Y194" s="168"/>
      <c r="Z194" s="102"/>
      <c r="AA194" s="102"/>
      <c r="AB194" s="168"/>
      <c r="AC194" s="168"/>
      <c r="AD194" s="96"/>
    </row>
    <row r="195" spans="2:30" ht="13.8" x14ac:dyDescent="0.25">
      <c r="B195" s="98" t="str">
        <f t="shared" si="30"/>
        <v>INDCEMHPRGASNAT_N_AD</v>
      </c>
      <c r="C195" s="98" t="str">
        <f t="shared" si="31"/>
        <v>Process Heat Cement - Natural gas_N_AD</v>
      </c>
      <c r="D195" s="98" t="str">
        <f>D194</f>
        <v>INDGASNAT</v>
      </c>
      <c r="E195" s="98" t="str">
        <f>E193</f>
        <v>INDCEMPRC</v>
      </c>
      <c r="F195" s="99">
        <f t="shared" si="37"/>
        <v>2035</v>
      </c>
      <c r="G195" s="98">
        <f>G194+10</f>
        <v>2035</v>
      </c>
      <c r="H195" s="143">
        <f>H193*1.3</f>
        <v>0.90999999999999992</v>
      </c>
      <c r="I195" s="144">
        <v>671.18069838494944</v>
      </c>
      <c r="J195" s="144">
        <f t="shared" si="33"/>
        <v>37.287816576941637</v>
      </c>
      <c r="K195" s="145">
        <v>35</v>
      </c>
      <c r="L195" s="145">
        <v>0.8</v>
      </c>
      <c r="R195" s="72"/>
      <c r="S195" s="72"/>
      <c r="T195" s="102"/>
      <c r="U195" s="102"/>
      <c r="V195" s="102"/>
      <c r="W195" s="102"/>
      <c r="X195" s="72"/>
      <c r="Y195" s="168"/>
      <c r="Z195" s="102"/>
      <c r="AA195" s="102"/>
      <c r="AB195" s="168"/>
      <c r="AC195" s="168"/>
      <c r="AD195" s="96"/>
    </row>
    <row r="196" spans="2:30" ht="13.8" x14ac:dyDescent="0.25">
      <c r="B196" s="37" t="str">
        <f t="shared" si="30"/>
        <v>INDCEMHPRELC_N_ST</v>
      </c>
      <c r="C196" s="37" t="str">
        <f t="shared" si="31"/>
        <v>Process Heat Cement - Electricity_N_ST</v>
      </c>
      <c r="D196" s="72" t="str">
        <f>D170</f>
        <v>INDELC</v>
      </c>
      <c r="E196" s="72" t="s">
        <v>291</v>
      </c>
      <c r="F196" s="94">
        <f>G196</f>
        <v>2018</v>
      </c>
      <c r="G196" s="72">
        <v>2018</v>
      </c>
      <c r="H196" s="322">
        <v>0.9</v>
      </c>
      <c r="I196" s="95">
        <v>222.22222222222223</v>
      </c>
      <c r="J196" s="95">
        <f t="shared" si="33"/>
        <v>12.345679012345681</v>
      </c>
      <c r="K196" s="141">
        <v>35</v>
      </c>
      <c r="L196" s="141">
        <v>0.8</v>
      </c>
      <c r="O196" s="102"/>
      <c r="R196" s="72"/>
      <c r="S196" s="72"/>
      <c r="T196" s="102"/>
      <c r="U196" s="102"/>
      <c r="V196" s="102"/>
      <c r="W196" s="102"/>
      <c r="X196" s="72"/>
      <c r="Y196" s="168"/>
      <c r="Z196" s="102"/>
      <c r="AA196" s="102"/>
      <c r="AB196" s="168"/>
      <c r="AC196" s="168"/>
      <c r="AD196" s="96"/>
    </row>
    <row r="197" spans="2:30" ht="13.8" x14ac:dyDescent="0.25">
      <c r="B197" s="37" t="str">
        <f t="shared" si="30"/>
        <v>INDCEMHPRELC_N_IM</v>
      </c>
      <c r="C197" s="37" t="str">
        <f t="shared" si="31"/>
        <v>Process Heat Cement - Electricity_N_IM</v>
      </c>
      <c r="D197" s="72" t="str">
        <f>D196</f>
        <v>INDELC</v>
      </c>
      <c r="E197" s="72" t="str">
        <f>E196</f>
        <v>INDCEMPRC</v>
      </c>
      <c r="F197" s="94">
        <f t="shared" ref="F197:F198" si="38">G197</f>
        <v>2025</v>
      </c>
      <c r="G197" s="72">
        <f>G196+7</f>
        <v>2025</v>
      </c>
      <c r="H197" s="97">
        <v>0.92</v>
      </c>
      <c r="I197" s="95">
        <v>407.09167177780944</v>
      </c>
      <c r="J197" s="95">
        <f t="shared" si="33"/>
        <v>22.616203987656082</v>
      </c>
      <c r="K197" s="141">
        <v>35</v>
      </c>
      <c r="L197" s="141">
        <v>0.8</v>
      </c>
      <c r="R197" s="72"/>
      <c r="S197" s="72"/>
      <c r="T197" s="102"/>
      <c r="U197" s="102"/>
      <c r="V197" s="102"/>
      <c r="W197" s="102"/>
      <c r="X197" s="72"/>
      <c r="Y197" s="168"/>
      <c r="Z197" s="102"/>
      <c r="AA197" s="102"/>
      <c r="AB197" s="168"/>
      <c r="AC197" s="168"/>
      <c r="AD197" s="96"/>
    </row>
    <row r="198" spans="2:30" ht="13.8" x14ac:dyDescent="0.25">
      <c r="B198" s="98" t="str">
        <f t="shared" si="30"/>
        <v>INDCEMHPRELC_N_AD</v>
      </c>
      <c r="C198" s="98" t="str">
        <f t="shared" si="31"/>
        <v>Process Heat Cement - Electricity_N_AD</v>
      </c>
      <c r="D198" s="98" t="str">
        <f>D197</f>
        <v>INDELC</v>
      </c>
      <c r="E198" s="98" t="str">
        <f>E196</f>
        <v>INDCEMPRC</v>
      </c>
      <c r="F198" s="99">
        <f t="shared" si="38"/>
        <v>2035</v>
      </c>
      <c r="G198" s="98">
        <f>G197+10</f>
        <v>2035</v>
      </c>
      <c r="H198" s="167">
        <v>0.95</v>
      </c>
      <c r="I198" s="144">
        <v>671.18069838494944</v>
      </c>
      <c r="J198" s="144">
        <f t="shared" si="33"/>
        <v>37.287816576941637</v>
      </c>
      <c r="K198" s="145">
        <v>35</v>
      </c>
      <c r="L198" s="145">
        <v>0.8</v>
      </c>
      <c r="R198" s="72"/>
      <c r="S198" s="72"/>
      <c r="T198" s="102"/>
      <c r="U198" s="102"/>
      <c r="V198" s="102"/>
      <c r="W198" s="102"/>
      <c r="X198" s="72"/>
      <c r="Y198" s="168"/>
      <c r="Z198" s="102"/>
      <c r="AA198" s="102"/>
      <c r="AB198" s="168"/>
      <c r="AC198" s="168"/>
      <c r="AD198" s="96"/>
    </row>
    <row r="199" spans="2:30" ht="14.4" x14ac:dyDescent="0.3">
      <c r="B199" s="160" t="s">
        <v>1078</v>
      </c>
      <c r="C199" s="160" t="s">
        <v>1079</v>
      </c>
      <c r="D199" s="160" t="s">
        <v>1062</v>
      </c>
      <c r="E199" s="160" t="str">
        <f>E198</f>
        <v>INDCEMPRC</v>
      </c>
      <c r="F199" s="161">
        <v>2035</v>
      </c>
      <c r="G199" s="160">
        <v>2035</v>
      </c>
      <c r="H199" s="162">
        <f>H195</f>
        <v>0.90999999999999992</v>
      </c>
      <c r="I199" s="163">
        <f>I189*1.5</f>
        <v>1006.7710475774242</v>
      </c>
      <c r="J199" s="163">
        <f>J189*1.5</f>
        <v>55.931724865412455</v>
      </c>
      <c r="K199" s="164">
        <v>30</v>
      </c>
      <c r="L199" s="164">
        <v>0.8</v>
      </c>
      <c r="R199" s="72"/>
      <c r="S199" s="105"/>
      <c r="T199" s="105"/>
      <c r="U199" s="97"/>
      <c r="V199" s="102"/>
      <c r="W199" s="102"/>
      <c r="X199" s="72"/>
      <c r="Y199" s="168"/>
      <c r="Z199" s="102"/>
      <c r="AA199" s="102"/>
      <c r="AB199" s="168"/>
      <c r="AC199" s="168"/>
      <c r="AD199" s="96"/>
    </row>
    <row r="200" spans="2:30" ht="13.8" x14ac:dyDescent="0.25">
      <c r="R200" s="72"/>
      <c r="S200" s="72"/>
      <c r="T200" s="102"/>
      <c r="U200" s="102"/>
      <c r="V200" s="102"/>
      <c r="W200" s="102"/>
      <c r="X200" s="72"/>
      <c r="Y200" s="168"/>
      <c r="Z200" s="102"/>
      <c r="AA200" s="102"/>
      <c r="AB200" s="168"/>
      <c r="AC200" s="168"/>
      <c r="AD200" s="96"/>
    </row>
    <row r="201" spans="2:30" ht="13.8" x14ac:dyDescent="0.25">
      <c r="R201" s="72"/>
      <c r="S201" s="72"/>
      <c r="T201" s="102"/>
      <c r="U201" s="102"/>
      <c r="V201" s="102"/>
      <c r="W201" s="102"/>
      <c r="X201" s="72"/>
      <c r="Y201" s="168"/>
      <c r="Z201" s="102"/>
      <c r="AA201" s="102"/>
      <c r="AB201" s="168"/>
      <c r="AC201" s="168"/>
      <c r="AD201" s="96"/>
    </row>
    <row r="202" spans="2:30" ht="13.8" x14ac:dyDescent="0.25">
      <c r="R202" s="72"/>
      <c r="S202" s="72"/>
      <c r="T202" s="102"/>
      <c r="U202" s="102"/>
      <c r="V202" s="102"/>
      <c r="W202" s="102"/>
      <c r="X202" s="72"/>
      <c r="Y202" s="168"/>
      <c r="Z202" s="102"/>
      <c r="AA202" s="102"/>
      <c r="AB202" s="168"/>
      <c r="AC202" s="168"/>
      <c r="AD202" s="96"/>
    </row>
    <row r="203" spans="2:30" ht="13.8" x14ac:dyDescent="0.25">
      <c r="R203" s="72"/>
      <c r="S203" s="72"/>
      <c r="T203" s="102"/>
      <c r="U203" s="102"/>
      <c r="V203" s="102"/>
      <c r="W203" s="102"/>
      <c r="X203" s="72"/>
      <c r="Y203" s="168"/>
      <c r="Z203" s="102"/>
      <c r="AA203" s="102"/>
      <c r="AB203" s="168"/>
      <c r="AC203" s="168"/>
      <c r="AD203" s="96"/>
    </row>
    <row r="204" spans="2:30" ht="13.8" x14ac:dyDescent="0.25">
      <c r="R204" s="72"/>
      <c r="S204" s="72"/>
      <c r="T204" s="102"/>
      <c r="U204" s="102"/>
      <c r="V204" s="102"/>
      <c r="W204" s="102"/>
      <c r="X204" s="72"/>
      <c r="Y204" s="168"/>
      <c r="Z204" s="102"/>
      <c r="AA204" s="102"/>
      <c r="AB204" s="168"/>
      <c r="AC204" s="168"/>
      <c r="AD204" s="96"/>
    </row>
    <row r="205" spans="2:30" ht="13.8" x14ac:dyDescent="0.25">
      <c r="R205" s="72"/>
      <c r="S205" s="72"/>
      <c r="T205" s="102"/>
      <c r="U205" s="102"/>
      <c r="V205" s="102"/>
      <c r="W205" s="102"/>
      <c r="X205" s="72"/>
      <c r="Y205" s="168"/>
      <c r="Z205" s="102"/>
      <c r="AA205" s="102"/>
    </row>
    <row r="206" spans="2:30" ht="13.8" x14ac:dyDescent="0.25">
      <c r="R206" s="72"/>
      <c r="S206" s="72"/>
      <c r="T206" s="102"/>
      <c r="U206" s="102"/>
      <c r="V206" s="102"/>
      <c r="W206" s="102"/>
      <c r="X206" s="72"/>
      <c r="Y206" s="168"/>
      <c r="Z206" s="102"/>
      <c r="AA206" s="102"/>
    </row>
    <row r="207" spans="2:30" ht="13.8" x14ac:dyDescent="0.25">
      <c r="R207" s="72"/>
      <c r="S207" s="72"/>
      <c r="T207" s="102"/>
      <c r="U207" s="102"/>
      <c r="V207" s="102"/>
      <c r="W207" s="102"/>
      <c r="X207" s="72"/>
      <c r="Y207" s="168"/>
      <c r="Z207" s="102"/>
      <c r="AA207" s="102"/>
    </row>
    <row r="208" spans="2:30" ht="17.399999999999999" x14ac:dyDescent="0.3">
      <c r="Q208" s="170"/>
    </row>
    <row r="209" spans="17:35" ht="17.399999999999999" x14ac:dyDescent="0.3">
      <c r="Q209" s="170"/>
    </row>
    <row r="210" spans="17:35" ht="13.8" x14ac:dyDescent="0.25">
      <c r="AB210" s="72"/>
      <c r="AC210" s="72"/>
    </row>
    <row r="211" spans="17:35" ht="17.399999999999999" x14ac:dyDescent="0.3">
      <c r="R211" s="170"/>
    </row>
    <row r="212" spans="17:35" ht="17.399999999999999" x14ac:dyDescent="0.3">
      <c r="Q212" s="72"/>
      <c r="R212" s="170"/>
      <c r="AD212" s="72"/>
      <c r="AE212" s="72"/>
      <c r="AF212" s="72"/>
      <c r="AG212" s="72"/>
      <c r="AH212" s="72"/>
      <c r="AI212" s="72"/>
    </row>
    <row r="213" spans="17:35" ht="13.8" x14ac:dyDescent="0.25">
      <c r="Q213" s="72"/>
      <c r="AA213" s="105"/>
      <c r="AB213" s="150"/>
      <c r="AC213" s="150"/>
      <c r="AD213" s="150"/>
      <c r="AE213" s="158"/>
      <c r="AF213" s="158"/>
      <c r="AI213" s="120"/>
    </row>
    <row r="214" spans="17:35" ht="13.8" x14ac:dyDescent="0.25">
      <c r="Q214" s="72"/>
      <c r="AB214" s="152"/>
      <c r="AC214" s="152"/>
      <c r="AD214" s="152"/>
      <c r="AE214" s="152"/>
      <c r="AF214" s="152"/>
      <c r="AG214" s="72"/>
      <c r="AH214" s="72"/>
      <c r="AI214" s="72"/>
    </row>
    <row r="215" spans="17:35" ht="13.8" x14ac:dyDescent="0.25">
      <c r="Q215" s="72"/>
      <c r="R215" s="154"/>
      <c r="S215" s="114"/>
      <c r="T215" s="114"/>
      <c r="U215" s="155"/>
      <c r="V215" s="155"/>
      <c r="W215" s="155"/>
      <c r="X215" s="155"/>
      <c r="Y215" s="72"/>
      <c r="Z215" s="72"/>
      <c r="AB215" s="152"/>
      <c r="AC215" s="152"/>
      <c r="AD215" s="152"/>
      <c r="AE215" s="171"/>
      <c r="AF215" s="171"/>
      <c r="AG215" s="72"/>
      <c r="AH215" s="72"/>
      <c r="AI215" s="72"/>
    </row>
    <row r="216" spans="17:35" ht="13.8" x14ac:dyDescent="0.25">
      <c r="Q216" s="72"/>
      <c r="R216" s="156"/>
      <c r="S216" s="156"/>
      <c r="T216" s="157"/>
      <c r="U216" s="150"/>
      <c r="V216" s="150"/>
      <c r="W216" s="150"/>
      <c r="X216" s="150"/>
      <c r="Y216" s="150"/>
      <c r="Z216" s="150"/>
      <c r="AA216" s="150"/>
      <c r="AB216" s="168"/>
      <c r="AC216" s="168"/>
      <c r="AD216" s="96"/>
      <c r="AE216" s="97"/>
      <c r="AF216" s="97"/>
      <c r="AG216" s="72"/>
      <c r="AH216" s="72"/>
      <c r="AI216" s="72"/>
    </row>
    <row r="217" spans="17:35" ht="13.8" x14ac:dyDescent="0.25">
      <c r="Q217" s="72"/>
      <c r="R217" s="152"/>
      <c r="S217" s="152"/>
      <c r="T217" s="101"/>
      <c r="U217" s="152"/>
      <c r="V217" s="152"/>
      <c r="W217" s="152"/>
      <c r="X217" s="152"/>
      <c r="Y217" s="152"/>
      <c r="Z217" s="152"/>
      <c r="AA217" s="152"/>
      <c r="AB217" s="168"/>
      <c r="AC217" s="168"/>
      <c r="AD217" s="96"/>
      <c r="AE217" s="96"/>
      <c r="AF217" s="72"/>
      <c r="AG217" s="72"/>
      <c r="AH217" s="72"/>
      <c r="AI217" s="72"/>
    </row>
    <row r="218" spans="17:35" ht="13.8" x14ac:dyDescent="0.25">
      <c r="Q218" s="7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68"/>
      <c r="AC218" s="168"/>
      <c r="AD218" s="96"/>
      <c r="AE218" s="96"/>
      <c r="AF218" s="72"/>
      <c r="AG218" s="72"/>
      <c r="AH218" s="72"/>
      <c r="AI218" s="72"/>
    </row>
    <row r="219" spans="17:35" ht="13.8" x14ac:dyDescent="0.25">
      <c r="Q219" s="72"/>
      <c r="R219" s="72"/>
      <c r="S219" s="72"/>
      <c r="T219" s="105"/>
      <c r="U219" s="168"/>
      <c r="V219" s="96"/>
      <c r="W219" s="168"/>
      <c r="X219" s="97"/>
      <c r="Y219" s="97"/>
      <c r="Z219" s="72"/>
      <c r="AA219" s="95"/>
      <c r="AB219" s="168"/>
      <c r="AC219" s="168"/>
      <c r="AD219" s="96"/>
      <c r="AE219" s="96"/>
      <c r="AF219" s="72"/>
      <c r="AG219" s="72"/>
      <c r="AH219" s="72"/>
      <c r="AI219" s="72"/>
    </row>
    <row r="220" spans="17:35" ht="13.8" x14ac:dyDescent="0.25">
      <c r="R220" s="72"/>
      <c r="S220" s="72"/>
      <c r="T220" s="105"/>
      <c r="U220" s="102"/>
      <c r="V220" s="102"/>
      <c r="W220" s="102"/>
      <c r="X220" s="102"/>
      <c r="Y220" s="97"/>
      <c r="Z220" s="97"/>
      <c r="AA220" s="72"/>
      <c r="AB220" s="168"/>
      <c r="AC220" s="168"/>
      <c r="AD220" s="96"/>
      <c r="AE220" s="96"/>
    </row>
    <row r="221" spans="17:35" ht="13.8" x14ac:dyDescent="0.25">
      <c r="R221" s="72"/>
      <c r="S221" s="72"/>
      <c r="T221" s="72"/>
      <c r="U221" s="102"/>
      <c r="V221" s="102"/>
      <c r="W221" s="102"/>
      <c r="X221" s="102"/>
      <c r="Y221" s="97"/>
      <c r="Z221" s="97"/>
      <c r="AA221" s="72"/>
      <c r="AB221" s="168"/>
      <c r="AC221" s="168"/>
      <c r="AD221" s="96"/>
      <c r="AE221" s="96"/>
    </row>
    <row r="222" spans="17:35" ht="13.8" x14ac:dyDescent="0.25">
      <c r="R222" s="72"/>
      <c r="S222" s="72"/>
      <c r="T222" s="105"/>
      <c r="U222" s="168"/>
      <c r="V222" s="168"/>
      <c r="W222" s="168"/>
      <c r="X222" s="168"/>
      <c r="Y222" s="97"/>
      <c r="Z222" s="97"/>
      <c r="AA222" s="72"/>
      <c r="AB222" s="168"/>
      <c r="AC222" s="168"/>
      <c r="AD222" s="96"/>
      <c r="AE222" s="96"/>
    </row>
    <row r="223" spans="17:35" ht="13.8" x14ac:dyDescent="0.25">
      <c r="R223" s="72"/>
      <c r="S223" s="72"/>
      <c r="T223" s="105"/>
      <c r="U223" s="102"/>
      <c r="V223" s="102"/>
      <c r="W223" s="102"/>
      <c r="X223" s="102"/>
      <c r="Y223" s="97"/>
      <c r="Z223" s="97"/>
      <c r="AA223" s="72"/>
      <c r="AB223" s="168"/>
      <c r="AC223" s="168"/>
      <c r="AD223" s="96"/>
      <c r="AE223" s="96"/>
    </row>
    <row r="224" spans="17:35" ht="13.8" x14ac:dyDescent="0.25">
      <c r="R224" s="72"/>
      <c r="S224" s="72"/>
      <c r="T224" s="105"/>
      <c r="U224" s="102"/>
      <c r="V224" s="102"/>
      <c r="W224" s="102"/>
      <c r="X224" s="102"/>
      <c r="Y224" s="97"/>
      <c r="Z224" s="97"/>
      <c r="AA224" s="72"/>
      <c r="AB224" s="72"/>
      <c r="AC224" s="72"/>
      <c r="AD224" s="102"/>
      <c r="AE224" s="96"/>
    </row>
    <row r="225" spans="18:32" ht="13.8" x14ac:dyDescent="0.25">
      <c r="R225" s="72"/>
      <c r="S225" s="72"/>
      <c r="T225" s="105"/>
      <c r="U225" s="102"/>
      <c r="V225" s="102"/>
      <c r="W225" s="102"/>
      <c r="X225" s="102"/>
      <c r="Y225" s="97"/>
      <c r="Z225" s="97"/>
      <c r="AA225" s="72"/>
      <c r="AB225" s="72"/>
      <c r="AC225" s="72"/>
      <c r="AD225" s="102"/>
      <c r="AE225" s="96"/>
    </row>
    <row r="226" spans="18:32" ht="13.8" x14ac:dyDescent="0.25">
      <c r="R226" s="72"/>
      <c r="S226" s="72"/>
      <c r="T226" s="105"/>
      <c r="U226" s="102"/>
      <c r="V226" s="102"/>
      <c r="W226" s="102"/>
      <c r="X226" s="102"/>
      <c r="Y226" s="97"/>
      <c r="Z226" s="97"/>
      <c r="AA226" s="72"/>
      <c r="AB226" s="96"/>
      <c r="AC226" s="97"/>
      <c r="AD226" s="96"/>
      <c r="AE226" s="97"/>
      <c r="AF226" s="97"/>
    </row>
    <row r="227" spans="18:32" ht="13.8" x14ac:dyDescent="0.25">
      <c r="R227" s="72"/>
      <c r="S227" s="72"/>
      <c r="T227" s="72"/>
      <c r="U227" s="102"/>
      <c r="V227" s="102"/>
      <c r="W227" s="102"/>
      <c r="X227" s="102"/>
      <c r="Y227" s="97"/>
      <c r="Z227" s="97"/>
      <c r="AA227" s="72"/>
      <c r="AB227" s="96"/>
      <c r="AC227" s="96"/>
      <c r="AD227" s="96"/>
      <c r="AE227" s="96"/>
    </row>
    <row r="228" spans="18:32" ht="13.8" x14ac:dyDescent="0.25">
      <c r="R228" s="72"/>
      <c r="S228" s="72"/>
      <c r="T228" s="105"/>
      <c r="U228" s="168"/>
      <c r="V228" s="168"/>
      <c r="W228" s="168"/>
      <c r="X228" s="168"/>
      <c r="Y228" s="97"/>
      <c r="Z228" s="102"/>
      <c r="AA228" s="72"/>
      <c r="AB228" s="96"/>
      <c r="AC228" s="96"/>
      <c r="AD228" s="96"/>
      <c r="AE228" s="96"/>
    </row>
    <row r="229" spans="18:32" ht="13.8" x14ac:dyDescent="0.25">
      <c r="R229" s="72"/>
      <c r="S229" s="72"/>
      <c r="T229" s="105"/>
      <c r="U229" s="168"/>
      <c r="V229" s="96"/>
      <c r="W229" s="168"/>
      <c r="X229" s="97"/>
      <c r="Y229" s="97"/>
      <c r="Z229" s="72"/>
      <c r="AA229" s="95"/>
      <c r="AB229" s="96"/>
      <c r="AC229" s="96"/>
      <c r="AD229" s="96"/>
      <c r="AE229" s="96"/>
    </row>
    <row r="230" spans="18:32" ht="13.8" x14ac:dyDescent="0.25">
      <c r="R230" s="72"/>
      <c r="S230" s="72"/>
      <c r="T230" s="105"/>
      <c r="U230" s="102"/>
      <c r="V230" s="102"/>
      <c r="W230" s="102"/>
      <c r="X230" s="102"/>
      <c r="Y230" s="97"/>
      <c r="Z230" s="97"/>
      <c r="AA230" s="72"/>
      <c r="AB230" s="96"/>
      <c r="AC230" s="96"/>
      <c r="AD230" s="96"/>
      <c r="AE230" s="96"/>
    </row>
    <row r="231" spans="18:32" ht="13.8" x14ac:dyDescent="0.25">
      <c r="R231" s="72"/>
      <c r="S231" s="72"/>
      <c r="T231" s="72"/>
      <c r="U231" s="102"/>
      <c r="V231" s="102"/>
      <c r="W231" s="102"/>
      <c r="X231" s="102"/>
      <c r="Y231" s="97"/>
      <c r="Z231" s="97"/>
      <c r="AA231" s="72"/>
      <c r="AB231" s="96"/>
      <c r="AC231" s="96"/>
      <c r="AD231" s="96"/>
      <c r="AE231" s="96"/>
    </row>
    <row r="232" spans="18:32" ht="13.8" x14ac:dyDescent="0.25">
      <c r="R232" s="72"/>
      <c r="S232" s="72"/>
      <c r="T232" s="105"/>
      <c r="U232" s="168"/>
      <c r="V232" s="168"/>
      <c r="W232" s="168"/>
      <c r="X232" s="168"/>
      <c r="Y232" s="97"/>
      <c r="Z232" s="97"/>
      <c r="AA232" s="72"/>
      <c r="AB232" s="96"/>
      <c r="AC232" s="96"/>
      <c r="AD232" s="96"/>
      <c r="AE232" s="96"/>
    </row>
    <row r="233" spans="18:32" ht="13.8" x14ac:dyDescent="0.25">
      <c r="R233" s="72"/>
      <c r="S233" s="72"/>
      <c r="T233" s="105"/>
      <c r="U233" s="102"/>
      <c r="V233" s="102"/>
      <c r="W233" s="102"/>
      <c r="X233" s="102"/>
      <c r="Y233" s="97"/>
      <c r="Z233" s="97"/>
      <c r="AA233" s="72"/>
      <c r="AB233" s="96"/>
      <c r="AC233" s="96"/>
      <c r="AD233" s="96"/>
      <c r="AE233" s="96"/>
    </row>
    <row r="234" spans="18:32" ht="13.8" x14ac:dyDescent="0.25">
      <c r="R234" s="72"/>
      <c r="S234" s="72"/>
      <c r="T234" s="105"/>
      <c r="U234" s="102"/>
      <c r="V234" s="102"/>
      <c r="W234" s="102"/>
      <c r="X234" s="102"/>
      <c r="Y234" s="97"/>
      <c r="Z234" s="97"/>
      <c r="AA234" s="72"/>
      <c r="AB234" s="102"/>
      <c r="AC234" s="96"/>
      <c r="AD234" s="102"/>
      <c r="AE234" s="96"/>
    </row>
    <row r="235" spans="18:32" ht="13.8" x14ac:dyDescent="0.25">
      <c r="R235" s="72"/>
      <c r="S235" s="72"/>
      <c r="T235" s="105"/>
      <c r="U235" s="102"/>
      <c r="V235" s="102"/>
      <c r="W235" s="102"/>
      <c r="X235" s="102"/>
      <c r="Y235" s="97"/>
      <c r="Z235" s="97"/>
      <c r="AA235" s="72"/>
      <c r="AB235" s="102"/>
      <c r="AC235" s="96"/>
      <c r="AD235" s="102"/>
      <c r="AE235" s="96"/>
    </row>
    <row r="236" spans="18:32" ht="13.8" x14ac:dyDescent="0.25">
      <c r="R236" s="72"/>
      <c r="S236" s="72"/>
      <c r="T236" s="105"/>
      <c r="U236" s="102"/>
      <c r="V236" s="102"/>
      <c r="W236" s="102"/>
      <c r="X236" s="102"/>
      <c r="Y236" s="97"/>
      <c r="Z236" s="97"/>
      <c r="AA236" s="72"/>
      <c r="AB236" s="96"/>
      <c r="AC236" s="97"/>
      <c r="AD236" s="96"/>
      <c r="AE236" s="97"/>
      <c r="AF236" s="97"/>
    </row>
    <row r="237" spans="18:32" ht="13.8" x14ac:dyDescent="0.25">
      <c r="R237" s="72"/>
      <c r="S237" s="72"/>
      <c r="T237" s="72"/>
      <c r="U237" s="102"/>
      <c r="V237" s="102"/>
      <c r="W237" s="102"/>
      <c r="X237" s="102"/>
      <c r="Y237" s="97"/>
      <c r="Z237" s="97"/>
      <c r="AA237" s="72"/>
      <c r="AB237" s="96"/>
      <c r="AC237" s="96"/>
      <c r="AD237" s="96"/>
      <c r="AE237" s="96"/>
    </row>
    <row r="238" spans="18:32" ht="13.8" x14ac:dyDescent="0.25">
      <c r="R238" s="72"/>
      <c r="S238" s="72"/>
      <c r="T238" s="105"/>
      <c r="U238" s="168"/>
      <c r="V238" s="168"/>
      <c r="W238" s="168"/>
      <c r="X238" s="168"/>
      <c r="Y238" s="97"/>
      <c r="Z238" s="102"/>
      <c r="AA238" s="72"/>
      <c r="AB238" s="96"/>
      <c r="AC238" s="96"/>
      <c r="AD238" s="96"/>
      <c r="AE238" s="96"/>
    </row>
    <row r="239" spans="18:32" ht="13.8" x14ac:dyDescent="0.25">
      <c r="R239" s="72"/>
      <c r="S239" s="72"/>
      <c r="T239" s="105"/>
      <c r="U239" s="168"/>
      <c r="V239" s="96"/>
      <c r="W239" s="168"/>
      <c r="X239" s="97"/>
      <c r="Y239" s="97"/>
      <c r="Z239" s="72"/>
      <c r="AA239" s="95"/>
      <c r="AB239" s="96"/>
      <c r="AC239" s="96"/>
      <c r="AD239" s="96"/>
      <c r="AE239" s="96"/>
    </row>
    <row r="240" spans="18:32" ht="13.8" x14ac:dyDescent="0.25">
      <c r="R240" s="72"/>
      <c r="S240" s="72"/>
      <c r="T240" s="105"/>
      <c r="U240" s="102"/>
      <c r="V240" s="102"/>
      <c r="W240" s="102"/>
      <c r="X240" s="102"/>
      <c r="Y240" s="97"/>
      <c r="Z240" s="97"/>
      <c r="AA240" s="72"/>
      <c r="AB240" s="96"/>
      <c r="AC240" s="96"/>
      <c r="AD240" s="96"/>
      <c r="AE240" s="96"/>
    </row>
    <row r="241" spans="17:31" ht="13.8" x14ac:dyDescent="0.25">
      <c r="R241" s="72"/>
      <c r="S241" s="72"/>
      <c r="T241" s="72"/>
      <c r="U241" s="102"/>
      <c r="V241" s="102"/>
      <c r="W241" s="102"/>
      <c r="X241" s="102"/>
      <c r="Y241" s="97"/>
      <c r="Z241" s="97"/>
      <c r="AA241" s="72"/>
      <c r="AB241" s="96"/>
      <c r="AC241" s="96"/>
      <c r="AD241" s="96"/>
      <c r="AE241" s="96"/>
    </row>
    <row r="242" spans="17:31" ht="13.8" x14ac:dyDescent="0.25">
      <c r="R242" s="72"/>
      <c r="S242" s="72"/>
      <c r="T242" s="105"/>
      <c r="U242" s="168"/>
      <c r="V242" s="168"/>
      <c r="W242" s="168"/>
      <c r="X242" s="168"/>
      <c r="Y242" s="97"/>
      <c r="Z242" s="97"/>
      <c r="AA242" s="72"/>
      <c r="AB242" s="96"/>
      <c r="AC242" s="96"/>
      <c r="AD242" s="96"/>
      <c r="AE242" s="96"/>
    </row>
    <row r="243" spans="17:31" ht="13.8" x14ac:dyDescent="0.25">
      <c r="R243" s="72"/>
      <c r="S243" s="72"/>
      <c r="T243" s="105"/>
      <c r="U243" s="102"/>
      <c r="V243" s="102"/>
      <c r="W243" s="102"/>
      <c r="X243" s="102"/>
      <c r="Y243" s="97"/>
      <c r="Z243" s="97"/>
      <c r="AA243" s="72"/>
      <c r="AB243" s="96"/>
      <c r="AC243" s="96"/>
      <c r="AD243" s="96"/>
      <c r="AE243" s="96"/>
    </row>
    <row r="244" spans="17:31" ht="13.8" x14ac:dyDescent="0.25">
      <c r="R244" s="72"/>
      <c r="S244" s="72"/>
      <c r="T244" s="105"/>
      <c r="U244" s="102"/>
      <c r="V244" s="102"/>
      <c r="W244" s="102"/>
      <c r="X244" s="102"/>
      <c r="Y244" s="97"/>
      <c r="Z244" s="97"/>
      <c r="AA244" s="72"/>
      <c r="AB244" s="102"/>
      <c r="AC244" s="96"/>
      <c r="AD244" s="102"/>
      <c r="AE244" s="96"/>
    </row>
    <row r="245" spans="17:31" ht="13.8" x14ac:dyDescent="0.25">
      <c r="R245" s="72"/>
      <c r="S245" s="72"/>
      <c r="T245" s="105"/>
      <c r="U245" s="102"/>
      <c r="V245" s="102"/>
      <c r="W245" s="102"/>
      <c r="X245" s="102"/>
      <c r="Y245" s="97"/>
      <c r="Z245" s="97"/>
      <c r="AA245" s="72"/>
      <c r="AB245" s="102"/>
      <c r="AC245" s="96"/>
      <c r="AD245" s="102"/>
      <c r="AE245" s="96"/>
    </row>
    <row r="246" spans="17:31" ht="13.8" x14ac:dyDescent="0.25">
      <c r="R246" s="72"/>
      <c r="S246" s="72"/>
      <c r="T246" s="105"/>
      <c r="U246" s="102"/>
      <c r="V246" s="102"/>
      <c r="W246" s="102"/>
      <c r="X246" s="102"/>
      <c r="Y246" s="97"/>
      <c r="Z246" s="97"/>
      <c r="AA246" s="72"/>
    </row>
    <row r="247" spans="17:31" ht="13.8" x14ac:dyDescent="0.25">
      <c r="R247" s="72"/>
      <c r="S247" s="72"/>
      <c r="T247" s="72"/>
      <c r="U247" s="102"/>
      <c r="V247" s="102"/>
      <c r="W247" s="102"/>
      <c r="X247" s="102"/>
      <c r="Y247" s="97"/>
      <c r="Z247" s="97"/>
      <c r="AA247" s="72"/>
    </row>
    <row r="248" spans="17:31" ht="13.8" x14ac:dyDescent="0.25">
      <c r="R248" s="72"/>
      <c r="S248" s="72"/>
      <c r="T248" s="105"/>
      <c r="U248" s="168"/>
      <c r="V248" s="168"/>
      <c r="W248" s="168"/>
      <c r="X248" s="168"/>
      <c r="Y248" s="97"/>
      <c r="Z248" s="102"/>
      <c r="AA248" s="72"/>
    </row>
    <row r="249" spans="17:31" ht="17.399999999999999" x14ac:dyDescent="0.3">
      <c r="Q249" s="170"/>
      <c r="AB249" s="72"/>
      <c r="AC249" s="72"/>
    </row>
    <row r="250" spans="17:31" ht="13.8" x14ac:dyDescent="0.25">
      <c r="Q250" s="72"/>
      <c r="AB250" s="72"/>
      <c r="AC250" s="72"/>
    </row>
    <row r="251" spans="17:31" ht="13.8" x14ac:dyDescent="0.25">
      <c r="Q251" s="72"/>
      <c r="AB251" s="72"/>
      <c r="AC251" s="72"/>
    </row>
    <row r="252" spans="17:31" ht="17.399999999999999" x14ac:dyDescent="0.3">
      <c r="Q252" s="72"/>
      <c r="R252" s="170"/>
      <c r="S252" s="72"/>
      <c r="T252" s="103"/>
      <c r="U252" s="104"/>
      <c r="V252" s="104"/>
      <c r="W252" s="72"/>
      <c r="X252" s="72"/>
      <c r="Y252" s="72"/>
      <c r="Z252" s="72"/>
      <c r="AA252" s="72"/>
      <c r="AB252" s="72"/>
      <c r="AC252" s="72"/>
    </row>
    <row r="253" spans="17:31" ht="13.8" x14ac:dyDescent="0.25">
      <c r="Q253" s="72"/>
      <c r="R253" s="72"/>
      <c r="S253" s="72"/>
      <c r="T253" s="103"/>
      <c r="U253" s="104"/>
      <c r="V253" s="104"/>
      <c r="W253" s="72"/>
      <c r="X253" s="72"/>
      <c r="Y253" s="72"/>
      <c r="Z253" s="72"/>
      <c r="AA253" s="72"/>
    </row>
    <row r="254" spans="17:31" ht="13.8" x14ac:dyDescent="0.25">
      <c r="Q254" s="72"/>
      <c r="R254" s="103"/>
      <c r="S254" s="103"/>
      <c r="T254" s="103"/>
      <c r="U254" s="104"/>
      <c r="V254" s="104"/>
      <c r="W254" s="72"/>
      <c r="X254" s="72"/>
      <c r="Y254" s="155"/>
      <c r="Z254" s="155"/>
      <c r="AA254" s="105"/>
      <c r="AB254" s="150"/>
      <c r="AC254" s="150"/>
    </row>
    <row r="255" spans="17:31" ht="13.8" x14ac:dyDescent="0.25"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152"/>
      <c r="AC255" s="152"/>
    </row>
    <row r="256" spans="17:31" ht="13.8" x14ac:dyDescent="0.25">
      <c r="R256" s="154"/>
      <c r="S256" s="114"/>
      <c r="T256" s="114"/>
      <c r="U256" s="155"/>
      <c r="V256" s="155"/>
      <c r="W256" s="155"/>
      <c r="X256" s="72"/>
      <c r="Y256" s="72"/>
      <c r="Z256" s="72"/>
      <c r="AA256" s="72"/>
      <c r="AB256" s="152"/>
      <c r="AC256" s="152"/>
    </row>
    <row r="257" spans="18:29" ht="13.8" x14ac:dyDescent="0.25">
      <c r="R257" s="156"/>
      <c r="S257" s="156"/>
      <c r="T257" s="157"/>
      <c r="U257" s="150"/>
      <c r="V257" s="158"/>
      <c r="W257" s="150"/>
      <c r="X257" s="150"/>
      <c r="Y257" s="150"/>
      <c r="Z257" s="150"/>
      <c r="AA257" s="150"/>
      <c r="AB257" s="153"/>
      <c r="AC257" s="153"/>
    </row>
    <row r="258" spans="18:29" ht="13.8" x14ac:dyDescent="0.25">
      <c r="R258" s="152"/>
      <c r="S258" s="152"/>
      <c r="T258" s="101"/>
      <c r="U258" s="152"/>
      <c r="V258" s="152"/>
      <c r="W258" s="152"/>
      <c r="X258" s="152"/>
      <c r="Y258" s="152"/>
      <c r="Z258" s="152"/>
      <c r="AA258" s="152"/>
      <c r="AB258" s="153"/>
      <c r="AC258" s="153"/>
    </row>
    <row r="259" spans="18:29" ht="15" x14ac:dyDescent="0.25">
      <c r="R259" s="152"/>
      <c r="S259" s="152"/>
      <c r="T259" s="152"/>
      <c r="U259" s="152"/>
      <c r="V259" s="159"/>
      <c r="W259" s="152"/>
      <c r="X259" s="152"/>
      <c r="Y259" s="152"/>
      <c r="Z259" s="152"/>
      <c r="AA259" s="152"/>
      <c r="AB259" s="153"/>
      <c r="AC259" s="153"/>
    </row>
    <row r="260" spans="18:29" ht="13.8" x14ac:dyDescent="0.25">
      <c r="R260" s="72"/>
      <c r="S260" s="72"/>
      <c r="U260" s="96"/>
      <c r="V260" s="104"/>
      <c r="AB260" s="153"/>
      <c r="AC260" s="153"/>
    </row>
    <row r="261" spans="18:29" ht="13.8" x14ac:dyDescent="0.25">
      <c r="R261" s="72"/>
      <c r="S261" s="72"/>
      <c r="U261" s="96"/>
      <c r="AA261" s="72"/>
      <c r="AB261" s="153"/>
      <c r="AC261" s="153"/>
    </row>
    <row r="262" spans="18:29" ht="13.8" x14ac:dyDescent="0.25">
      <c r="R262" s="72"/>
      <c r="S262" s="72"/>
      <c r="U262" s="96"/>
      <c r="AB262" s="153"/>
      <c r="AC262" s="153"/>
    </row>
    <row r="263" spans="18:29" ht="13.8" x14ac:dyDescent="0.25">
      <c r="R263" s="72"/>
      <c r="S263" s="72"/>
      <c r="U263" s="96"/>
      <c r="AB263" s="153"/>
      <c r="AC263" s="153"/>
    </row>
    <row r="264" spans="18:29" ht="13.8" x14ac:dyDescent="0.25">
      <c r="R264" s="72"/>
      <c r="S264" s="72"/>
      <c r="U264" s="96"/>
      <c r="AB264" s="153"/>
      <c r="AC264" s="172"/>
    </row>
    <row r="265" spans="18:29" ht="13.8" x14ac:dyDescent="0.25">
      <c r="R265" s="72"/>
      <c r="S265" s="72"/>
      <c r="AB265" s="153"/>
      <c r="AC265" s="153"/>
    </row>
    <row r="266" spans="18:29" ht="13.8" x14ac:dyDescent="0.25">
      <c r="R266" s="72"/>
      <c r="S266" s="72"/>
      <c r="U266" s="96"/>
      <c r="V266" s="104"/>
      <c r="AB266" s="153"/>
      <c r="AC266" s="153"/>
    </row>
    <row r="267" spans="18:29" ht="13.8" x14ac:dyDescent="0.25">
      <c r="R267" s="72"/>
      <c r="S267" s="72"/>
      <c r="U267" s="96"/>
      <c r="AA267" s="72"/>
      <c r="AB267" s="153"/>
      <c r="AC267" s="153"/>
    </row>
    <row r="268" spans="18:29" ht="13.8" x14ac:dyDescent="0.25">
      <c r="R268" s="72"/>
      <c r="S268" s="72"/>
      <c r="U268" s="96"/>
      <c r="AB268" s="153"/>
      <c r="AC268" s="153"/>
    </row>
    <row r="269" spans="18:29" ht="13.8" x14ac:dyDescent="0.25">
      <c r="R269" s="72"/>
      <c r="S269" s="72"/>
      <c r="U269" s="96"/>
      <c r="AB269" s="153"/>
      <c r="AC269" s="153"/>
    </row>
    <row r="270" spans="18:29" ht="13.8" x14ac:dyDescent="0.25">
      <c r="R270" s="72"/>
      <c r="S270" s="72"/>
      <c r="U270" s="96"/>
      <c r="AB270" s="153"/>
      <c r="AC270" s="172"/>
    </row>
    <row r="271" spans="18:29" ht="13.8" x14ac:dyDescent="0.25">
      <c r="R271" s="72"/>
      <c r="S271" s="72"/>
      <c r="AB271" s="153"/>
      <c r="AC271" s="153"/>
    </row>
    <row r="272" spans="18:29" ht="13.8" x14ac:dyDescent="0.25">
      <c r="R272" s="72"/>
      <c r="S272" s="72"/>
      <c r="U272" s="96"/>
      <c r="V272" s="104"/>
      <c r="AB272" s="153"/>
      <c r="AC272" s="153"/>
    </row>
    <row r="273" spans="17:64" ht="13.8" x14ac:dyDescent="0.25">
      <c r="R273" s="72"/>
      <c r="S273" s="72"/>
      <c r="U273" s="96"/>
      <c r="AA273" s="72"/>
      <c r="AB273" s="153"/>
      <c r="AC273" s="153"/>
    </row>
    <row r="274" spans="17:64" ht="13.8" x14ac:dyDescent="0.25">
      <c r="R274" s="72"/>
      <c r="S274" s="72"/>
      <c r="U274" s="96"/>
      <c r="AB274" s="153"/>
      <c r="AC274" s="153"/>
    </row>
    <row r="275" spans="17:64" ht="13.8" x14ac:dyDescent="0.25">
      <c r="R275" s="72"/>
      <c r="S275" s="72"/>
      <c r="U275" s="96"/>
    </row>
    <row r="276" spans="17:64" ht="13.8" x14ac:dyDescent="0.25">
      <c r="R276" s="72"/>
      <c r="S276" s="72"/>
      <c r="U276" s="96"/>
    </row>
    <row r="277" spans="17:64" ht="13.8" x14ac:dyDescent="0.25">
      <c r="R277" s="72"/>
      <c r="S277" s="72"/>
    </row>
    <row r="281" spans="17:64" ht="17.399999999999999" x14ac:dyDescent="0.3">
      <c r="Q281" s="170"/>
      <c r="AB281" s="105"/>
      <c r="AC281" s="105"/>
    </row>
    <row r="282" spans="17:64" ht="13.8" x14ac:dyDescent="0.25">
      <c r="Q282" s="72"/>
      <c r="AB282" s="72"/>
      <c r="AC282" s="72"/>
    </row>
    <row r="283" spans="17:64" ht="13.8" x14ac:dyDescent="0.25">
      <c r="Q283" s="72"/>
    </row>
    <row r="284" spans="17:64" ht="17.399999999999999" x14ac:dyDescent="0.3">
      <c r="R284" s="170"/>
      <c r="S284" s="72"/>
    </row>
    <row r="285" spans="17:64" ht="13.8" x14ac:dyDescent="0.25">
      <c r="R285" s="102"/>
      <c r="S285" s="72"/>
      <c r="AA285" s="105"/>
      <c r="AD285" s="72"/>
      <c r="AE285" s="72"/>
      <c r="AF285" s="72"/>
      <c r="AG285" s="72"/>
      <c r="AH285" s="72"/>
      <c r="AI285" s="154"/>
      <c r="AJ285" s="114"/>
      <c r="AK285" s="114"/>
      <c r="AL285" s="155"/>
      <c r="AM285" s="155"/>
      <c r="AN285" s="155"/>
      <c r="AO285" s="155"/>
      <c r="AP285" s="72"/>
      <c r="AQ285" s="72"/>
      <c r="AR285" s="72"/>
      <c r="AU285" s="72"/>
      <c r="AW285" s="72"/>
      <c r="AX285" s="72"/>
      <c r="AY285" s="72"/>
      <c r="AZ285" s="154"/>
      <c r="BA285" s="114"/>
      <c r="BB285" s="114"/>
      <c r="BC285" s="155"/>
      <c r="BD285" s="155"/>
      <c r="BE285" s="155"/>
      <c r="BF285" s="155"/>
      <c r="BG285" s="72"/>
      <c r="BH285" s="72"/>
      <c r="BI285" s="72"/>
      <c r="BL285" s="72"/>
    </row>
    <row r="286" spans="17:64" ht="13.8" x14ac:dyDescent="0.25">
      <c r="R286" s="102"/>
      <c r="S286" s="72"/>
      <c r="AB286" s="150"/>
      <c r="AC286" s="150"/>
      <c r="AD286" s="150"/>
      <c r="AF286" s="156"/>
      <c r="AG286" s="156"/>
      <c r="AH286" s="156"/>
      <c r="AI286" s="156"/>
      <c r="AJ286" s="156"/>
      <c r="AK286" s="157"/>
      <c r="AL286" s="150"/>
      <c r="AM286" s="150"/>
      <c r="AN286" s="150"/>
      <c r="AO286" s="150"/>
      <c r="AP286" s="150"/>
      <c r="AQ286" s="150"/>
      <c r="AR286" s="150"/>
      <c r="AS286" s="150"/>
      <c r="AT286" s="150"/>
      <c r="AU286" s="150"/>
      <c r="AW286" s="156"/>
      <c r="AX286" s="156"/>
      <c r="AY286" s="156"/>
      <c r="AZ286" s="156"/>
      <c r="BA286" s="156"/>
      <c r="BB286" s="157"/>
      <c r="BC286" s="150"/>
      <c r="BD286" s="150"/>
      <c r="BE286" s="150"/>
      <c r="BF286" s="150"/>
      <c r="BG286" s="150"/>
      <c r="BH286" s="150"/>
      <c r="BI286" s="150"/>
      <c r="BJ286" s="150"/>
      <c r="BK286" s="150"/>
      <c r="BL286" s="150"/>
    </row>
    <row r="287" spans="17:64" ht="13.8" x14ac:dyDescent="0.25">
      <c r="AB287" s="152"/>
      <c r="AC287" s="152"/>
      <c r="AD287" s="152"/>
      <c r="AF287" s="152"/>
      <c r="AG287" s="152"/>
      <c r="AH287" s="152"/>
      <c r="AI287" s="152"/>
      <c r="AJ287" s="152"/>
      <c r="AK287" s="101"/>
      <c r="AL287" s="152"/>
      <c r="AM287" s="152"/>
      <c r="AN287" s="152"/>
      <c r="AO287" s="152"/>
      <c r="AP287" s="152"/>
      <c r="AQ287" s="152"/>
      <c r="AR287" s="152"/>
      <c r="AS287" s="152"/>
      <c r="AT287" s="152"/>
      <c r="AU287" s="152"/>
      <c r="AW287" s="152"/>
      <c r="AX287" s="152"/>
      <c r="AY287" s="152"/>
      <c r="AZ287" s="152"/>
      <c r="BA287" s="152"/>
      <c r="BB287" s="101"/>
      <c r="BC287" s="152"/>
      <c r="BD287" s="152"/>
      <c r="BE287" s="152"/>
      <c r="BF287" s="152"/>
      <c r="BG287" s="152"/>
      <c r="BH287" s="152"/>
      <c r="BI287" s="152"/>
      <c r="BJ287" s="152"/>
      <c r="BK287" s="152"/>
      <c r="BL287" s="152"/>
    </row>
    <row r="288" spans="17:64" ht="15" x14ac:dyDescent="0.25">
      <c r="R288" s="154"/>
      <c r="S288" s="114"/>
      <c r="T288" s="114"/>
      <c r="U288" s="155"/>
      <c r="V288" s="155"/>
      <c r="W288" s="155"/>
      <c r="X288" s="155"/>
      <c r="Y288" s="72"/>
      <c r="Z288" s="72"/>
      <c r="AA288" s="72"/>
      <c r="AB288" s="159"/>
      <c r="AC288" s="159"/>
      <c r="AD288" s="159"/>
      <c r="AF288" s="169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  <c r="AS288" s="159"/>
      <c r="AT288" s="159"/>
      <c r="AU288" s="159"/>
      <c r="AW288" s="169"/>
      <c r="AX288" s="152"/>
      <c r="AY288" s="152"/>
      <c r="AZ288" s="152"/>
      <c r="BA288" s="152"/>
      <c r="BB288" s="152"/>
      <c r="BC288" s="152"/>
      <c r="BD288" s="152"/>
      <c r="BE288" s="152"/>
      <c r="BF288" s="152"/>
      <c r="BG288" s="152"/>
      <c r="BH288" s="152"/>
      <c r="BI288" s="152"/>
      <c r="BJ288" s="159"/>
      <c r="BK288" s="159"/>
      <c r="BL288" s="159"/>
    </row>
    <row r="289" spans="17:64" ht="13.8" x14ac:dyDescent="0.25">
      <c r="R289" s="156"/>
      <c r="S289" s="156"/>
      <c r="T289" s="157"/>
      <c r="U289" s="150"/>
      <c r="V289" s="150"/>
      <c r="W289" s="150"/>
      <c r="X289" s="150"/>
      <c r="Y289" s="150"/>
      <c r="Z289" s="150"/>
      <c r="AA289" s="150"/>
      <c r="AB289" s="168"/>
      <c r="AC289" s="168"/>
      <c r="AD289" s="96"/>
      <c r="AF289" s="72"/>
      <c r="AG289" s="72"/>
      <c r="AH289" s="72"/>
      <c r="AI289" s="72"/>
      <c r="AJ289" s="105"/>
      <c r="AK289" s="105"/>
      <c r="AL289" s="97"/>
      <c r="AM289" s="102"/>
      <c r="AN289" s="102"/>
      <c r="AO289" s="102"/>
      <c r="AP289" s="102"/>
      <c r="AQ289" s="102"/>
      <c r="AR289" s="102"/>
      <c r="AS289" s="168"/>
      <c r="AT289" s="168"/>
      <c r="AU289" s="96"/>
      <c r="AW289" s="72"/>
      <c r="AX289" s="72"/>
      <c r="AY289" s="72"/>
      <c r="AZ289" s="72"/>
      <c r="BA289" s="105"/>
      <c r="BB289" s="105"/>
      <c r="BC289" s="97"/>
      <c r="BD289" s="102"/>
      <c r="BE289" s="102"/>
      <c r="BF289" s="102"/>
      <c r="BG289" s="102"/>
      <c r="BH289" s="102"/>
      <c r="BI289" s="102"/>
      <c r="BJ289" s="168"/>
      <c r="BK289" s="168"/>
      <c r="BL289" s="96"/>
    </row>
    <row r="290" spans="17:64" ht="13.8" x14ac:dyDescent="0.25">
      <c r="Q290" s="72"/>
      <c r="R290" s="152"/>
      <c r="S290" s="152"/>
      <c r="T290" s="101"/>
      <c r="U290" s="152"/>
      <c r="V290" s="152"/>
      <c r="W290" s="152"/>
      <c r="X290" s="152"/>
      <c r="Y290" s="152"/>
      <c r="Z290" s="152"/>
      <c r="AA290" s="152"/>
      <c r="AB290" s="168"/>
      <c r="AC290" s="168"/>
      <c r="AD290" s="96"/>
      <c r="AF290" s="72"/>
      <c r="AG290" s="72"/>
      <c r="AH290" s="72"/>
      <c r="AI290" s="72"/>
      <c r="AJ290" s="72"/>
      <c r="AK290" s="102"/>
      <c r="AL290" s="102"/>
      <c r="AM290" s="102"/>
      <c r="AN290" s="102"/>
      <c r="AO290" s="72"/>
      <c r="AP290" s="168"/>
      <c r="AQ290" s="102"/>
      <c r="AR290" s="102"/>
      <c r="AS290" s="168"/>
      <c r="AT290" s="168"/>
      <c r="AU290" s="96"/>
      <c r="AW290" s="72"/>
      <c r="AX290" s="72"/>
      <c r="AY290" s="72"/>
      <c r="AZ290" s="72"/>
      <c r="BA290" s="72"/>
      <c r="BB290" s="102"/>
      <c r="BC290" s="102"/>
      <c r="BD290" s="102"/>
      <c r="BE290" s="102"/>
      <c r="BF290" s="72"/>
      <c r="BG290" s="168"/>
      <c r="BH290" s="102"/>
      <c r="BI290" s="102"/>
      <c r="BJ290" s="168"/>
      <c r="BK290" s="168"/>
      <c r="BL290" s="96"/>
    </row>
    <row r="291" spans="17:64" ht="13.8" x14ac:dyDescent="0.25">
      <c r="Q291" s="7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68"/>
      <c r="AC291" s="168"/>
      <c r="AD291" s="96"/>
      <c r="AF291" s="72"/>
      <c r="AG291" s="72"/>
      <c r="AH291" s="72"/>
      <c r="AI291" s="72"/>
      <c r="AJ291" s="72"/>
      <c r="AK291" s="102"/>
      <c r="AL291" s="102"/>
      <c r="AM291" s="102"/>
      <c r="AN291" s="102"/>
      <c r="AO291" s="72"/>
      <c r="AP291" s="168"/>
      <c r="AQ291" s="102"/>
      <c r="AR291" s="102"/>
      <c r="AS291" s="168"/>
      <c r="AT291" s="168"/>
      <c r="AU291" s="96"/>
      <c r="AW291" s="72"/>
      <c r="AX291" s="72"/>
      <c r="AY291" s="72"/>
      <c r="AZ291" s="72"/>
      <c r="BA291" s="72"/>
      <c r="BB291" s="102"/>
      <c r="BC291" s="102"/>
      <c r="BD291" s="102"/>
      <c r="BE291" s="102"/>
      <c r="BF291" s="72"/>
      <c r="BG291" s="168"/>
      <c r="BH291" s="102"/>
      <c r="BI291" s="102"/>
      <c r="BJ291" s="168"/>
      <c r="BK291" s="168"/>
      <c r="BL291" s="96"/>
    </row>
    <row r="292" spans="17:64" ht="13.8" x14ac:dyDescent="0.25">
      <c r="Q292" s="72"/>
      <c r="R292" s="72"/>
      <c r="S292" s="105"/>
      <c r="T292" s="105"/>
      <c r="U292" s="97"/>
      <c r="V292" s="102"/>
      <c r="W292" s="102"/>
      <c r="X292" s="72"/>
      <c r="Y292" s="72"/>
      <c r="Z292" s="72"/>
      <c r="AA292" s="102"/>
      <c r="AB292" s="168"/>
      <c r="AC292" s="168"/>
      <c r="AD292" s="96"/>
      <c r="AF292" s="72"/>
      <c r="AG292" s="72"/>
      <c r="AH292" s="72"/>
      <c r="AI292" s="72"/>
      <c r="AJ292" s="72"/>
      <c r="AK292" s="102"/>
      <c r="AL292" s="102"/>
      <c r="AM292" s="102"/>
      <c r="AN292" s="102"/>
      <c r="AO292" s="72"/>
      <c r="AP292" s="168"/>
      <c r="AQ292" s="102"/>
      <c r="AR292" s="102"/>
      <c r="AS292" s="168"/>
      <c r="AT292" s="168"/>
      <c r="AU292" s="96"/>
      <c r="AW292" s="72"/>
      <c r="AX292" s="72"/>
      <c r="AY292" s="72"/>
      <c r="AZ292" s="72"/>
      <c r="BA292" s="72"/>
      <c r="BB292" s="102"/>
      <c r="BC292" s="102"/>
      <c r="BD292" s="102"/>
      <c r="BE292" s="102"/>
      <c r="BF292" s="72"/>
      <c r="BG292" s="168"/>
      <c r="BH292" s="102"/>
      <c r="BI292" s="102"/>
      <c r="BJ292" s="168"/>
      <c r="BK292" s="168"/>
      <c r="BL292" s="96"/>
    </row>
    <row r="293" spans="17:64" ht="13.8" x14ac:dyDescent="0.25">
      <c r="Q293" s="72"/>
      <c r="R293" s="72"/>
      <c r="S293" s="72"/>
      <c r="T293" s="102"/>
      <c r="U293" s="102"/>
      <c r="V293" s="102"/>
      <c r="W293" s="102"/>
      <c r="X293" s="72"/>
      <c r="Y293" s="168"/>
      <c r="Z293" s="102"/>
      <c r="AA293" s="102"/>
      <c r="AB293" s="168"/>
      <c r="AC293" s="168"/>
      <c r="AD293" s="96"/>
      <c r="AF293" s="72"/>
      <c r="AG293" s="72"/>
      <c r="AH293" s="72"/>
      <c r="AI293" s="72"/>
      <c r="AJ293" s="72"/>
      <c r="AK293" s="102"/>
      <c r="AL293" s="102"/>
      <c r="AM293" s="102"/>
      <c r="AN293" s="102"/>
      <c r="AO293" s="72"/>
      <c r="AP293" s="168"/>
      <c r="AQ293" s="102"/>
      <c r="AR293" s="102"/>
      <c r="AS293" s="168"/>
      <c r="AT293" s="168"/>
      <c r="AU293" s="96"/>
      <c r="AW293" s="72"/>
      <c r="AX293" s="72"/>
      <c r="AY293" s="72"/>
      <c r="AZ293" s="72"/>
      <c r="BA293" s="72"/>
      <c r="BB293" s="102"/>
      <c r="BC293" s="102"/>
      <c r="BD293" s="102"/>
      <c r="BE293" s="102"/>
      <c r="BF293" s="72"/>
      <c r="BG293" s="168"/>
      <c r="BH293" s="102"/>
      <c r="BI293" s="102"/>
      <c r="BJ293" s="168"/>
      <c r="BK293" s="168"/>
      <c r="BL293" s="96"/>
    </row>
    <row r="294" spans="17:64" ht="13.8" x14ac:dyDescent="0.25">
      <c r="Q294" s="72"/>
      <c r="R294" s="72"/>
      <c r="S294" s="72"/>
      <c r="T294" s="102"/>
      <c r="U294" s="102"/>
      <c r="V294" s="102"/>
      <c r="W294" s="102"/>
      <c r="X294" s="72"/>
      <c r="Y294" s="168"/>
      <c r="Z294" s="102"/>
      <c r="AA294" s="102"/>
      <c r="AB294" s="168"/>
      <c r="AC294" s="168"/>
      <c r="AD294" s="96"/>
      <c r="AF294" s="72"/>
      <c r="AG294" s="72"/>
      <c r="AH294" s="72"/>
      <c r="AI294" s="72"/>
      <c r="AJ294" s="72"/>
      <c r="AK294" s="102"/>
      <c r="AL294" s="102"/>
      <c r="AM294" s="102"/>
      <c r="AN294" s="102"/>
      <c r="AO294" s="72"/>
      <c r="AP294" s="168"/>
      <c r="AQ294" s="102"/>
      <c r="AR294" s="102"/>
      <c r="AS294" s="168"/>
      <c r="AT294" s="168"/>
      <c r="AU294" s="96"/>
      <c r="AW294" s="72"/>
      <c r="AX294" s="72"/>
      <c r="AY294" s="72"/>
      <c r="AZ294" s="72"/>
      <c r="BA294" s="72"/>
      <c r="BB294" s="102"/>
      <c r="BC294" s="102"/>
      <c r="BD294" s="102"/>
      <c r="BE294" s="102"/>
      <c r="BF294" s="72"/>
      <c r="BG294" s="168"/>
      <c r="BH294" s="102"/>
      <c r="BI294" s="102"/>
      <c r="BJ294" s="168"/>
      <c r="BK294" s="168"/>
      <c r="BL294" s="96"/>
    </row>
    <row r="295" spans="17:64" ht="13.8" x14ac:dyDescent="0.25">
      <c r="Q295" s="72"/>
      <c r="R295" s="72"/>
      <c r="S295" s="72"/>
      <c r="T295" s="102"/>
      <c r="U295" s="102"/>
      <c r="V295" s="102"/>
      <c r="W295" s="102"/>
      <c r="X295" s="72"/>
      <c r="Y295" s="168"/>
      <c r="Z295" s="102"/>
      <c r="AA295" s="102"/>
      <c r="AB295" s="168"/>
      <c r="AC295" s="168"/>
      <c r="AD295" s="96"/>
      <c r="AF295" s="72"/>
      <c r="AG295" s="72"/>
      <c r="AH295" s="72"/>
      <c r="AI295" s="72"/>
      <c r="AJ295" s="72"/>
      <c r="AK295" s="102"/>
      <c r="AL295" s="102"/>
      <c r="AM295" s="102"/>
      <c r="AN295" s="102"/>
      <c r="AO295" s="72"/>
      <c r="AP295" s="168"/>
      <c r="AQ295" s="102"/>
      <c r="AR295" s="102"/>
      <c r="AS295" s="168"/>
      <c r="AT295" s="168"/>
      <c r="AU295" s="96"/>
      <c r="AW295" s="72"/>
      <c r="AX295" s="72"/>
      <c r="AY295" s="72"/>
      <c r="AZ295" s="72"/>
      <c r="BA295" s="72"/>
      <c r="BB295" s="102"/>
      <c r="BC295" s="102"/>
      <c r="BD295" s="102"/>
      <c r="BE295" s="102"/>
      <c r="BF295" s="72"/>
      <c r="BG295" s="168"/>
      <c r="BH295" s="102"/>
      <c r="BI295" s="102"/>
      <c r="BJ295" s="168"/>
      <c r="BK295" s="168"/>
      <c r="BL295" s="96"/>
    </row>
    <row r="296" spans="17:64" ht="13.8" x14ac:dyDescent="0.25">
      <c r="Q296" s="72"/>
      <c r="R296" s="72"/>
      <c r="S296" s="72"/>
      <c r="T296" s="102"/>
      <c r="U296" s="102"/>
      <c r="V296" s="102"/>
      <c r="W296" s="102"/>
      <c r="X296" s="72"/>
      <c r="Y296" s="168"/>
      <c r="Z296" s="102"/>
      <c r="AA296" s="102"/>
      <c r="AB296" s="168"/>
      <c r="AC296" s="168"/>
      <c r="AD296" s="96"/>
      <c r="AF296" s="72"/>
      <c r="AG296" s="72"/>
      <c r="AH296" s="72"/>
      <c r="AI296" s="72"/>
      <c r="AJ296" s="72"/>
      <c r="AK296" s="102"/>
      <c r="AL296" s="102"/>
      <c r="AM296" s="102"/>
      <c r="AN296" s="102"/>
      <c r="AO296" s="72"/>
      <c r="AP296" s="168"/>
      <c r="AQ296" s="102"/>
      <c r="AR296" s="102"/>
      <c r="AS296" s="168"/>
      <c r="AT296" s="168"/>
      <c r="AU296" s="96"/>
      <c r="AW296" s="72"/>
      <c r="AX296" s="72"/>
      <c r="AY296" s="72"/>
      <c r="AZ296" s="72"/>
      <c r="BA296" s="72"/>
      <c r="BB296" s="102"/>
      <c r="BC296" s="102"/>
      <c r="BD296" s="102"/>
      <c r="BE296" s="102"/>
      <c r="BF296" s="72"/>
      <c r="BG296" s="168"/>
      <c r="BH296" s="102"/>
      <c r="BI296" s="102"/>
      <c r="BJ296" s="168"/>
      <c r="BK296" s="168"/>
      <c r="BL296" s="96"/>
    </row>
    <row r="297" spans="17:64" ht="13.8" x14ac:dyDescent="0.25">
      <c r="Q297" s="72"/>
      <c r="R297" s="72"/>
      <c r="S297" s="72"/>
      <c r="T297" s="102"/>
      <c r="U297" s="102"/>
      <c r="V297" s="102"/>
      <c r="W297" s="102"/>
      <c r="X297" s="72"/>
      <c r="Y297" s="168"/>
      <c r="Z297" s="102"/>
      <c r="AA297" s="102"/>
      <c r="AB297" s="168"/>
      <c r="AC297" s="168"/>
      <c r="AD297" s="96"/>
      <c r="AF297" s="72"/>
      <c r="AG297" s="72"/>
      <c r="AH297" s="72"/>
      <c r="AI297" s="72"/>
      <c r="AJ297" s="72"/>
      <c r="AK297" s="102"/>
      <c r="AL297" s="102"/>
      <c r="AM297" s="102"/>
      <c r="AN297" s="102"/>
      <c r="AO297" s="72"/>
      <c r="AP297" s="168"/>
      <c r="AQ297" s="102"/>
      <c r="AR297" s="102"/>
      <c r="AS297" s="168"/>
      <c r="AT297" s="168"/>
      <c r="AU297" s="96"/>
      <c r="AW297" s="72"/>
      <c r="AX297" s="72"/>
      <c r="AY297" s="72"/>
      <c r="AZ297" s="72"/>
      <c r="BA297" s="72"/>
      <c r="BB297" s="102"/>
      <c r="BC297" s="102"/>
      <c r="BD297" s="102"/>
      <c r="BE297" s="102"/>
      <c r="BF297" s="72"/>
      <c r="BG297" s="168"/>
      <c r="BH297" s="102"/>
      <c r="BI297" s="102"/>
      <c r="BJ297" s="168"/>
      <c r="BK297" s="168"/>
      <c r="BL297" s="96"/>
    </row>
    <row r="298" spans="17:64" ht="13.8" x14ac:dyDescent="0.25">
      <c r="Q298" s="72"/>
      <c r="R298" s="72"/>
      <c r="S298" s="72"/>
      <c r="T298" s="102"/>
      <c r="U298" s="102"/>
      <c r="V298" s="102"/>
      <c r="W298" s="102"/>
      <c r="X298" s="72"/>
      <c r="Y298" s="168"/>
      <c r="Z298" s="102"/>
      <c r="AA298" s="102"/>
      <c r="AB298" s="168"/>
      <c r="AC298" s="168"/>
      <c r="AD298" s="96"/>
      <c r="AF298" s="72"/>
      <c r="AG298" s="72"/>
      <c r="AH298" s="72"/>
      <c r="AI298" s="72"/>
      <c r="AJ298" s="72"/>
      <c r="AK298" s="102"/>
      <c r="AL298" s="102"/>
      <c r="AM298" s="102"/>
      <c r="AN298" s="102"/>
      <c r="AO298" s="72"/>
      <c r="AP298" s="168"/>
      <c r="AQ298" s="102"/>
      <c r="AR298" s="102"/>
      <c r="AS298" s="168"/>
      <c r="AT298" s="168"/>
      <c r="AU298" s="96"/>
      <c r="AW298" s="72"/>
      <c r="AX298" s="72"/>
      <c r="AY298" s="72"/>
      <c r="AZ298" s="72"/>
      <c r="BA298" s="72"/>
      <c r="BB298" s="102"/>
      <c r="BC298" s="102"/>
      <c r="BD298" s="102"/>
      <c r="BE298" s="102"/>
      <c r="BF298" s="72"/>
      <c r="BG298" s="168"/>
      <c r="BH298" s="102"/>
      <c r="BI298" s="102"/>
      <c r="BJ298" s="168"/>
      <c r="BK298" s="168"/>
      <c r="BL298" s="96"/>
    </row>
    <row r="299" spans="17:64" ht="13.8" x14ac:dyDescent="0.25">
      <c r="Q299" s="72"/>
      <c r="R299" s="72"/>
      <c r="S299" s="72"/>
      <c r="T299" s="102"/>
      <c r="U299" s="102"/>
      <c r="V299" s="102"/>
      <c r="W299" s="102"/>
      <c r="X299" s="72"/>
      <c r="Y299" s="168"/>
      <c r="Z299" s="102"/>
      <c r="AA299" s="102"/>
      <c r="AB299" s="168"/>
      <c r="AC299" s="168"/>
      <c r="AD299" s="96"/>
      <c r="AF299" s="72"/>
      <c r="AG299" s="72"/>
      <c r="AH299" s="72"/>
      <c r="AI299" s="72"/>
      <c r="AJ299" s="72"/>
      <c r="AK299" s="102"/>
      <c r="AL299" s="102"/>
      <c r="AM299" s="102"/>
      <c r="AN299" s="102"/>
      <c r="AO299" s="72"/>
      <c r="AP299" s="168"/>
      <c r="AQ299" s="102"/>
      <c r="AR299" s="102"/>
      <c r="AS299" s="168"/>
      <c r="AT299" s="168"/>
      <c r="AU299" s="96"/>
      <c r="AW299" s="72"/>
      <c r="AX299" s="72"/>
      <c r="AY299" s="72"/>
      <c r="AZ299" s="72"/>
      <c r="BA299" s="72"/>
      <c r="BB299" s="102"/>
      <c r="BC299" s="102"/>
      <c r="BD299" s="102"/>
      <c r="BE299" s="102"/>
      <c r="BF299" s="72"/>
      <c r="BG299" s="168"/>
      <c r="BH299" s="102"/>
      <c r="BI299" s="102"/>
      <c r="BJ299" s="168"/>
      <c r="BK299" s="168"/>
      <c r="BL299" s="96"/>
    </row>
    <row r="300" spans="17:64" ht="13.8" x14ac:dyDescent="0.25">
      <c r="Q300" s="72"/>
      <c r="R300" s="72"/>
      <c r="S300" s="72"/>
      <c r="T300" s="102"/>
      <c r="U300" s="102"/>
      <c r="V300" s="102"/>
      <c r="W300" s="102"/>
      <c r="X300" s="72"/>
      <c r="Y300" s="168"/>
      <c r="Z300" s="102"/>
      <c r="AA300" s="102"/>
      <c r="AB300" s="168"/>
      <c r="AC300" s="168"/>
      <c r="AD300" s="96"/>
      <c r="AF300" s="72"/>
      <c r="AG300" s="72"/>
      <c r="AH300" s="72"/>
      <c r="AI300" s="72"/>
      <c r="AJ300" s="72"/>
      <c r="AK300" s="102"/>
      <c r="AL300" s="102"/>
      <c r="AM300" s="102"/>
      <c r="AN300" s="102"/>
      <c r="AO300" s="72"/>
      <c r="AP300" s="168"/>
      <c r="AQ300" s="102"/>
      <c r="AR300" s="102"/>
      <c r="AS300" s="168"/>
      <c r="AT300" s="168"/>
      <c r="AU300" s="96"/>
      <c r="AW300" s="72"/>
      <c r="AX300" s="72"/>
      <c r="AY300" s="72"/>
      <c r="AZ300" s="72"/>
      <c r="BA300" s="72"/>
      <c r="BB300" s="102"/>
      <c r="BC300" s="102"/>
      <c r="BD300" s="102"/>
      <c r="BE300" s="102"/>
      <c r="BF300" s="72"/>
      <c r="BG300" s="168"/>
      <c r="BH300" s="102"/>
      <c r="BI300" s="102"/>
      <c r="BJ300" s="168"/>
      <c r="BK300" s="168"/>
      <c r="BL300" s="96"/>
    </row>
    <row r="301" spans="17:64" ht="13.8" x14ac:dyDescent="0.25">
      <c r="Q301" s="72"/>
      <c r="R301" s="72"/>
      <c r="S301" s="72"/>
      <c r="T301" s="102"/>
      <c r="U301" s="102"/>
      <c r="V301" s="102"/>
      <c r="W301" s="102"/>
      <c r="X301" s="72"/>
      <c r="Y301" s="168"/>
      <c r="Z301" s="102"/>
      <c r="AA301" s="102"/>
      <c r="AB301" s="168"/>
      <c r="AC301" s="168"/>
      <c r="AD301" s="96"/>
      <c r="AF301" s="72"/>
      <c r="AG301" s="72"/>
      <c r="AH301" s="72"/>
      <c r="AI301" s="72"/>
      <c r="AJ301" s="72"/>
      <c r="AK301" s="102"/>
      <c r="AL301" s="102"/>
      <c r="AM301" s="102"/>
      <c r="AN301" s="102"/>
      <c r="AO301" s="72"/>
      <c r="AP301" s="168"/>
      <c r="AQ301" s="102"/>
      <c r="AR301" s="102"/>
      <c r="AS301" s="168"/>
      <c r="AT301" s="168"/>
      <c r="AU301" s="96"/>
      <c r="AW301" s="72"/>
      <c r="AX301" s="72"/>
      <c r="AY301" s="72"/>
      <c r="AZ301" s="72"/>
      <c r="BA301" s="72"/>
      <c r="BB301" s="102"/>
      <c r="BC301" s="102"/>
      <c r="BD301" s="102"/>
      <c r="BE301" s="102"/>
      <c r="BF301" s="72"/>
      <c r="BG301" s="168"/>
      <c r="BH301" s="102"/>
      <c r="BI301" s="102"/>
      <c r="BJ301" s="168"/>
      <c r="BK301" s="168"/>
      <c r="BL301" s="96"/>
    </row>
    <row r="302" spans="17:64" ht="13.8" x14ac:dyDescent="0.25">
      <c r="Q302" s="72"/>
      <c r="R302" s="72"/>
      <c r="S302" s="72"/>
      <c r="T302" s="102"/>
      <c r="U302" s="102"/>
      <c r="V302" s="102"/>
      <c r="W302" s="102"/>
      <c r="X302" s="72"/>
      <c r="Y302" s="168"/>
      <c r="Z302" s="102"/>
      <c r="AA302" s="102"/>
      <c r="AB302" s="168"/>
      <c r="AC302" s="168"/>
      <c r="AD302" s="96"/>
      <c r="AF302" s="72"/>
      <c r="AG302" s="72"/>
      <c r="AH302" s="72"/>
      <c r="AI302" s="72"/>
      <c r="AJ302" s="72"/>
      <c r="AK302" s="102"/>
      <c r="AL302" s="102"/>
      <c r="AM302" s="102"/>
      <c r="AN302" s="102"/>
      <c r="AO302" s="72"/>
      <c r="AP302" s="168"/>
      <c r="AQ302" s="102"/>
      <c r="AR302" s="102"/>
      <c r="AS302" s="168"/>
      <c r="AT302" s="168"/>
      <c r="AU302" s="96"/>
      <c r="AW302" s="72"/>
      <c r="AX302" s="72"/>
      <c r="AY302" s="72"/>
      <c r="AZ302" s="72"/>
      <c r="BA302" s="72"/>
      <c r="BB302" s="102"/>
      <c r="BC302" s="102"/>
      <c r="BD302" s="102"/>
      <c r="BE302" s="102"/>
      <c r="BF302" s="72"/>
      <c r="BG302" s="168"/>
      <c r="BH302" s="102"/>
      <c r="BI302" s="102"/>
      <c r="BJ302" s="168"/>
      <c r="BK302" s="168"/>
      <c r="BL302" s="96"/>
    </row>
    <row r="303" spans="17:64" ht="13.8" x14ac:dyDescent="0.25">
      <c r="Q303" s="72"/>
      <c r="R303" s="72"/>
      <c r="S303" s="72"/>
      <c r="T303" s="102"/>
      <c r="U303" s="102"/>
      <c r="V303" s="102"/>
      <c r="W303" s="102"/>
      <c r="X303" s="72"/>
      <c r="Y303" s="168"/>
      <c r="Z303" s="102"/>
      <c r="AA303" s="102"/>
      <c r="AB303" s="168"/>
      <c r="AC303" s="168"/>
      <c r="AD303" s="96"/>
      <c r="AF303" s="72"/>
      <c r="AG303" s="72"/>
      <c r="AH303" s="72"/>
      <c r="AI303" s="72"/>
      <c r="AJ303" s="72"/>
      <c r="AK303" s="102"/>
      <c r="AL303" s="102"/>
      <c r="AM303" s="102"/>
      <c r="AN303" s="102"/>
      <c r="AO303" s="72"/>
      <c r="AP303" s="168"/>
      <c r="AQ303" s="102"/>
      <c r="AR303" s="102"/>
      <c r="AS303" s="168"/>
      <c r="AT303" s="168"/>
      <c r="AU303" s="96"/>
      <c r="AW303" s="72"/>
      <c r="AX303" s="72"/>
      <c r="AY303" s="72"/>
      <c r="AZ303" s="72"/>
      <c r="BA303" s="72"/>
      <c r="BB303" s="102"/>
      <c r="BC303" s="102"/>
      <c r="BD303" s="102"/>
      <c r="BE303" s="102"/>
      <c r="BF303" s="72"/>
      <c r="BG303" s="168"/>
      <c r="BH303" s="102"/>
      <c r="BI303" s="102"/>
      <c r="BJ303" s="168"/>
      <c r="BK303" s="168"/>
      <c r="BL303" s="96"/>
    </row>
    <row r="304" spans="17:64" ht="13.8" x14ac:dyDescent="0.25">
      <c r="Q304" s="72"/>
      <c r="R304" s="72"/>
      <c r="S304" s="72"/>
      <c r="T304" s="102"/>
      <c r="U304" s="102"/>
      <c r="V304" s="102"/>
      <c r="W304" s="102"/>
      <c r="X304" s="72"/>
      <c r="Y304" s="168"/>
      <c r="Z304" s="102"/>
      <c r="AA304" s="102"/>
      <c r="AB304" s="168"/>
      <c r="AC304" s="168"/>
      <c r="AD304" s="96"/>
      <c r="AF304" s="72"/>
      <c r="AG304" s="72"/>
      <c r="AH304" s="72"/>
      <c r="AI304" s="72"/>
      <c r="AJ304" s="72"/>
      <c r="AK304" s="102"/>
      <c r="AL304" s="102"/>
      <c r="AM304" s="102"/>
      <c r="AN304" s="102"/>
      <c r="AO304" s="72"/>
      <c r="AP304" s="168"/>
      <c r="AQ304" s="102"/>
      <c r="AR304" s="102"/>
      <c r="AS304" s="168"/>
      <c r="AT304" s="168"/>
      <c r="AU304" s="96"/>
      <c r="AW304" s="72"/>
      <c r="AX304" s="72"/>
      <c r="AY304" s="72"/>
      <c r="AZ304" s="72"/>
      <c r="BA304" s="72"/>
      <c r="BB304" s="102"/>
      <c r="BC304" s="102"/>
      <c r="BD304" s="102"/>
      <c r="BE304" s="102"/>
      <c r="BF304" s="72"/>
      <c r="BG304" s="168"/>
      <c r="BH304" s="102"/>
      <c r="BI304" s="102"/>
      <c r="BJ304" s="168"/>
      <c r="BK304" s="168"/>
      <c r="BL304" s="96"/>
    </row>
    <row r="305" spans="17:64" ht="13.8" x14ac:dyDescent="0.25">
      <c r="Q305" s="72"/>
      <c r="R305" s="72"/>
      <c r="S305" s="72"/>
      <c r="T305" s="102"/>
      <c r="U305" s="102"/>
      <c r="V305" s="102"/>
      <c r="W305" s="102"/>
      <c r="X305" s="72"/>
      <c r="Y305" s="168"/>
      <c r="Z305" s="102"/>
      <c r="AA305" s="102"/>
      <c r="AB305" s="168"/>
      <c r="AC305" s="168"/>
      <c r="AD305" s="96"/>
      <c r="AF305" s="72"/>
      <c r="AG305" s="72"/>
      <c r="AH305" s="72"/>
      <c r="AI305" s="72"/>
      <c r="AJ305" s="72"/>
      <c r="AK305" s="102"/>
      <c r="AL305" s="102"/>
      <c r="AM305" s="102"/>
      <c r="AN305" s="102"/>
      <c r="AO305" s="72"/>
      <c r="AP305" s="168"/>
      <c r="AQ305" s="102"/>
      <c r="AR305" s="102"/>
      <c r="AS305" s="168"/>
      <c r="AT305" s="168"/>
      <c r="AU305" s="96"/>
      <c r="AW305" s="72"/>
      <c r="AX305" s="72"/>
      <c r="AY305" s="72"/>
      <c r="AZ305" s="72"/>
      <c r="BA305" s="72"/>
      <c r="BB305" s="102"/>
      <c r="BC305" s="102"/>
      <c r="BD305" s="102"/>
      <c r="BE305" s="102"/>
      <c r="BF305" s="72"/>
      <c r="BG305" s="168"/>
      <c r="BH305" s="102"/>
      <c r="BI305" s="102"/>
      <c r="BJ305" s="168"/>
      <c r="BK305" s="168"/>
      <c r="BL305" s="96"/>
    </row>
    <row r="306" spans="17:64" ht="13.8" x14ac:dyDescent="0.25">
      <c r="Q306" s="72"/>
      <c r="R306" s="72"/>
      <c r="S306" s="72"/>
      <c r="T306" s="102"/>
      <c r="U306" s="102"/>
      <c r="V306" s="102"/>
      <c r="W306" s="102"/>
      <c r="X306" s="72"/>
      <c r="Y306" s="168"/>
      <c r="Z306" s="102"/>
      <c r="AA306" s="102"/>
      <c r="AB306" s="168"/>
      <c r="AC306" s="168"/>
      <c r="AD306" s="96"/>
      <c r="AF306" s="72"/>
      <c r="AG306" s="72"/>
      <c r="AH306" s="72"/>
      <c r="AI306" s="72"/>
      <c r="AJ306" s="72"/>
      <c r="AK306" s="102"/>
      <c r="AL306" s="102"/>
      <c r="AM306" s="102"/>
      <c r="AN306" s="102"/>
      <c r="AO306" s="72"/>
      <c r="AP306" s="168"/>
      <c r="AQ306" s="102"/>
      <c r="AR306" s="102"/>
      <c r="AS306" s="168"/>
      <c r="AT306" s="168"/>
      <c r="AU306" s="96"/>
      <c r="AW306" s="72"/>
      <c r="AX306" s="72"/>
      <c r="AY306" s="72"/>
      <c r="AZ306" s="72"/>
      <c r="BA306" s="72"/>
      <c r="BB306" s="102"/>
      <c r="BC306" s="102"/>
      <c r="BD306" s="102"/>
      <c r="BE306" s="102"/>
      <c r="BF306" s="72"/>
      <c r="BG306" s="168"/>
      <c r="BH306" s="102"/>
      <c r="BI306" s="102"/>
      <c r="BJ306" s="168"/>
      <c r="BK306" s="168"/>
      <c r="BL306" s="96"/>
    </row>
    <row r="307" spans="17:64" ht="13.8" x14ac:dyDescent="0.25">
      <c r="R307" s="72"/>
      <c r="S307" s="72"/>
      <c r="T307" s="102"/>
      <c r="U307" s="102"/>
      <c r="V307" s="102"/>
      <c r="W307" s="102"/>
      <c r="X307" s="72"/>
      <c r="Y307" s="168"/>
      <c r="Z307" s="102"/>
      <c r="AA307" s="102"/>
      <c r="AB307" s="168"/>
      <c r="AC307" s="168"/>
      <c r="AD307" s="96"/>
      <c r="AF307" s="72"/>
      <c r="AG307" s="72"/>
      <c r="AH307" s="72"/>
      <c r="AI307" s="72"/>
      <c r="AJ307" s="72"/>
      <c r="AK307" s="102"/>
      <c r="AL307" s="102"/>
      <c r="AM307" s="102"/>
      <c r="AN307" s="102"/>
      <c r="AO307" s="72"/>
      <c r="AP307" s="168"/>
      <c r="AQ307" s="102"/>
      <c r="AR307" s="102"/>
      <c r="AS307" s="168"/>
      <c r="AT307" s="168"/>
      <c r="AU307" s="96"/>
      <c r="AW307" s="72"/>
      <c r="AX307" s="72"/>
      <c r="AY307" s="72"/>
      <c r="AZ307" s="72"/>
      <c r="BA307" s="72"/>
      <c r="BB307" s="102"/>
      <c r="BC307" s="102"/>
      <c r="BD307" s="102"/>
      <c r="BE307" s="102"/>
      <c r="BF307" s="72"/>
      <c r="BG307" s="168"/>
      <c r="BH307" s="102"/>
      <c r="BI307" s="102"/>
      <c r="BJ307" s="168"/>
      <c r="BK307" s="168"/>
      <c r="BL307" s="96"/>
    </row>
    <row r="308" spans="17:64" ht="13.8" x14ac:dyDescent="0.25">
      <c r="R308" s="72"/>
      <c r="S308" s="72"/>
      <c r="T308" s="102"/>
      <c r="U308" s="102"/>
      <c r="V308" s="102"/>
      <c r="W308" s="102"/>
      <c r="X308" s="72"/>
      <c r="Y308" s="168"/>
      <c r="Z308" s="102"/>
      <c r="AA308" s="102"/>
      <c r="AB308" s="168"/>
      <c r="AC308" s="168"/>
      <c r="AD308" s="96"/>
      <c r="AF308" s="72"/>
      <c r="AG308" s="72"/>
      <c r="AH308" s="72"/>
      <c r="AI308" s="72"/>
      <c r="AJ308" s="105"/>
      <c r="AK308" s="105"/>
      <c r="AL308" s="97"/>
      <c r="AM308" s="102"/>
      <c r="AN308" s="102"/>
      <c r="AO308" s="102"/>
      <c r="AP308" s="102"/>
      <c r="AQ308" s="102"/>
      <c r="AR308" s="102"/>
      <c r="AS308" s="168"/>
      <c r="AT308" s="168"/>
      <c r="AU308" s="96"/>
      <c r="AW308" s="72"/>
      <c r="AX308" s="72"/>
      <c r="AY308" s="72"/>
      <c r="AZ308" s="72"/>
      <c r="BA308" s="105"/>
      <c r="BB308" s="105"/>
      <c r="BC308" s="97"/>
      <c r="BD308" s="102"/>
      <c r="BE308" s="102"/>
      <c r="BF308" s="102"/>
      <c r="BG308" s="102"/>
      <c r="BH308" s="102"/>
      <c r="BI308" s="102"/>
      <c r="BJ308" s="168"/>
      <c r="BK308" s="168"/>
      <c r="BL308" s="96"/>
    </row>
    <row r="309" spans="17:64" ht="13.8" x14ac:dyDescent="0.25">
      <c r="Q309" s="72"/>
      <c r="R309" s="72"/>
      <c r="S309" s="72"/>
      <c r="T309" s="102"/>
      <c r="U309" s="102"/>
      <c r="V309" s="102"/>
      <c r="W309" s="102"/>
      <c r="X309" s="72"/>
      <c r="Y309" s="168"/>
      <c r="Z309" s="102"/>
      <c r="AA309" s="102"/>
      <c r="AB309" s="168"/>
      <c r="AC309" s="168"/>
      <c r="AD309" s="96"/>
      <c r="AF309" s="72"/>
      <c r="AG309" s="72"/>
      <c r="AH309" s="72"/>
      <c r="AI309" s="72"/>
      <c r="AJ309" s="72"/>
      <c r="AK309" s="102"/>
      <c r="AL309" s="102"/>
      <c r="AM309" s="102"/>
      <c r="AN309" s="102"/>
      <c r="AO309" s="72"/>
      <c r="AP309" s="168"/>
      <c r="AQ309" s="102"/>
      <c r="AR309" s="102"/>
      <c r="AS309" s="168"/>
      <c r="AT309" s="168"/>
      <c r="AU309" s="96"/>
      <c r="AW309" s="72"/>
      <c r="AX309" s="72"/>
      <c r="AY309" s="72"/>
      <c r="AZ309" s="72"/>
      <c r="BA309" s="72"/>
      <c r="BB309" s="102"/>
      <c r="BC309" s="102"/>
      <c r="BD309" s="102"/>
      <c r="BE309" s="102"/>
      <c r="BF309" s="72"/>
      <c r="BG309" s="168"/>
      <c r="BH309" s="102"/>
      <c r="BI309" s="102"/>
      <c r="BJ309" s="168"/>
      <c r="BK309" s="168"/>
      <c r="BL309" s="96"/>
    </row>
    <row r="310" spans="17:64" ht="13.8" x14ac:dyDescent="0.25">
      <c r="R310" s="72"/>
      <c r="S310" s="72"/>
      <c r="T310" s="102"/>
      <c r="U310" s="102"/>
      <c r="V310" s="102"/>
      <c r="W310" s="102"/>
      <c r="X310" s="72"/>
      <c r="Y310" s="168"/>
      <c r="Z310" s="102"/>
      <c r="AA310" s="102"/>
      <c r="AB310" s="168"/>
      <c r="AC310" s="168"/>
      <c r="AD310" s="96"/>
      <c r="AF310" s="72"/>
      <c r="AG310" s="72"/>
      <c r="AH310" s="72"/>
      <c r="AI310" s="72"/>
      <c r="AJ310" s="72"/>
      <c r="AK310" s="102"/>
      <c r="AL310" s="102"/>
      <c r="AM310" s="102"/>
      <c r="AN310" s="102"/>
      <c r="AO310" s="72"/>
      <c r="AP310" s="168"/>
      <c r="AQ310" s="102"/>
      <c r="AR310" s="102"/>
      <c r="AS310" s="168"/>
      <c r="AT310" s="168"/>
      <c r="AU310" s="96"/>
      <c r="AW310" s="72"/>
      <c r="AX310" s="72"/>
      <c r="AY310" s="72"/>
      <c r="AZ310" s="72"/>
      <c r="BA310" s="72"/>
      <c r="BB310" s="102"/>
      <c r="BC310" s="102"/>
      <c r="BD310" s="102"/>
      <c r="BE310" s="102"/>
      <c r="BF310" s="72"/>
      <c r="BG310" s="168"/>
      <c r="BH310" s="102"/>
      <c r="BI310" s="102"/>
      <c r="BJ310" s="168"/>
      <c r="BK310" s="168"/>
      <c r="BL310" s="96"/>
    </row>
    <row r="311" spans="17:64" ht="13.8" x14ac:dyDescent="0.25">
      <c r="R311" s="72"/>
      <c r="S311" s="105"/>
      <c r="T311" s="105"/>
      <c r="U311" s="97"/>
      <c r="V311" s="102"/>
      <c r="W311" s="102"/>
      <c r="X311" s="72"/>
      <c r="Y311" s="72"/>
      <c r="Z311" s="72"/>
      <c r="AA311" s="102"/>
      <c r="AB311" s="168"/>
      <c r="AC311" s="168"/>
      <c r="AD311" s="96"/>
      <c r="AF311" s="72"/>
      <c r="AG311" s="72"/>
      <c r="AH311" s="72"/>
      <c r="AI311" s="72"/>
      <c r="AJ311" s="72"/>
      <c r="AK311" s="102"/>
      <c r="AL311" s="102"/>
      <c r="AM311" s="102"/>
      <c r="AN311" s="102"/>
      <c r="AO311" s="72"/>
      <c r="AP311" s="168"/>
      <c r="AQ311" s="102"/>
      <c r="AR311" s="102"/>
      <c r="AS311" s="168"/>
      <c r="AT311" s="168"/>
      <c r="AU311" s="96"/>
      <c r="AW311" s="72"/>
      <c r="AX311" s="72"/>
      <c r="AY311" s="72"/>
      <c r="AZ311" s="72"/>
      <c r="BA311" s="72"/>
      <c r="BB311" s="102"/>
      <c r="BC311" s="102"/>
      <c r="BD311" s="102"/>
      <c r="BE311" s="102"/>
      <c r="BF311" s="72"/>
      <c r="BG311" s="168"/>
      <c r="BH311" s="102"/>
      <c r="BI311" s="102"/>
      <c r="BJ311" s="168"/>
      <c r="BK311" s="168"/>
      <c r="BL311" s="96"/>
    </row>
    <row r="312" spans="17:64" ht="13.8" x14ac:dyDescent="0.25">
      <c r="R312" s="72"/>
      <c r="S312" s="72"/>
      <c r="T312" s="102"/>
      <c r="U312" s="102"/>
      <c r="V312" s="102"/>
      <c r="W312" s="102"/>
      <c r="X312" s="72"/>
      <c r="Y312" s="168"/>
      <c r="Z312" s="102"/>
      <c r="AA312" s="102"/>
      <c r="AB312" s="168"/>
      <c r="AC312" s="168"/>
      <c r="AD312" s="96"/>
      <c r="AF312" s="72"/>
      <c r="AG312" s="72"/>
      <c r="AH312" s="72"/>
      <c r="AI312" s="72"/>
      <c r="AJ312" s="72"/>
      <c r="AK312" s="102"/>
      <c r="AL312" s="102"/>
      <c r="AM312" s="102"/>
      <c r="AN312" s="102"/>
      <c r="AO312" s="72"/>
      <c r="AP312" s="168"/>
      <c r="AQ312" s="102"/>
      <c r="AR312" s="102"/>
      <c r="AS312" s="168"/>
      <c r="AT312" s="168"/>
      <c r="AU312" s="96"/>
      <c r="AW312" s="72"/>
      <c r="AX312" s="72"/>
      <c r="AY312" s="72"/>
      <c r="AZ312" s="72"/>
      <c r="BA312" s="72"/>
      <c r="BB312" s="102"/>
      <c r="BC312" s="102"/>
      <c r="BD312" s="102"/>
      <c r="BE312" s="102"/>
      <c r="BF312" s="72"/>
      <c r="BG312" s="168"/>
      <c r="BH312" s="102"/>
      <c r="BI312" s="102"/>
      <c r="BJ312" s="168"/>
      <c r="BK312" s="168"/>
      <c r="BL312" s="96"/>
    </row>
    <row r="313" spans="17:64" ht="13.8" x14ac:dyDescent="0.25">
      <c r="R313" s="72"/>
      <c r="S313" s="72"/>
      <c r="T313" s="102"/>
      <c r="U313" s="102"/>
      <c r="V313" s="102"/>
      <c r="W313" s="102"/>
      <c r="X313" s="72"/>
      <c r="Y313" s="168"/>
      <c r="Z313" s="102"/>
      <c r="AA313" s="102"/>
      <c r="AB313" s="168"/>
      <c r="AC313" s="168"/>
      <c r="AD313" s="96"/>
      <c r="AF313" s="72"/>
      <c r="AG313" s="72"/>
      <c r="AH313" s="72"/>
      <c r="AI313" s="72"/>
      <c r="AJ313" s="72"/>
      <c r="AK313" s="102"/>
      <c r="AL313" s="102"/>
      <c r="AM313" s="102"/>
      <c r="AN313" s="102"/>
      <c r="AO313" s="72"/>
      <c r="AP313" s="168"/>
      <c r="AQ313" s="102"/>
      <c r="AR313" s="102"/>
      <c r="AS313" s="168"/>
      <c r="AT313" s="168"/>
      <c r="AU313" s="96"/>
      <c r="AW313" s="72"/>
      <c r="AX313" s="72"/>
      <c r="AY313" s="72"/>
      <c r="AZ313" s="72"/>
      <c r="BA313" s="72"/>
      <c r="BB313" s="102"/>
      <c r="BC313" s="102"/>
      <c r="BD313" s="102"/>
      <c r="BE313" s="102"/>
      <c r="BF313" s="72"/>
      <c r="BG313" s="168"/>
      <c r="BH313" s="102"/>
      <c r="BI313" s="102"/>
      <c r="BJ313" s="168"/>
      <c r="BK313" s="168"/>
      <c r="BL313" s="96"/>
    </row>
    <row r="314" spans="17:64" ht="13.8" x14ac:dyDescent="0.25">
      <c r="R314" s="72"/>
      <c r="S314" s="72"/>
      <c r="T314" s="102"/>
      <c r="U314" s="102"/>
      <c r="V314" s="102"/>
      <c r="W314" s="102"/>
      <c r="X314" s="72"/>
      <c r="Y314" s="168"/>
      <c r="Z314" s="102"/>
      <c r="AA314" s="102"/>
      <c r="AB314" s="168"/>
      <c r="AC314" s="168"/>
      <c r="AD314" s="96"/>
      <c r="AF314" s="72"/>
      <c r="AG314" s="72"/>
      <c r="AH314" s="72"/>
      <c r="AI314" s="72"/>
      <c r="AJ314" s="72"/>
      <c r="AK314" s="102"/>
      <c r="AL314" s="102"/>
      <c r="AM314" s="102"/>
      <c r="AN314" s="102"/>
      <c r="AO314" s="72"/>
      <c r="AP314" s="168"/>
      <c r="AQ314" s="102"/>
      <c r="AR314" s="102"/>
      <c r="AS314" s="168"/>
      <c r="AT314" s="168"/>
      <c r="AU314" s="96"/>
      <c r="AW314" s="72"/>
      <c r="AX314" s="72"/>
      <c r="AY314" s="72"/>
      <c r="AZ314" s="72"/>
      <c r="BA314" s="72"/>
      <c r="BB314" s="102"/>
      <c r="BC314" s="102"/>
      <c r="BD314" s="102"/>
      <c r="BE314" s="102"/>
      <c r="BF314" s="72"/>
      <c r="BG314" s="168"/>
      <c r="BH314" s="102"/>
      <c r="BI314" s="102"/>
      <c r="BJ314" s="168"/>
      <c r="BK314" s="168"/>
      <c r="BL314" s="96"/>
    </row>
    <row r="315" spans="17:64" ht="13.8" x14ac:dyDescent="0.25">
      <c r="R315" s="72"/>
      <c r="S315" s="72"/>
      <c r="T315" s="102"/>
      <c r="U315" s="102"/>
      <c r="V315" s="102"/>
      <c r="W315" s="102"/>
      <c r="X315" s="72"/>
      <c r="Y315" s="168"/>
      <c r="Z315" s="102"/>
      <c r="AA315" s="102"/>
      <c r="AB315" s="168"/>
      <c r="AC315" s="168"/>
      <c r="AD315" s="96"/>
      <c r="AF315" s="72"/>
      <c r="AG315" s="72"/>
      <c r="AH315" s="72"/>
      <c r="AI315" s="72"/>
      <c r="AJ315" s="72"/>
      <c r="AK315" s="102"/>
      <c r="AL315" s="102"/>
      <c r="AM315" s="102"/>
      <c r="AN315" s="102"/>
      <c r="AO315" s="72"/>
      <c r="AP315" s="168"/>
      <c r="AQ315" s="102"/>
      <c r="AR315" s="102"/>
      <c r="AS315" s="168"/>
      <c r="AT315" s="168"/>
      <c r="AU315" s="96"/>
      <c r="AW315" s="72"/>
      <c r="AX315" s="72"/>
      <c r="AY315" s="72"/>
      <c r="AZ315" s="72"/>
      <c r="BA315" s="72"/>
      <c r="BB315" s="102"/>
      <c r="BC315" s="102"/>
      <c r="BD315" s="102"/>
      <c r="BE315" s="102"/>
      <c r="BF315" s="72"/>
      <c r="BG315" s="168"/>
      <c r="BH315" s="102"/>
      <c r="BI315" s="102"/>
      <c r="BJ315" s="168"/>
      <c r="BK315" s="168"/>
      <c r="BL315" s="96"/>
    </row>
    <row r="316" spans="17:64" ht="13.8" x14ac:dyDescent="0.25">
      <c r="R316" s="72"/>
      <c r="S316" s="72"/>
      <c r="T316" s="102"/>
      <c r="U316" s="102"/>
      <c r="V316" s="102"/>
      <c r="W316" s="102"/>
      <c r="X316" s="72"/>
      <c r="Y316" s="168"/>
      <c r="Z316" s="102"/>
      <c r="AA316" s="102"/>
      <c r="AB316" s="168"/>
      <c r="AC316" s="168"/>
      <c r="AD316" s="96"/>
      <c r="AF316" s="72"/>
      <c r="AG316" s="72"/>
      <c r="AH316" s="72"/>
      <c r="AI316" s="72"/>
      <c r="AJ316" s="72"/>
      <c r="AK316" s="102"/>
      <c r="AL316" s="102"/>
      <c r="AM316" s="102"/>
      <c r="AN316" s="102"/>
      <c r="AO316" s="72"/>
      <c r="AP316" s="168"/>
      <c r="AQ316" s="102"/>
      <c r="AR316" s="102"/>
      <c r="AS316" s="168"/>
      <c r="AT316" s="168"/>
      <c r="AU316" s="96"/>
      <c r="AW316" s="72"/>
      <c r="AX316" s="72"/>
      <c r="AY316" s="72"/>
      <c r="AZ316" s="72"/>
      <c r="BA316" s="72"/>
      <c r="BB316" s="102"/>
      <c r="BC316" s="102"/>
      <c r="BD316" s="102"/>
      <c r="BE316" s="102"/>
      <c r="BF316" s="72"/>
      <c r="BG316" s="168"/>
      <c r="BH316" s="102"/>
      <c r="BI316" s="102"/>
      <c r="BJ316" s="168"/>
      <c r="BK316" s="168"/>
      <c r="BL316" s="96"/>
    </row>
    <row r="317" spans="17:64" ht="13.8" x14ac:dyDescent="0.25">
      <c r="R317" s="72"/>
      <c r="S317" s="72"/>
      <c r="T317" s="102"/>
      <c r="U317" s="102"/>
      <c r="V317" s="102"/>
      <c r="W317" s="102"/>
      <c r="X317" s="72"/>
      <c r="Y317" s="168"/>
      <c r="Z317" s="102"/>
      <c r="AA317" s="102"/>
      <c r="AB317" s="168"/>
      <c r="AC317" s="168"/>
      <c r="AD317" s="96"/>
      <c r="AF317" s="72"/>
      <c r="AG317" s="72"/>
      <c r="AH317" s="72"/>
      <c r="AI317" s="72"/>
      <c r="AJ317" s="72"/>
      <c r="AK317" s="102"/>
      <c r="AL317" s="102"/>
      <c r="AM317" s="102"/>
      <c r="AN317" s="102"/>
      <c r="AO317" s="72"/>
      <c r="AP317" s="168"/>
      <c r="AQ317" s="102"/>
      <c r="AR317" s="102"/>
      <c r="AS317" s="168"/>
      <c r="AT317" s="168"/>
      <c r="AU317" s="96"/>
      <c r="AW317" s="72"/>
      <c r="AX317" s="72"/>
      <c r="AY317" s="72"/>
      <c r="AZ317" s="72"/>
      <c r="BA317" s="72"/>
      <c r="BB317" s="102"/>
      <c r="BC317" s="102"/>
      <c r="BD317" s="102"/>
      <c r="BE317" s="102"/>
      <c r="BF317" s="72"/>
      <c r="BG317" s="168"/>
      <c r="BH317" s="102"/>
      <c r="BI317" s="102"/>
      <c r="BJ317" s="168"/>
      <c r="BK317" s="168"/>
      <c r="BL317" s="96"/>
    </row>
    <row r="318" spans="17:64" ht="13.8" x14ac:dyDescent="0.25">
      <c r="R318" s="72"/>
      <c r="S318" s="72"/>
      <c r="T318" s="102"/>
      <c r="U318" s="102"/>
      <c r="V318" s="102"/>
      <c r="W318" s="102"/>
      <c r="X318" s="72"/>
      <c r="Y318" s="168"/>
      <c r="Z318" s="102"/>
      <c r="AA318" s="102"/>
      <c r="AB318" s="168"/>
      <c r="AC318" s="168"/>
      <c r="AD318" s="96"/>
      <c r="AF318" s="72"/>
      <c r="AG318" s="72"/>
      <c r="AH318" s="72"/>
      <c r="AI318" s="72"/>
      <c r="AJ318" s="72"/>
      <c r="AK318" s="102"/>
      <c r="AL318" s="102"/>
      <c r="AM318" s="102"/>
      <c r="AN318" s="102"/>
      <c r="AO318" s="72"/>
      <c r="AP318" s="168"/>
      <c r="AQ318" s="102"/>
      <c r="AR318" s="102"/>
      <c r="AS318" s="168"/>
      <c r="AT318" s="168"/>
      <c r="AU318" s="96"/>
      <c r="AW318" s="72"/>
      <c r="AX318" s="72"/>
      <c r="AY318" s="72"/>
      <c r="AZ318" s="72"/>
      <c r="BA318" s="72"/>
      <c r="BB318" s="102"/>
      <c r="BC318" s="102"/>
      <c r="BD318" s="102"/>
      <c r="BE318" s="102"/>
      <c r="BF318" s="72"/>
      <c r="BG318" s="168"/>
      <c r="BH318" s="102"/>
      <c r="BI318" s="102"/>
      <c r="BJ318" s="168"/>
      <c r="BK318" s="168"/>
      <c r="BL318" s="96"/>
    </row>
    <row r="319" spans="17:64" ht="13.8" x14ac:dyDescent="0.25">
      <c r="R319" s="72"/>
      <c r="S319" s="72"/>
      <c r="T319" s="102"/>
      <c r="U319" s="102"/>
      <c r="V319" s="102"/>
      <c r="W319" s="102"/>
      <c r="X319" s="72"/>
      <c r="Y319" s="168"/>
      <c r="Z319" s="102"/>
      <c r="AA319" s="102"/>
      <c r="AB319" s="168"/>
      <c r="AC319" s="168"/>
      <c r="AD319" s="96"/>
      <c r="AF319" s="72"/>
      <c r="AG319" s="72"/>
      <c r="AH319" s="72"/>
      <c r="AI319" s="72"/>
      <c r="AJ319" s="72"/>
      <c r="AK319" s="102"/>
      <c r="AL319" s="102"/>
      <c r="AM319" s="102"/>
      <c r="AN319" s="102"/>
      <c r="AO319" s="72"/>
      <c r="AP319" s="168"/>
      <c r="AQ319" s="102"/>
      <c r="AR319" s="102"/>
      <c r="AS319" s="168"/>
      <c r="AT319" s="168"/>
      <c r="AU319" s="96"/>
      <c r="AW319" s="72"/>
      <c r="AX319" s="72"/>
      <c r="AY319" s="72"/>
      <c r="AZ319" s="72"/>
      <c r="BA319" s="72"/>
      <c r="BB319" s="102"/>
      <c r="BC319" s="102"/>
      <c r="BD319" s="102"/>
      <c r="BE319" s="102"/>
      <c r="BF319" s="72"/>
      <c r="BG319" s="168"/>
      <c r="BH319" s="102"/>
      <c r="BI319" s="102"/>
      <c r="BJ319" s="168"/>
      <c r="BK319" s="168"/>
      <c r="BL319" s="96"/>
    </row>
    <row r="320" spans="17:64" ht="13.8" x14ac:dyDescent="0.25">
      <c r="R320" s="72"/>
      <c r="S320" s="72"/>
      <c r="T320" s="102"/>
      <c r="U320" s="102"/>
      <c r="V320" s="102"/>
      <c r="W320" s="102"/>
      <c r="X320" s="72"/>
      <c r="Y320" s="168"/>
      <c r="Z320" s="102"/>
      <c r="AA320" s="102"/>
      <c r="AB320" s="168"/>
      <c r="AC320" s="168"/>
      <c r="AD320" s="96"/>
      <c r="AF320" s="72"/>
      <c r="AG320" s="72"/>
      <c r="AH320" s="72"/>
      <c r="AI320" s="72"/>
      <c r="AJ320" s="72"/>
      <c r="AK320" s="102"/>
      <c r="AL320" s="102"/>
      <c r="AM320" s="102"/>
      <c r="AN320" s="102"/>
      <c r="AO320" s="72"/>
      <c r="AP320" s="168"/>
      <c r="AQ320" s="102"/>
      <c r="AR320" s="102"/>
      <c r="AS320" s="168"/>
      <c r="AT320" s="168"/>
      <c r="AU320" s="96"/>
      <c r="AW320" s="72"/>
      <c r="AX320" s="72"/>
      <c r="AY320" s="72"/>
      <c r="AZ320" s="72"/>
      <c r="BA320" s="72"/>
      <c r="BB320" s="102"/>
      <c r="BC320" s="102"/>
      <c r="BD320" s="102"/>
      <c r="BE320" s="102"/>
      <c r="BF320" s="72"/>
      <c r="BG320" s="168"/>
      <c r="BH320" s="102"/>
      <c r="BI320" s="102"/>
      <c r="BJ320" s="168"/>
      <c r="BK320" s="168"/>
      <c r="BL320" s="96"/>
    </row>
    <row r="321" spans="18:64" ht="13.8" x14ac:dyDescent="0.25">
      <c r="R321" s="72"/>
      <c r="S321" s="72"/>
      <c r="T321" s="102"/>
      <c r="U321" s="102"/>
      <c r="V321" s="102"/>
      <c r="W321" s="102"/>
      <c r="X321" s="72"/>
      <c r="Y321" s="168"/>
      <c r="Z321" s="102"/>
      <c r="AA321" s="102"/>
      <c r="AB321" s="168"/>
      <c r="AC321" s="168"/>
      <c r="AD321" s="96"/>
      <c r="AF321" s="72"/>
      <c r="AG321" s="72"/>
      <c r="AH321" s="72"/>
      <c r="AI321" s="72"/>
      <c r="AJ321" s="72"/>
      <c r="AK321" s="102"/>
      <c r="AL321" s="102"/>
      <c r="AM321" s="102"/>
      <c r="AN321" s="102"/>
      <c r="AO321" s="72"/>
      <c r="AP321" s="168"/>
      <c r="AQ321" s="102"/>
      <c r="AR321" s="102"/>
      <c r="AS321" s="168"/>
      <c r="AT321" s="168"/>
      <c r="AU321" s="96"/>
      <c r="AW321" s="72"/>
      <c r="AX321" s="72"/>
      <c r="AY321" s="72"/>
      <c r="AZ321" s="72"/>
      <c r="BA321" s="72"/>
      <c r="BB321" s="102"/>
      <c r="BC321" s="102"/>
      <c r="BD321" s="102"/>
      <c r="BE321" s="102"/>
      <c r="BF321" s="72"/>
      <c r="BG321" s="168"/>
      <c r="BH321" s="102"/>
      <c r="BI321" s="102"/>
      <c r="BJ321" s="168"/>
      <c r="BK321" s="168"/>
      <c r="BL321" s="96"/>
    </row>
    <row r="322" spans="18:64" ht="13.8" x14ac:dyDescent="0.25">
      <c r="R322" s="72"/>
      <c r="S322" s="72"/>
      <c r="T322" s="102"/>
      <c r="U322" s="102"/>
      <c r="V322" s="102"/>
      <c r="W322" s="102"/>
      <c r="X322" s="72"/>
      <c r="Y322" s="168"/>
      <c r="Z322" s="102"/>
      <c r="AA322" s="102"/>
      <c r="AB322" s="168"/>
      <c r="AC322" s="168"/>
      <c r="AD322" s="96"/>
      <c r="AF322" s="72"/>
      <c r="AG322" s="72"/>
      <c r="AH322" s="72"/>
      <c r="AI322" s="72"/>
      <c r="AJ322" s="72"/>
      <c r="AK322" s="102"/>
      <c r="AL322" s="102"/>
      <c r="AM322" s="102"/>
      <c r="AN322" s="102"/>
      <c r="AO322" s="72"/>
      <c r="AP322" s="168"/>
      <c r="AQ322" s="102"/>
      <c r="AR322" s="102"/>
      <c r="AS322" s="168"/>
      <c r="AT322" s="168"/>
      <c r="AU322" s="96"/>
      <c r="AW322" s="72"/>
      <c r="AX322" s="72"/>
      <c r="AY322" s="72"/>
      <c r="AZ322" s="72"/>
      <c r="BA322" s="72"/>
      <c r="BB322" s="102"/>
      <c r="BC322" s="102"/>
      <c r="BD322" s="102"/>
      <c r="BE322" s="102"/>
      <c r="BF322" s="72"/>
      <c r="BG322" s="168"/>
      <c r="BH322" s="102"/>
      <c r="BI322" s="102"/>
      <c r="BJ322" s="168"/>
      <c r="BK322" s="168"/>
      <c r="BL322" s="96"/>
    </row>
    <row r="323" spans="18:64" ht="13.8" x14ac:dyDescent="0.25">
      <c r="R323" s="72"/>
      <c r="S323" s="72"/>
      <c r="T323" s="102"/>
      <c r="U323" s="102"/>
      <c r="V323" s="102"/>
      <c r="W323" s="102"/>
      <c r="X323" s="72"/>
      <c r="Y323" s="168"/>
      <c r="Z323" s="102"/>
      <c r="AA323" s="102"/>
      <c r="AB323" s="168"/>
      <c r="AC323" s="168"/>
      <c r="AD323" s="96"/>
      <c r="AF323" s="72"/>
      <c r="AG323" s="72"/>
      <c r="AH323" s="72"/>
      <c r="AI323" s="72"/>
      <c r="AJ323" s="72"/>
      <c r="AK323" s="102"/>
      <c r="AL323" s="102"/>
      <c r="AM323" s="102"/>
      <c r="AN323" s="102"/>
      <c r="AO323" s="72"/>
      <c r="AP323" s="168"/>
      <c r="AQ323" s="102"/>
      <c r="AR323" s="102"/>
      <c r="AS323" s="168"/>
      <c r="AT323" s="168"/>
      <c r="AU323" s="96"/>
      <c r="AW323" s="72"/>
      <c r="AX323" s="72"/>
      <c r="AY323" s="72"/>
      <c r="AZ323" s="72"/>
      <c r="BA323" s="72"/>
      <c r="BB323" s="102"/>
      <c r="BC323" s="102"/>
      <c r="BD323" s="102"/>
      <c r="BE323" s="102"/>
      <c r="BF323" s="72"/>
      <c r="BG323" s="168"/>
      <c r="BH323" s="102"/>
      <c r="BI323" s="102"/>
      <c r="BJ323" s="168"/>
      <c r="BK323" s="168"/>
      <c r="BL323" s="96"/>
    </row>
    <row r="324" spans="18:64" ht="13.8" x14ac:dyDescent="0.25">
      <c r="R324" s="72"/>
      <c r="S324" s="72"/>
      <c r="T324" s="102"/>
      <c r="U324" s="102"/>
      <c r="V324" s="102"/>
      <c r="W324" s="102"/>
      <c r="X324" s="72"/>
      <c r="Y324" s="168"/>
      <c r="Z324" s="102"/>
      <c r="AA324" s="102"/>
      <c r="AB324" s="168"/>
      <c r="AC324" s="168"/>
      <c r="AD324" s="96"/>
      <c r="AF324" s="72"/>
      <c r="AG324" s="72"/>
      <c r="AH324" s="72"/>
      <c r="AI324" s="72"/>
      <c r="AJ324" s="72"/>
      <c r="AK324" s="102"/>
      <c r="AL324" s="102"/>
      <c r="AM324" s="102"/>
      <c r="AN324" s="102"/>
      <c r="AO324" s="72"/>
      <c r="AP324" s="168"/>
      <c r="AQ324" s="102"/>
      <c r="AR324" s="102"/>
      <c r="AS324" s="168"/>
      <c r="AT324" s="168"/>
      <c r="AU324" s="96"/>
      <c r="AW324" s="72"/>
      <c r="AX324" s="72"/>
      <c r="AY324" s="72"/>
      <c r="AZ324" s="72"/>
      <c r="BA324" s="72"/>
      <c r="BB324" s="102"/>
      <c r="BC324" s="102"/>
      <c r="BD324" s="102"/>
      <c r="BE324" s="102"/>
      <c r="BF324" s="72"/>
      <c r="BG324" s="168"/>
      <c r="BH324" s="102"/>
      <c r="BI324" s="102"/>
      <c r="BJ324" s="168"/>
      <c r="BK324" s="168"/>
      <c r="BL324" s="96"/>
    </row>
    <row r="325" spans="18:64" ht="13.8" x14ac:dyDescent="0.25">
      <c r="R325" s="72"/>
      <c r="S325" s="72"/>
      <c r="T325" s="102"/>
      <c r="U325" s="102"/>
      <c r="V325" s="102"/>
      <c r="W325" s="102"/>
      <c r="X325" s="72"/>
      <c r="Y325" s="168"/>
      <c r="Z325" s="102"/>
      <c r="AA325" s="102"/>
      <c r="AB325" s="168"/>
      <c r="AC325" s="168"/>
      <c r="AD325" s="96"/>
      <c r="AF325" s="72"/>
      <c r="AG325" s="72"/>
      <c r="AH325" s="72"/>
      <c r="AI325" s="72"/>
      <c r="AJ325" s="72"/>
      <c r="AK325" s="102"/>
      <c r="AL325" s="102"/>
      <c r="AM325" s="102"/>
      <c r="AN325" s="102"/>
      <c r="AO325" s="72"/>
      <c r="AP325" s="168"/>
      <c r="AQ325" s="102"/>
      <c r="AR325" s="102"/>
      <c r="AS325" s="168"/>
      <c r="AT325" s="168"/>
      <c r="AU325" s="96"/>
      <c r="AW325" s="72"/>
      <c r="AX325" s="72"/>
      <c r="AY325" s="72"/>
      <c r="AZ325" s="72"/>
      <c r="BA325" s="72"/>
      <c r="BB325" s="102"/>
      <c r="BC325" s="102"/>
      <c r="BD325" s="102"/>
      <c r="BE325" s="102"/>
      <c r="BF325" s="72"/>
      <c r="BG325" s="168"/>
      <c r="BH325" s="102"/>
      <c r="BI325" s="102"/>
      <c r="BJ325" s="168"/>
      <c r="BK325" s="168"/>
      <c r="BL325" s="96"/>
    </row>
    <row r="326" spans="18:64" ht="13.8" x14ac:dyDescent="0.25">
      <c r="R326" s="72"/>
      <c r="S326" s="72"/>
      <c r="T326" s="102"/>
      <c r="U326" s="102"/>
      <c r="V326" s="102"/>
      <c r="W326" s="102"/>
      <c r="X326" s="72"/>
      <c r="Y326" s="168"/>
      <c r="Z326" s="102"/>
      <c r="AA326" s="102"/>
      <c r="AB326" s="168"/>
      <c r="AC326" s="168"/>
      <c r="AD326" s="96"/>
      <c r="AF326" s="72"/>
      <c r="AG326" s="72"/>
      <c r="AH326" s="72"/>
      <c r="AI326" s="72"/>
      <c r="AJ326" s="72"/>
      <c r="AK326" s="102"/>
      <c r="AL326" s="102"/>
      <c r="AM326" s="102"/>
      <c r="AN326" s="102"/>
      <c r="AO326" s="72"/>
      <c r="AP326" s="168"/>
      <c r="AQ326" s="102"/>
      <c r="AR326" s="102"/>
      <c r="AS326" s="168"/>
      <c r="AT326" s="168"/>
      <c r="AU326" s="96"/>
      <c r="AW326" s="72"/>
      <c r="AX326" s="72"/>
      <c r="AY326" s="72"/>
      <c r="AZ326" s="72"/>
      <c r="BA326" s="72"/>
      <c r="BB326" s="102"/>
      <c r="BC326" s="102"/>
      <c r="BD326" s="102"/>
      <c r="BE326" s="102"/>
      <c r="BF326" s="72"/>
      <c r="BG326" s="168"/>
      <c r="BH326" s="102"/>
      <c r="BI326" s="102"/>
      <c r="BJ326" s="168"/>
      <c r="BK326" s="168"/>
      <c r="BL326" s="96"/>
    </row>
    <row r="327" spans="18:64" ht="13.8" x14ac:dyDescent="0.25">
      <c r="R327" s="72"/>
      <c r="S327" s="72"/>
      <c r="T327" s="102"/>
      <c r="U327" s="102"/>
      <c r="V327" s="102"/>
      <c r="W327" s="102"/>
      <c r="X327" s="72"/>
      <c r="Y327" s="168"/>
      <c r="Z327" s="102"/>
      <c r="AA327" s="102"/>
      <c r="AB327" s="168"/>
      <c r="AC327" s="168"/>
      <c r="AD327" s="96"/>
      <c r="AF327" s="72"/>
      <c r="AG327" s="72"/>
      <c r="AH327" s="72"/>
      <c r="AI327" s="72"/>
      <c r="AJ327" s="105"/>
      <c r="AK327" s="105"/>
      <c r="AL327" s="97"/>
      <c r="AM327" s="102"/>
      <c r="AN327" s="102"/>
      <c r="AO327" s="102"/>
      <c r="AP327" s="102"/>
      <c r="AQ327" s="102"/>
      <c r="AR327" s="102"/>
      <c r="AS327" s="168"/>
      <c r="AT327" s="168"/>
      <c r="AU327" s="96"/>
      <c r="AW327" s="72"/>
      <c r="AX327" s="72"/>
      <c r="AY327" s="72"/>
      <c r="AZ327" s="72"/>
      <c r="BA327" s="105"/>
      <c r="BB327" s="105"/>
      <c r="BC327" s="97"/>
      <c r="BD327" s="102"/>
      <c r="BE327" s="102"/>
      <c r="BF327" s="102"/>
      <c r="BG327" s="102"/>
      <c r="BH327" s="102"/>
      <c r="BI327" s="102"/>
      <c r="BJ327" s="168"/>
      <c r="BK327" s="168"/>
      <c r="BL327" s="96"/>
    </row>
    <row r="328" spans="18:64" ht="13.8" x14ac:dyDescent="0.25">
      <c r="R328" s="72"/>
      <c r="S328" s="72"/>
      <c r="T328" s="102"/>
      <c r="U328" s="102"/>
      <c r="V328" s="102"/>
      <c r="W328" s="102"/>
      <c r="X328" s="72"/>
      <c r="Y328" s="168"/>
      <c r="Z328" s="102"/>
      <c r="AA328" s="102"/>
      <c r="AB328" s="168"/>
      <c r="AC328" s="168"/>
      <c r="AD328" s="96"/>
      <c r="AF328" s="72"/>
      <c r="AG328" s="72"/>
      <c r="AH328" s="72"/>
      <c r="AI328" s="72"/>
      <c r="AJ328" s="72"/>
      <c r="AK328" s="102"/>
      <c r="AL328" s="102"/>
      <c r="AM328" s="102"/>
      <c r="AN328" s="102"/>
      <c r="AO328" s="72"/>
      <c r="AP328" s="168"/>
      <c r="AQ328" s="102"/>
      <c r="AR328" s="102"/>
      <c r="AS328" s="168"/>
      <c r="AT328" s="168"/>
      <c r="AU328" s="96"/>
      <c r="AW328" s="72"/>
      <c r="AX328" s="72"/>
      <c r="AY328" s="72"/>
      <c r="AZ328" s="72"/>
      <c r="BA328" s="72"/>
      <c r="BB328" s="102"/>
      <c r="BC328" s="102"/>
      <c r="BD328" s="102"/>
      <c r="BE328" s="102"/>
      <c r="BF328" s="72"/>
      <c r="BG328" s="168"/>
      <c r="BH328" s="102"/>
      <c r="BI328" s="102"/>
      <c r="BJ328" s="168"/>
      <c r="BK328" s="168"/>
      <c r="BL328" s="96"/>
    </row>
    <row r="329" spans="18:64" ht="13.8" x14ac:dyDescent="0.25">
      <c r="R329" s="72"/>
      <c r="S329" s="72"/>
      <c r="T329" s="102"/>
      <c r="U329" s="102"/>
      <c r="V329" s="102"/>
      <c r="W329" s="102"/>
      <c r="X329" s="72"/>
      <c r="Y329" s="168"/>
      <c r="Z329" s="102"/>
      <c r="AA329" s="102"/>
      <c r="AB329" s="168"/>
      <c r="AC329" s="168"/>
      <c r="AD329" s="96"/>
      <c r="AF329" s="72"/>
      <c r="AG329" s="72"/>
      <c r="AH329" s="72"/>
      <c r="AI329" s="72"/>
      <c r="AJ329" s="72"/>
      <c r="AK329" s="102"/>
      <c r="AL329" s="102"/>
      <c r="AM329" s="102"/>
      <c r="AN329" s="102"/>
      <c r="AO329" s="72"/>
      <c r="AP329" s="168"/>
      <c r="AQ329" s="102"/>
      <c r="AR329" s="102"/>
      <c r="AS329" s="168"/>
      <c r="AT329" s="168"/>
      <c r="AU329" s="96"/>
      <c r="AW329" s="72"/>
      <c r="AX329" s="72"/>
      <c r="AY329" s="72"/>
      <c r="AZ329" s="72"/>
      <c r="BA329" s="72"/>
      <c r="BB329" s="102"/>
      <c r="BC329" s="102"/>
      <c r="BD329" s="102"/>
      <c r="BE329" s="102"/>
      <c r="BF329" s="72"/>
      <c r="BG329" s="168"/>
      <c r="BH329" s="102"/>
      <c r="BI329" s="102"/>
      <c r="BJ329" s="168"/>
      <c r="BK329" s="168"/>
      <c r="BL329" s="96"/>
    </row>
    <row r="330" spans="18:64" ht="13.8" x14ac:dyDescent="0.25">
      <c r="R330" s="72"/>
      <c r="S330" s="105"/>
      <c r="T330" s="105"/>
      <c r="U330" s="97"/>
      <c r="V330" s="102"/>
      <c r="W330" s="102"/>
      <c r="X330" s="72"/>
      <c r="Y330" s="72"/>
      <c r="Z330" s="72"/>
      <c r="AA330" s="102"/>
      <c r="AB330" s="168"/>
      <c r="AC330" s="168"/>
      <c r="AD330" s="96"/>
      <c r="AF330" s="72"/>
      <c r="AG330" s="72"/>
      <c r="AH330" s="72"/>
      <c r="AI330" s="72"/>
      <c r="AJ330" s="72"/>
      <c r="AK330" s="102"/>
      <c r="AL330" s="102"/>
      <c r="AM330" s="102"/>
      <c r="AN330" s="102"/>
      <c r="AO330" s="72"/>
      <c r="AP330" s="168"/>
      <c r="AQ330" s="102"/>
      <c r="AR330" s="102"/>
      <c r="AS330" s="168"/>
      <c r="AT330" s="168"/>
      <c r="AU330" s="96"/>
      <c r="AW330" s="72"/>
      <c r="AX330" s="72"/>
      <c r="AY330" s="72"/>
      <c r="AZ330" s="72"/>
      <c r="BA330" s="72"/>
      <c r="BB330" s="102"/>
      <c r="BC330" s="102"/>
      <c r="BD330" s="102"/>
      <c r="BE330" s="102"/>
      <c r="BF330" s="72"/>
      <c r="BG330" s="168"/>
      <c r="BH330" s="102"/>
      <c r="BI330" s="102"/>
      <c r="BJ330" s="168"/>
      <c r="BK330" s="168"/>
      <c r="BL330" s="96"/>
    </row>
    <row r="331" spans="18:64" ht="13.8" x14ac:dyDescent="0.25">
      <c r="R331" s="72"/>
      <c r="S331" s="72"/>
      <c r="T331" s="102"/>
      <c r="U331" s="102"/>
      <c r="V331" s="102"/>
      <c r="W331" s="102"/>
      <c r="X331" s="72"/>
      <c r="Y331" s="168"/>
      <c r="Z331" s="102"/>
      <c r="AA331" s="102"/>
      <c r="AB331" s="168"/>
      <c r="AC331" s="168"/>
      <c r="AD331" s="96"/>
      <c r="AF331" s="72"/>
      <c r="AG331" s="72"/>
      <c r="AH331" s="72"/>
      <c r="AI331" s="72"/>
      <c r="AJ331" s="72"/>
      <c r="AK331" s="102"/>
      <c r="AL331" s="102"/>
      <c r="AM331" s="102"/>
      <c r="AN331" s="102"/>
      <c r="AO331" s="72"/>
      <c r="AP331" s="168"/>
      <c r="AQ331" s="102"/>
      <c r="AR331" s="102"/>
      <c r="AS331" s="168"/>
      <c r="AT331" s="168"/>
      <c r="AU331" s="96"/>
      <c r="AW331" s="72"/>
      <c r="AX331" s="72"/>
      <c r="AY331" s="72"/>
      <c r="AZ331" s="72"/>
      <c r="BA331" s="72"/>
      <c r="BB331" s="102"/>
      <c r="BC331" s="102"/>
      <c r="BD331" s="102"/>
      <c r="BE331" s="102"/>
      <c r="BF331" s="72"/>
      <c r="BG331" s="168"/>
      <c r="BH331" s="102"/>
      <c r="BI331" s="102"/>
      <c r="BJ331" s="168"/>
      <c r="BK331" s="168"/>
      <c r="BL331" s="96"/>
    </row>
    <row r="332" spans="18:64" ht="13.8" x14ac:dyDescent="0.25">
      <c r="R332" s="72"/>
      <c r="S332" s="72"/>
      <c r="T332" s="102"/>
      <c r="U332" s="102"/>
      <c r="V332" s="102"/>
      <c r="W332" s="102"/>
      <c r="X332" s="72"/>
      <c r="Y332" s="168"/>
      <c r="Z332" s="102"/>
      <c r="AA332" s="102"/>
      <c r="AB332" s="168"/>
      <c r="AC332" s="168"/>
      <c r="AD332" s="96"/>
      <c r="AF332" s="72"/>
      <c r="AG332" s="72"/>
      <c r="AH332" s="72"/>
      <c r="AI332" s="72"/>
      <c r="AJ332" s="72"/>
      <c r="AK332" s="102"/>
      <c r="AL332" s="102"/>
      <c r="AM332" s="102"/>
      <c r="AN332" s="102"/>
      <c r="AO332" s="72"/>
      <c r="AP332" s="168"/>
      <c r="AQ332" s="102"/>
      <c r="AR332" s="102"/>
      <c r="AS332" s="168"/>
      <c r="AT332" s="168"/>
      <c r="AU332" s="96"/>
      <c r="AW332" s="72"/>
      <c r="AX332" s="72"/>
      <c r="AY332" s="72"/>
      <c r="AZ332" s="72"/>
      <c r="BA332" s="72"/>
      <c r="BB332" s="102"/>
      <c r="BC332" s="102"/>
      <c r="BD332" s="102"/>
      <c r="BE332" s="102"/>
      <c r="BF332" s="72"/>
      <c r="BG332" s="168"/>
      <c r="BH332" s="102"/>
      <c r="BI332" s="102"/>
      <c r="BJ332" s="168"/>
      <c r="BK332" s="168"/>
      <c r="BL332" s="96"/>
    </row>
    <row r="333" spans="18:64" ht="13.8" x14ac:dyDescent="0.25">
      <c r="R333" s="72"/>
      <c r="S333" s="72"/>
      <c r="T333" s="102"/>
      <c r="U333" s="102"/>
      <c r="V333" s="102"/>
      <c r="W333" s="102"/>
      <c r="X333" s="72"/>
      <c r="Y333" s="168"/>
      <c r="Z333" s="102"/>
      <c r="AA333" s="102"/>
      <c r="AB333" s="168"/>
      <c r="AC333" s="168"/>
      <c r="AD333" s="96"/>
      <c r="AF333" s="72"/>
      <c r="AG333" s="72"/>
      <c r="AH333" s="72"/>
      <c r="AI333" s="72"/>
      <c r="AJ333" s="72"/>
      <c r="AK333" s="102"/>
      <c r="AL333" s="102"/>
      <c r="AM333" s="102"/>
      <c r="AN333" s="102"/>
      <c r="AO333" s="72"/>
      <c r="AP333" s="168"/>
      <c r="AQ333" s="102"/>
      <c r="AR333" s="102"/>
      <c r="AS333" s="168"/>
      <c r="AT333" s="168"/>
      <c r="AU333" s="96"/>
      <c r="AW333" s="72"/>
      <c r="AX333" s="72"/>
      <c r="AY333" s="72"/>
      <c r="AZ333" s="72"/>
      <c r="BA333" s="72"/>
      <c r="BB333" s="102"/>
      <c r="BC333" s="102"/>
      <c r="BD333" s="102"/>
      <c r="BE333" s="102"/>
      <c r="BF333" s="72"/>
      <c r="BG333" s="168"/>
      <c r="BH333" s="102"/>
      <c r="BI333" s="102"/>
      <c r="BJ333" s="168"/>
      <c r="BK333" s="168"/>
      <c r="BL333" s="96"/>
    </row>
    <row r="334" spans="18:64" ht="13.8" x14ac:dyDescent="0.25">
      <c r="R334" s="72"/>
      <c r="S334" s="72"/>
      <c r="T334" s="102"/>
      <c r="U334" s="102"/>
      <c r="V334" s="102"/>
      <c r="W334" s="102"/>
      <c r="X334" s="72"/>
      <c r="Y334" s="168"/>
      <c r="Z334" s="102"/>
      <c r="AA334" s="102"/>
      <c r="AB334" s="168"/>
      <c r="AC334" s="168"/>
      <c r="AD334" s="96"/>
      <c r="AF334" s="72"/>
      <c r="AG334" s="72"/>
      <c r="AH334" s="72"/>
      <c r="AI334" s="72"/>
      <c r="AJ334" s="72"/>
      <c r="AK334" s="102"/>
      <c r="AL334" s="102"/>
      <c r="AM334" s="102"/>
      <c r="AN334" s="102"/>
      <c r="AO334" s="72"/>
      <c r="AP334" s="168"/>
      <c r="AQ334" s="102"/>
      <c r="AR334" s="102"/>
      <c r="AS334" s="168"/>
      <c r="AT334" s="168"/>
      <c r="AU334" s="96"/>
      <c r="AW334" s="72"/>
      <c r="AX334" s="72"/>
      <c r="AY334" s="72"/>
      <c r="AZ334" s="72"/>
      <c r="BA334" s="72"/>
      <c r="BB334" s="102"/>
      <c r="BC334" s="102"/>
      <c r="BD334" s="102"/>
      <c r="BE334" s="102"/>
      <c r="BF334" s="72"/>
      <c r="BG334" s="168"/>
      <c r="BH334" s="102"/>
      <c r="BI334" s="102"/>
      <c r="BJ334" s="168"/>
      <c r="BK334" s="168"/>
      <c r="BL334" s="96"/>
    </row>
    <row r="335" spans="18:64" ht="13.8" x14ac:dyDescent="0.25">
      <c r="R335" s="72"/>
      <c r="S335" s="72"/>
      <c r="T335" s="102"/>
      <c r="U335" s="102"/>
      <c r="V335" s="102"/>
      <c r="W335" s="102"/>
      <c r="X335" s="72"/>
      <c r="Y335" s="168"/>
      <c r="Z335" s="102"/>
      <c r="AA335" s="102"/>
      <c r="AB335" s="168"/>
      <c r="AC335" s="168"/>
      <c r="AD335" s="96"/>
      <c r="AF335" s="72"/>
      <c r="AG335" s="72"/>
      <c r="AH335" s="72"/>
      <c r="AI335" s="72"/>
      <c r="AJ335" s="72"/>
      <c r="AK335" s="102"/>
      <c r="AL335" s="102"/>
      <c r="AM335" s="102"/>
      <c r="AN335" s="102"/>
      <c r="AO335" s="72"/>
      <c r="AP335" s="168"/>
      <c r="AQ335" s="102"/>
      <c r="AR335" s="102"/>
      <c r="AS335" s="168"/>
      <c r="AT335" s="168"/>
      <c r="AU335" s="96"/>
      <c r="AW335" s="72"/>
      <c r="AX335" s="72"/>
      <c r="AY335" s="72"/>
      <c r="AZ335" s="72"/>
      <c r="BA335" s="72"/>
      <c r="BB335" s="102"/>
      <c r="BC335" s="102"/>
      <c r="BD335" s="102"/>
      <c r="BE335" s="102"/>
      <c r="BF335" s="72"/>
      <c r="BG335" s="168"/>
      <c r="BH335" s="102"/>
      <c r="BI335" s="102"/>
      <c r="BJ335" s="168"/>
      <c r="BK335" s="168"/>
      <c r="BL335" s="96"/>
    </row>
    <row r="336" spans="18:64" ht="13.8" x14ac:dyDescent="0.25">
      <c r="R336" s="72"/>
      <c r="S336" s="72"/>
      <c r="T336" s="102"/>
      <c r="U336" s="102"/>
      <c r="V336" s="102"/>
      <c r="W336" s="102"/>
      <c r="X336" s="72"/>
      <c r="Y336" s="168"/>
      <c r="Z336" s="102"/>
      <c r="AA336" s="102"/>
      <c r="AB336" s="168"/>
      <c r="AC336" s="168"/>
      <c r="AD336" s="96"/>
      <c r="AF336" s="72"/>
      <c r="AG336" s="72"/>
      <c r="AH336" s="72"/>
      <c r="AI336" s="72"/>
      <c r="AJ336" s="72"/>
      <c r="AK336" s="102"/>
      <c r="AL336" s="102"/>
      <c r="AM336" s="102"/>
      <c r="AN336" s="102"/>
      <c r="AO336" s="72"/>
      <c r="AP336" s="168"/>
      <c r="AQ336" s="102"/>
      <c r="AR336" s="102"/>
      <c r="AS336" s="168"/>
      <c r="AT336" s="168"/>
      <c r="AU336" s="96"/>
      <c r="AW336" s="72"/>
      <c r="AX336" s="72"/>
      <c r="AY336" s="72"/>
      <c r="AZ336" s="72"/>
      <c r="BA336" s="72"/>
      <c r="BB336" s="102"/>
      <c r="BC336" s="102"/>
      <c r="BD336" s="102"/>
      <c r="BE336" s="102"/>
      <c r="BF336" s="72"/>
      <c r="BG336" s="168"/>
      <c r="BH336" s="102"/>
      <c r="BI336" s="102"/>
      <c r="BJ336" s="168"/>
      <c r="BK336" s="168"/>
      <c r="BL336" s="96"/>
    </row>
    <row r="337" spans="17:64" ht="13.8" x14ac:dyDescent="0.25">
      <c r="R337" s="72"/>
      <c r="S337" s="72"/>
      <c r="T337" s="102"/>
      <c r="U337" s="102"/>
      <c r="V337" s="102"/>
      <c r="W337" s="102"/>
      <c r="X337" s="72"/>
      <c r="Y337" s="168"/>
      <c r="Z337" s="102"/>
      <c r="AA337" s="102"/>
      <c r="AB337" s="168"/>
      <c r="AC337" s="168"/>
      <c r="AD337" s="96"/>
      <c r="AF337" s="72"/>
      <c r="AG337" s="72"/>
      <c r="AH337" s="72"/>
      <c r="AI337" s="72"/>
      <c r="AJ337" s="72"/>
      <c r="AK337" s="102"/>
      <c r="AL337" s="102"/>
      <c r="AM337" s="102"/>
      <c r="AN337" s="102"/>
      <c r="AO337" s="72"/>
      <c r="AP337" s="168"/>
      <c r="AQ337" s="102"/>
      <c r="AR337" s="102"/>
      <c r="AS337" s="168"/>
      <c r="AT337" s="168"/>
      <c r="AU337" s="96"/>
      <c r="AW337" s="72"/>
      <c r="AX337" s="72"/>
      <c r="AY337" s="72"/>
      <c r="AZ337" s="72"/>
      <c r="BA337" s="72"/>
      <c r="BB337" s="102"/>
      <c r="BC337" s="102"/>
      <c r="BD337" s="102"/>
      <c r="BE337" s="102"/>
      <c r="BF337" s="72"/>
      <c r="BG337" s="168"/>
      <c r="BH337" s="102"/>
      <c r="BI337" s="102"/>
      <c r="BJ337" s="168"/>
      <c r="BK337" s="168"/>
      <c r="BL337" s="96"/>
    </row>
    <row r="338" spans="17:64" ht="13.8" x14ac:dyDescent="0.25">
      <c r="R338" s="72"/>
      <c r="S338" s="72"/>
      <c r="T338" s="102"/>
      <c r="U338" s="102"/>
      <c r="V338" s="102"/>
      <c r="W338" s="102"/>
      <c r="X338" s="72"/>
      <c r="Y338" s="168"/>
      <c r="Z338" s="102"/>
      <c r="AA338" s="102"/>
      <c r="AB338" s="168"/>
      <c r="AC338" s="168"/>
      <c r="AD338" s="96"/>
      <c r="AF338" s="72"/>
      <c r="AG338" s="72"/>
      <c r="AH338" s="72"/>
      <c r="AI338" s="72"/>
      <c r="AJ338" s="72"/>
      <c r="AK338" s="102"/>
      <c r="AL338" s="102"/>
      <c r="AM338" s="102"/>
      <c r="AN338" s="102"/>
      <c r="AO338" s="72"/>
      <c r="AP338" s="168"/>
      <c r="AQ338" s="102"/>
      <c r="AR338" s="102"/>
      <c r="AS338" s="168"/>
      <c r="AT338" s="168"/>
      <c r="AU338" s="96"/>
      <c r="AW338" s="72"/>
      <c r="AX338" s="72"/>
      <c r="AY338" s="72"/>
      <c r="AZ338" s="72"/>
      <c r="BA338" s="72"/>
      <c r="BB338" s="102"/>
      <c r="BC338" s="102"/>
      <c r="BD338" s="102"/>
      <c r="BE338" s="102"/>
      <c r="BF338" s="72"/>
      <c r="BG338" s="168"/>
      <c r="BH338" s="102"/>
      <c r="BI338" s="102"/>
      <c r="BJ338" s="168"/>
      <c r="BK338" s="168"/>
      <c r="BL338" s="96"/>
    </row>
    <row r="339" spans="17:64" ht="13.8" x14ac:dyDescent="0.25">
      <c r="R339" s="72"/>
      <c r="S339" s="72"/>
      <c r="T339" s="102"/>
      <c r="U339" s="102"/>
      <c r="V339" s="102"/>
      <c r="W339" s="102"/>
      <c r="X339" s="72"/>
      <c r="Y339" s="168"/>
      <c r="Z339" s="102"/>
      <c r="AA339" s="102"/>
      <c r="AB339" s="168"/>
      <c r="AC339" s="168"/>
      <c r="AD339" s="96"/>
      <c r="AF339" s="72"/>
      <c r="AG339" s="72"/>
      <c r="AH339" s="72"/>
      <c r="AI339" s="72"/>
      <c r="AJ339" s="72"/>
      <c r="AK339" s="102"/>
      <c r="AL339" s="102"/>
      <c r="AM339" s="102"/>
      <c r="AN339" s="102"/>
      <c r="AO339" s="72"/>
      <c r="AP339" s="168"/>
      <c r="AQ339" s="102"/>
      <c r="AR339" s="102"/>
      <c r="AS339" s="168"/>
      <c r="AT339" s="168"/>
      <c r="AU339" s="96"/>
      <c r="AW339" s="72"/>
      <c r="AX339" s="72"/>
      <c r="AY339" s="72"/>
      <c r="AZ339" s="72"/>
      <c r="BA339" s="72"/>
      <c r="BB339" s="102"/>
      <c r="BC339" s="102"/>
      <c r="BD339" s="102"/>
      <c r="BE339" s="102"/>
      <c r="BF339" s="72"/>
      <c r="BG339" s="168"/>
      <c r="BH339" s="102"/>
      <c r="BI339" s="102"/>
      <c r="BJ339" s="168"/>
      <c r="BK339" s="168"/>
      <c r="BL339" s="96"/>
    </row>
    <row r="340" spans="17:64" ht="13.8" x14ac:dyDescent="0.25">
      <c r="R340" s="72"/>
      <c r="S340" s="72"/>
      <c r="T340" s="102"/>
      <c r="U340" s="102"/>
      <c r="V340" s="102"/>
      <c r="W340" s="102"/>
      <c r="X340" s="72"/>
      <c r="Y340" s="168"/>
      <c r="Z340" s="102"/>
      <c r="AA340" s="102"/>
      <c r="AB340" s="168"/>
      <c r="AC340" s="168"/>
      <c r="AD340" s="96"/>
      <c r="AF340" s="72"/>
      <c r="AG340" s="72"/>
      <c r="AH340" s="72"/>
      <c r="AI340" s="72"/>
      <c r="AJ340" s="72"/>
      <c r="AK340" s="102"/>
      <c r="AL340" s="102"/>
      <c r="AM340" s="102"/>
      <c r="AN340" s="102"/>
      <c r="AO340" s="72"/>
      <c r="AP340" s="168"/>
      <c r="AQ340" s="102"/>
      <c r="AR340" s="102"/>
      <c r="AS340" s="168"/>
      <c r="AT340" s="168"/>
      <c r="AU340" s="96"/>
      <c r="AW340" s="72"/>
      <c r="AX340" s="72"/>
      <c r="AY340" s="72"/>
      <c r="AZ340" s="72"/>
      <c r="BA340" s="72"/>
      <c r="BB340" s="102"/>
      <c r="BC340" s="102"/>
      <c r="BD340" s="102"/>
      <c r="BE340" s="102"/>
      <c r="BF340" s="72"/>
      <c r="BG340" s="168"/>
      <c r="BH340" s="102"/>
      <c r="BI340" s="102"/>
      <c r="BJ340" s="168"/>
      <c r="BK340" s="168"/>
      <c r="BL340" s="96"/>
    </row>
    <row r="341" spans="17:64" ht="13.8" x14ac:dyDescent="0.25">
      <c r="R341" s="72"/>
      <c r="S341" s="72"/>
      <c r="T341" s="102"/>
      <c r="U341" s="102"/>
      <c r="V341" s="102"/>
      <c r="W341" s="102"/>
      <c r="X341" s="72"/>
      <c r="Y341" s="168"/>
      <c r="Z341" s="102"/>
      <c r="AA341" s="102"/>
      <c r="AB341" s="168"/>
      <c r="AC341" s="168"/>
      <c r="AD341" s="96"/>
      <c r="AF341" s="72"/>
      <c r="AG341" s="72"/>
      <c r="AH341" s="72"/>
      <c r="AI341" s="72"/>
      <c r="AJ341" s="72"/>
      <c r="AK341" s="102"/>
      <c r="AL341" s="102"/>
      <c r="AM341" s="102"/>
      <c r="AN341" s="102"/>
      <c r="AO341" s="72"/>
      <c r="AP341" s="168"/>
      <c r="AQ341" s="102"/>
      <c r="AR341" s="102"/>
      <c r="AS341" s="168"/>
      <c r="AT341" s="168"/>
      <c r="AU341" s="96"/>
      <c r="AW341" s="72"/>
      <c r="AX341" s="72"/>
      <c r="AY341" s="72"/>
      <c r="AZ341" s="72"/>
      <c r="BA341" s="72"/>
      <c r="BB341" s="102"/>
      <c r="BC341" s="102"/>
      <c r="BD341" s="102"/>
      <c r="BE341" s="102"/>
      <c r="BF341" s="72"/>
      <c r="BG341" s="168"/>
      <c r="BH341" s="102"/>
      <c r="BI341" s="102"/>
      <c r="BJ341" s="168"/>
      <c r="BK341" s="168"/>
      <c r="BL341" s="96"/>
    </row>
    <row r="342" spans="17:64" ht="13.8" x14ac:dyDescent="0.25">
      <c r="R342" s="72"/>
      <c r="S342" s="72"/>
      <c r="T342" s="102"/>
      <c r="U342" s="102"/>
      <c r="V342" s="102"/>
      <c r="W342" s="102"/>
      <c r="X342" s="72"/>
      <c r="Y342" s="168"/>
      <c r="Z342" s="102"/>
      <c r="AA342" s="102"/>
      <c r="AB342" s="168"/>
      <c r="AC342" s="168"/>
      <c r="AD342" s="96"/>
      <c r="AF342" s="72"/>
      <c r="AG342" s="72"/>
      <c r="AH342" s="72"/>
      <c r="AI342" s="72"/>
      <c r="AJ342" s="72"/>
      <c r="AK342" s="102"/>
      <c r="AL342" s="102"/>
      <c r="AM342" s="102"/>
      <c r="AN342" s="102"/>
      <c r="AO342" s="72"/>
      <c r="AP342" s="168"/>
      <c r="AQ342" s="102"/>
      <c r="AR342" s="102"/>
      <c r="AS342" s="168"/>
      <c r="AT342" s="168"/>
      <c r="AU342" s="96"/>
      <c r="AW342" s="72"/>
      <c r="AX342" s="72"/>
      <c r="AY342" s="72"/>
      <c r="AZ342" s="72"/>
      <c r="BA342" s="72"/>
      <c r="BB342" s="102"/>
      <c r="BC342" s="102"/>
      <c r="BD342" s="102"/>
      <c r="BE342" s="102"/>
      <c r="BF342" s="72"/>
      <c r="BG342" s="168"/>
      <c r="BH342" s="102"/>
      <c r="BI342" s="102"/>
      <c r="BJ342" s="168"/>
      <c r="BK342" s="168"/>
      <c r="BL342" s="96"/>
    </row>
    <row r="343" spans="17:64" ht="13.8" x14ac:dyDescent="0.25">
      <c r="R343" s="72"/>
      <c r="S343" s="72"/>
      <c r="T343" s="102"/>
      <c r="U343" s="102"/>
      <c r="V343" s="102"/>
      <c r="W343" s="102"/>
      <c r="X343" s="72"/>
      <c r="Y343" s="168"/>
      <c r="Z343" s="102"/>
      <c r="AA343" s="102"/>
      <c r="AB343" s="168"/>
      <c r="AC343" s="168"/>
      <c r="AD343" s="96"/>
      <c r="AF343" s="72"/>
      <c r="AG343" s="72"/>
      <c r="AH343" s="72"/>
      <c r="AI343" s="72"/>
      <c r="AJ343" s="72"/>
      <c r="AK343" s="102"/>
      <c r="AL343" s="102"/>
      <c r="AM343" s="102"/>
      <c r="AN343" s="102"/>
      <c r="AO343" s="72"/>
      <c r="AP343" s="168"/>
      <c r="AQ343" s="102"/>
      <c r="AR343" s="102"/>
      <c r="AS343" s="168"/>
      <c r="AT343" s="168"/>
      <c r="AU343" s="96"/>
      <c r="AW343" s="72"/>
      <c r="AX343" s="72"/>
      <c r="AY343" s="72"/>
      <c r="AZ343" s="72"/>
      <c r="BA343" s="72"/>
      <c r="BB343" s="102"/>
      <c r="BC343" s="102"/>
      <c r="BD343" s="102"/>
      <c r="BE343" s="102"/>
      <c r="BF343" s="72"/>
      <c r="BG343" s="168"/>
      <c r="BH343" s="102"/>
      <c r="BI343" s="102"/>
      <c r="BJ343" s="168"/>
      <c r="BK343" s="168"/>
      <c r="BL343" s="96"/>
    </row>
    <row r="344" spans="17:64" ht="13.8" x14ac:dyDescent="0.25">
      <c r="R344" s="72"/>
      <c r="S344" s="72"/>
      <c r="T344" s="102"/>
      <c r="U344" s="102"/>
      <c r="V344" s="102"/>
      <c r="W344" s="102"/>
      <c r="X344" s="72"/>
      <c r="Y344" s="168"/>
      <c r="Z344" s="102"/>
      <c r="AA344" s="102"/>
      <c r="AB344" s="168"/>
      <c r="AC344" s="168"/>
      <c r="AD344" s="96"/>
      <c r="AF344" s="72"/>
      <c r="AG344" s="72"/>
      <c r="AH344" s="72"/>
      <c r="AI344" s="72"/>
      <c r="AJ344" s="72"/>
      <c r="AK344" s="102"/>
      <c r="AL344" s="102"/>
      <c r="AM344" s="102"/>
      <c r="AN344" s="102"/>
      <c r="AO344" s="72"/>
      <c r="AP344" s="168"/>
      <c r="AQ344" s="102"/>
      <c r="AR344" s="102"/>
      <c r="AS344" s="168"/>
      <c r="AT344" s="168"/>
      <c r="AU344" s="96"/>
      <c r="AW344" s="72"/>
      <c r="AX344" s="72"/>
      <c r="AY344" s="72"/>
      <c r="AZ344" s="72"/>
      <c r="BA344" s="72"/>
      <c r="BB344" s="102"/>
      <c r="BC344" s="102"/>
      <c r="BD344" s="102"/>
      <c r="BE344" s="102"/>
      <c r="BF344" s="72"/>
      <c r="BG344" s="168"/>
      <c r="BH344" s="102"/>
      <c r="BI344" s="102"/>
      <c r="BJ344" s="168"/>
      <c r="BK344" s="168"/>
      <c r="BL344" s="96"/>
    </row>
    <row r="345" spans="17:64" ht="13.8" x14ac:dyDescent="0.25">
      <c r="R345" s="72"/>
      <c r="S345" s="72"/>
      <c r="T345" s="102"/>
      <c r="U345" s="102"/>
      <c r="V345" s="102"/>
      <c r="W345" s="102"/>
      <c r="X345" s="72"/>
      <c r="Y345" s="168"/>
      <c r="Z345" s="102"/>
      <c r="AA345" s="102"/>
      <c r="AB345" s="168"/>
      <c r="AC345" s="168"/>
      <c r="AD345" s="96"/>
      <c r="AF345" s="72"/>
      <c r="AG345" s="72"/>
      <c r="AH345" s="72"/>
      <c r="AI345" s="72"/>
      <c r="AJ345" s="72"/>
      <c r="AK345" s="102"/>
      <c r="AL345" s="102"/>
      <c r="AM345" s="102"/>
      <c r="AN345" s="102"/>
      <c r="AO345" s="72"/>
      <c r="AP345" s="168"/>
      <c r="AQ345" s="102"/>
      <c r="AR345" s="102"/>
      <c r="AS345" s="168"/>
      <c r="AT345" s="102"/>
      <c r="AU345" s="96"/>
      <c r="AW345" s="72"/>
      <c r="AX345" s="72"/>
      <c r="AY345" s="72"/>
      <c r="AZ345" s="72"/>
      <c r="BA345" s="72"/>
      <c r="BB345" s="102"/>
      <c r="BC345" s="102"/>
      <c r="BD345" s="102"/>
      <c r="BE345" s="102"/>
      <c r="BF345" s="72"/>
      <c r="BG345" s="168"/>
      <c r="BH345" s="102"/>
      <c r="BI345" s="102"/>
      <c r="BJ345" s="102"/>
      <c r="BK345" s="102"/>
      <c r="BL345" s="96"/>
    </row>
    <row r="346" spans="17:64" ht="13.8" x14ac:dyDescent="0.25">
      <c r="R346" s="72"/>
      <c r="S346" s="72"/>
      <c r="T346" s="102"/>
      <c r="U346" s="102"/>
      <c r="V346" s="102"/>
      <c r="W346" s="102"/>
      <c r="X346" s="72"/>
      <c r="Y346" s="168"/>
      <c r="Z346" s="102"/>
      <c r="AA346" s="102"/>
    </row>
    <row r="347" spans="17:64" ht="13.8" x14ac:dyDescent="0.25">
      <c r="R347" s="72"/>
      <c r="S347" s="72"/>
      <c r="T347" s="102"/>
      <c r="U347" s="102"/>
      <c r="V347" s="102"/>
      <c r="W347" s="102"/>
      <c r="X347" s="72"/>
      <c r="Y347" s="168"/>
      <c r="Z347" s="102"/>
      <c r="AA347" s="102"/>
    </row>
    <row r="348" spans="17:64" ht="13.8" x14ac:dyDescent="0.25">
      <c r="R348" s="72"/>
      <c r="S348" s="72"/>
      <c r="T348" s="102"/>
      <c r="U348" s="102"/>
      <c r="V348" s="102"/>
      <c r="W348" s="102"/>
      <c r="X348" s="72"/>
      <c r="Y348" s="168"/>
      <c r="Z348" s="102"/>
      <c r="AA348" s="102"/>
    </row>
    <row r="349" spans="17:64" ht="17.399999999999999" x14ac:dyDescent="0.3">
      <c r="Q349" s="170"/>
    </row>
    <row r="350" spans="17:64" ht="17.399999999999999" x14ac:dyDescent="0.3">
      <c r="Q350" s="170"/>
    </row>
    <row r="352" spans="17:64" ht="17.399999999999999" x14ac:dyDescent="0.3">
      <c r="R352" s="170"/>
    </row>
    <row r="353" spans="17:70" ht="17.399999999999999" x14ac:dyDescent="0.3">
      <c r="Q353" s="72"/>
      <c r="R353" s="170"/>
      <c r="AB353" s="72"/>
      <c r="AC353" s="72"/>
      <c r="AD353" s="72"/>
      <c r="AE353" s="72"/>
      <c r="AF353" s="72"/>
      <c r="AG353" s="72"/>
      <c r="AH353" s="72"/>
      <c r="AI353" s="72"/>
      <c r="AJ353" s="72"/>
      <c r="AK353" s="154"/>
      <c r="AL353" s="114"/>
      <c r="AM353" s="114"/>
      <c r="AN353" s="155"/>
      <c r="AO353" s="155"/>
      <c r="AP353" s="155"/>
      <c r="AQ353" s="155"/>
      <c r="AR353" s="72"/>
      <c r="AS353" s="72"/>
      <c r="AT353" s="72"/>
      <c r="AU353" s="72"/>
      <c r="AV353" s="72"/>
      <c r="AW353" s="72"/>
      <c r="AX353" s="72"/>
      <c r="AY353" s="72"/>
      <c r="BA353" s="72"/>
      <c r="BB353" s="72"/>
      <c r="BC353" s="72"/>
      <c r="BD353" s="154"/>
      <c r="BE353" s="114"/>
      <c r="BF353" s="114"/>
      <c r="BG353" s="155"/>
      <c r="BH353" s="155"/>
      <c r="BI353" s="155"/>
      <c r="BJ353" s="155"/>
      <c r="BK353" s="72"/>
      <c r="BL353" s="72"/>
      <c r="BM353" s="72"/>
      <c r="BN353" s="72"/>
      <c r="BO353" s="72"/>
      <c r="BP353" s="72"/>
      <c r="BQ353" s="72"/>
      <c r="BR353" s="72"/>
    </row>
    <row r="354" spans="17:70" ht="13.8" x14ac:dyDescent="0.25">
      <c r="Q354" s="72"/>
      <c r="AB354" s="150"/>
      <c r="AC354" s="150"/>
      <c r="AD354" s="150"/>
      <c r="AE354" s="158"/>
      <c r="AF354" s="158"/>
      <c r="AH354" s="156"/>
      <c r="AI354" s="156"/>
      <c r="AJ354" s="156"/>
      <c r="AK354" s="156"/>
      <c r="AL354" s="156"/>
      <c r="AM354" s="157"/>
      <c r="AN354" s="150"/>
      <c r="AO354" s="150"/>
      <c r="AP354" s="150"/>
      <c r="AQ354" s="150"/>
      <c r="AR354" s="150"/>
      <c r="AS354" s="150"/>
      <c r="AT354" s="150"/>
      <c r="AU354" s="150"/>
      <c r="AV354" s="150"/>
      <c r="AW354" s="150"/>
      <c r="AX354" s="158"/>
      <c r="AY354" s="158"/>
      <c r="BA354" s="156"/>
      <c r="BB354" s="156"/>
      <c r="BC354" s="156"/>
      <c r="BD354" s="156"/>
      <c r="BE354" s="156"/>
      <c r="BF354" s="157"/>
      <c r="BG354" s="150"/>
      <c r="BH354" s="150"/>
      <c r="BI354" s="150"/>
      <c r="BJ354" s="150"/>
      <c r="BK354" s="150"/>
      <c r="BL354" s="150"/>
      <c r="BM354" s="150"/>
      <c r="BN354" s="150"/>
      <c r="BO354" s="150"/>
      <c r="BP354" s="150"/>
      <c r="BQ354" s="158"/>
      <c r="BR354" s="158"/>
    </row>
    <row r="355" spans="17:70" ht="13.8" x14ac:dyDescent="0.25">
      <c r="Q355" s="72"/>
      <c r="AB355" s="152"/>
      <c r="AC355" s="152"/>
      <c r="AD355" s="152"/>
      <c r="AE355" s="152"/>
      <c r="AF355" s="152"/>
      <c r="AG355" s="72"/>
      <c r="AH355" s="152"/>
      <c r="AI355" s="152"/>
      <c r="AJ355" s="152"/>
      <c r="AK355" s="152"/>
      <c r="AL355" s="152"/>
      <c r="AM355" s="101"/>
      <c r="AN355" s="152"/>
      <c r="AO355" s="152"/>
      <c r="AP355" s="152"/>
      <c r="AQ355" s="152"/>
      <c r="AR355" s="152"/>
      <c r="AS355" s="152"/>
      <c r="AT355" s="152"/>
      <c r="AU355" s="152"/>
      <c r="AV355" s="152"/>
      <c r="AW355" s="152"/>
      <c r="AX355" s="152"/>
      <c r="AY355" s="152"/>
      <c r="BA355" s="152"/>
      <c r="BB355" s="152"/>
      <c r="BC355" s="152"/>
      <c r="BD355" s="152"/>
      <c r="BE355" s="152"/>
      <c r="BF355" s="101"/>
      <c r="BG355" s="152"/>
      <c r="BH355" s="152"/>
      <c r="BI355" s="152"/>
      <c r="BJ355" s="152"/>
      <c r="BK355" s="152"/>
      <c r="BL355" s="152"/>
      <c r="BM355" s="152"/>
      <c r="BN355" s="152"/>
      <c r="BO355" s="152"/>
      <c r="BP355" s="152"/>
      <c r="BQ355" s="152"/>
      <c r="BR355" s="152"/>
    </row>
    <row r="356" spans="17:70" ht="15" x14ac:dyDescent="0.25">
      <c r="Q356" s="72"/>
      <c r="R356" s="154"/>
      <c r="S356" s="114"/>
      <c r="T356" s="114"/>
      <c r="U356" s="155"/>
      <c r="V356" s="155"/>
      <c r="W356" s="155"/>
      <c r="X356" s="155"/>
      <c r="Y356" s="72"/>
      <c r="Z356" s="72"/>
      <c r="AA356" s="72"/>
      <c r="AB356" s="159"/>
      <c r="AC356" s="159"/>
      <c r="AD356" s="159"/>
      <c r="AE356" s="171"/>
      <c r="AF356" s="171"/>
      <c r="AG356" s="72"/>
      <c r="AH356" s="169"/>
      <c r="AI356" s="152"/>
      <c r="AJ356" s="152"/>
      <c r="AK356" s="152"/>
      <c r="AL356" s="152"/>
      <c r="AM356" s="152"/>
      <c r="AN356" s="152"/>
      <c r="AO356" s="152"/>
      <c r="AP356" s="152"/>
      <c r="AQ356" s="152"/>
      <c r="AR356" s="152"/>
      <c r="AS356" s="152"/>
      <c r="AT356" s="152"/>
      <c r="AU356" s="159"/>
      <c r="AV356" s="159"/>
      <c r="AW356" s="159"/>
      <c r="AX356" s="171"/>
      <c r="AY356" s="171"/>
      <c r="BA356" s="169"/>
      <c r="BB356" s="152"/>
      <c r="BC356" s="152"/>
      <c r="BD356" s="152"/>
      <c r="BE356" s="152"/>
      <c r="BF356" s="152"/>
      <c r="BG356" s="152"/>
      <c r="BH356" s="152"/>
      <c r="BI356" s="152"/>
      <c r="BJ356" s="152"/>
      <c r="BK356" s="152"/>
      <c r="BL356" s="152"/>
      <c r="BM356" s="152"/>
      <c r="BN356" s="159"/>
      <c r="BO356" s="159"/>
      <c r="BP356" s="159"/>
      <c r="BQ356" s="171"/>
      <c r="BR356" s="171"/>
    </row>
    <row r="357" spans="17:70" ht="13.8" x14ac:dyDescent="0.25">
      <c r="Q357" s="72"/>
      <c r="R357" s="156"/>
      <c r="S357" s="156"/>
      <c r="T357" s="157"/>
      <c r="U357" s="150"/>
      <c r="V357" s="150"/>
      <c r="W357" s="150"/>
      <c r="X357" s="150"/>
      <c r="Y357" s="150"/>
      <c r="Z357" s="150"/>
      <c r="AA357" s="150"/>
      <c r="AB357" s="168"/>
      <c r="AC357" s="168"/>
      <c r="AD357" s="96"/>
      <c r="AE357" s="102"/>
      <c r="AF357" s="97"/>
      <c r="AG357" s="72"/>
      <c r="AH357" s="72"/>
      <c r="AI357" s="72"/>
      <c r="AJ357" s="72"/>
      <c r="AK357" s="72"/>
      <c r="AL357" s="72"/>
      <c r="AM357" s="105"/>
      <c r="AN357" s="168"/>
      <c r="AO357" s="96"/>
      <c r="AP357" s="168"/>
      <c r="AQ357" s="97"/>
      <c r="AR357" s="97"/>
      <c r="AS357" s="72"/>
      <c r="AT357" s="95"/>
      <c r="AU357" s="96"/>
      <c r="AV357" s="96"/>
      <c r="AW357" s="96"/>
      <c r="AX357" s="102"/>
      <c r="AY357" s="97"/>
      <c r="BA357" s="72"/>
      <c r="BB357" s="72"/>
      <c r="BC357" s="72"/>
      <c r="BD357" s="72"/>
      <c r="BE357" s="72"/>
      <c r="BF357" s="105"/>
      <c r="BG357" s="168"/>
      <c r="BH357" s="96"/>
      <c r="BI357" s="168"/>
      <c r="BJ357" s="97"/>
      <c r="BK357" s="97"/>
      <c r="BL357" s="72"/>
      <c r="BM357" s="95"/>
      <c r="BN357" s="96"/>
      <c r="BO357" s="96"/>
      <c r="BP357" s="96"/>
      <c r="BQ357" s="102"/>
      <c r="BR357" s="97"/>
    </row>
    <row r="358" spans="17:70" ht="13.8" x14ac:dyDescent="0.25">
      <c r="Q358" s="72"/>
      <c r="R358" s="152"/>
      <c r="S358" s="152"/>
      <c r="T358" s="101"/>
      <c r="U358" s="152"/>
      <c r="V358" s="152"/>
      <c r="W358" s="152"/>
      <c r="X358" s="152"/>
      <c r="Y358" s="152"/>
      <c r="Z358" s="152"/>
      <c r="AA358" s="152"/>
      <c r="AB358" s="168"/>
      <c r="AC358" s="168"/>
      <c r="AD358" s="96"/>
      <c r="AE358" s="96"/>
      <c r="AF358" s="72"/>
      <c r="AG358" s="72"/>
      <c r="AH358" s="72"/>
      <c r="AI358" s="72"/>
      <c r="AJ358" s="72"/>
      <c r="AK358" s="72"/>
      <c r="AL358" s="72"/>
      <c r="AM358" s="105"/>
      <c r="AN358" s="102"/>
      <c r="AO358" s="102"/>
      <c r="AP358" s="102"/>
      <c r="AQ358" s="102"/>
      <c r="AR358" s="97"/>
      <c r="AS358" s="97"/>
      <c r="AT358" s="72"/>
      <c r="AU358" s="96"/>
      <c r="AV358" s="96"/>
      <c r="AW358" s="96"/>
      <c r="AX358" s="96"/>
      <c r="AY358" s="72"/>
      <c r="BA358" s="72"/>
      <c r="BB358" s="72"/>
      <c r="BC358" s="72"/>
      <c r="BD358" s="72"/>
      <c r="BE358" s="72"/>
      <c r="BF358" s="105"/>
      <c r="BG358" s="102"/>
      <c r="BH358" s="102"/>
      <c r="BI358" s="102"/>
      <c r="BJ358" s="102"/>
      <c r="BK358" s="97"/>
      <c r="BL358" s="97"/>
      <c r="BM358" s="72"/>
      <c r="BN358" s="96"/>
      <c r="BO358" s="96"/>
      <c r="BP358" s="96"/>
      <c r="BQ358" s="96"/>
      <c r="BR358" s="72"/>
    </row>
    <row r="359" spans="17:70" ht="13.8" x14ac:dyDescent="0.25">
      <c r="Q359" s="7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68"/>
      <c r="AC359" s="168"/>
      <c r="AD359" s="96"/>
      <c r="AE359" s="96"/>
      <c r="AF359" s="72"/>
      <c r="AG359" s="72"/>
      <c r="AH359" s="72"/>
      <c r="AI359" s="72"/>
      <c r="AJ359" s="72"/>
      <c r="AK359" s="72"/>
      <c r="AL359" s="72"/>
      <c r="AM359" s="72"/>
      <c r="AN359" s="102"/>
      <c r="AO359" s="102"/>
      <c r="AP359" s="102"/>
      <c r="AQ359" s="102"/>
      <c r="AR359" s="97"/>
      <c r="AS359" s="97"/>
      <c r="AT359" s="72"/>
      <c r="AU359" s="96"/>
      <c r="AV359" s="96"/>
      <c r="AW359" s="96"/>
      <c r="AX359" s="96"/>
      <c r="AY359" s="72"/>
      <c r="BA359" s="72"/>
      <c r="BB359" s="72"/>
      <c r="BC359" s="72"/>
      <c r="BD359" s="72"/>
      <c r="BE359" s="72"/>
      <c r="BF359" s="72"/>
      <c r="BG359" s="102"/>
      <c r="BH359" s="102"/>
      <c r="BI359" s="102"/>
      <c r="BJ359" s="102"/>
      <c r="BK359" s="97"/>
      <c r="BL359" s="97"/>
      <c r="BM359" s="72"/>
      <c r="BN359" s="96"/>
      <c r="BO359" s="96"/>
      <c r="BP359" s="96"/>
      <c r="BQ359" s="96"/>
      <c r="BR359" s="72"/>
    </row>
    <row r="360" spans="17:70" ht="13.8" x14ac:dyDescent="0.25">
      <c r="Q360" s="72"/>
      <c r="R360" s="72"/>
      <c r="S360" s="72"/>
      <c r="T360" s="105"/>
      <c r="U360" s="168"/>
      <c r="V360" s="96"/>
      <c r="W360" s="168"/>
      <c r="X360" s="97"/>
      <c r="Y360" s="97"/>
      <c r="Z360" s="72"/>
      <c r="AA360" s="95"/>
      <c r="AB360" s="168"/>
      <c r="AC360" s="168"/>
      <c r="AD360" s="96"/>
      <c r="AE360" s="96"/>
      <c r="AF360" s="72"/>
      <c r="AG360" s="72"/>
      <c r="AH360" s="72"/>
      <c r="AI360" s="72"/>
      <c r="AJ360" s="72"/>
      <c r="AK360" s="72"/>
      <c r="AL360" s="72"/>
      <c r="AM360" s="105"/>
      <c r="AN360" s="168"/>
      <c r="AO360" s="168"/>
      <c r="AP360" s="168"/>
      <c r="AQ360" s="168"/>
      <c r="AR360" s="97"/>
      <c r="AS360" s="97"/>
      <c r="AT360" s="72"/>
      <c r="AU360" s="96"/>
      <c r="AV360" s="96"/>
      <c r="AW360" s="96"/>
      <c r="AX360" s="96"/>
      <c r="AY360" s="72"/>
      <c r="BA360" s="72"/>
      <c r="BB360" s="72"/>
      <c r="BC360" s="72"/>
      <c r="BD360" s="72"/>
      <c r="BE360" s="72"/>
      <c r="BF360" s="105"/>
      <c r="BG360" s="168"/>
      <c r="BH360" s="168"/>
      <c r="BI360" s="168"/>
      <c r="BJ360" s="168"/>
      <c r="BK360" s="97"/>
      <c r="BL360" s="97"/>
      <c r="BM360" s="72"/>
      <c r="BN360" s="96"/>
      <c r="BO360" s="96"/>
      <c r="BP360" s="96"/>
      <c r="BQ360" s="96"/>
      <c r="BR360" s="72"/>
    </row>
    <row r="361" spans="17:70" ht="13.8" x14ac:dyDescent="0.25">
      <c r="R361" s="72"/>
      <c r="S361" s="72"/>
      <c r="T361" s="105"/>
      <c r="U361" s="102"/>
      <c r="V361" s="102"/>
      <c r="W361" s="102"/>
      <c r="X361" s="102"/>
      <c r="Y361" s="97"/>
      <c r="Z361" s="97"/>
      <c r="AA361" s="72"/>
      <c r="AB361" s="168"/>
      <c r="AC361" s="168"/>
      <c r="AD361" s="96"/>
      <c r="AE361" s="96"/>
      <c r="AH361" s="72"/>
      <c r="AI361" s="72"/>
      <c r="AJ361" s="72"/>
      <c r="AK361" s="72"/>
      <c r="AL361" s="72"/>
      <c r="AM361" s="105"/>
      <c r="AN361" s="102"/>
      <c r="AO361" s="102"/>
      <c r="AP361" s="102"/>
      <c r="AQ361" s="102"/>
      <c r="AR361" s="97"/>
      <c r="AS361" s="97"/>
      <c r="AT361" s="72"/>
      <c r="AU361" s="96"/>
      <c r="AV361" s="96"/>
      <c r="AW361" s="96"/>
      <c r="AX361" s="96"/>
      <c r="BA361" s="72"/>
      <c r="BB361" s="72"/>
      <c r="BC361" s="72"/>
      <c r="BD361" s="72"/>
      <c r="BE361" s="72"/>
      <c r="BF361" s="105"/>
      <c r="BG361" s="102"/>
      <c r="BH361" s="102"/>
      <c r="BI361" s="102"/>
      <c r="BJ361" s="102"/>
      <c r="BK361" s="97"/>
      <c r="BL361" s="97"/>
      <c r="BM361" s="72"/>
      <c r="BN361" s="96"/>
      <c r="BO361" s="96"/>
      <c r="BP361" s="96"/>
      <c r="BQ361" s="96"/>
    </row>
    <row r="362" spans="17:70" ht="13.8" x14ac:dyDescent="0.25">
      <c r="R362" s="72"/>
      <c r="S362" s="72"/>
      <c r="T362" s="72"/>
      <c r="U362" s="102"/>
      <c r="V362" s="102"/>
      <c r="W362" s="102"/>
      <c r="X362" s="102"/>
      <c r="Y362" s="97"/>
      <c r="Z362" s="97"/>
      <c r="AA362" s="72"/>
      <c r="AB362" s="168"/>
      <c r="AC362" s="168"/>
      <c r="AD362" s="96"/>
      <c r="AE362" s="96"/>
      <c r="AH362" s="72"/>
      <c r="AI362" s="72"/>
      <c r="AJ362" s="72"/>
      <c r="AK362" s="72"/>
      <c r="AL362" s="72"/>
      <c r="AM362" s="105"/>
      <c r="AN362" s="102"/>
      <c r="AO362" s="102"/>
      <c r="AP362" s="102"/>
      <c r="AQ362" s="102"/>
      <c r="AR362" s="97"/>
      <c r="AS362" s="97"/>
      <c r="AT362" s="72"/>
      <c r="AU362" s="96"/>
      <c r="AV362" s="96"/>
      <c r="AW362" s="96"/>
      <c r="AX362" s="96"/>
      <c r="BA362" s="72"/>
      <c r="BB362" s="72"/>
      <c r="BC362" s="72"/>
      <c r="BD362" s="72"/>
      <c r="BE362" s="72"/>
      <c r="BF362" s="105"/>
      <c r="BG362" s="102"/>
      <c r="BH362" s="102"/>
      <c r="BI362" s="102"/>
      <c r="BJ362" s="102"/>
      <c r="BK362" s="97"/>
      <c r="BL362" s="97"/>
      <c r="BM362" s="72"/>
      <c r="BN362" s="96"/>
      <c r="BO362" s="96"/>
      <c r="BP362" s="96"/>
      <c r="BQ362" s="96"/>
    </row>
    <row r="363" spans="17:70" ht="13.8" x14ac:dyDescent="0.25">
      <c r="R363" s="72"/>
      <c r="S363" s="72"/>
      <c r="T363" s="105"/>
      <c r="U363" s="168"/>
      <c r="V363" s="168"/>
      <c r="W363" s="168"/>
      <c r="X363" s="168"/>
      <c r="Y363" s="97"/>
      <c r="Z363" s="97"/>
      <c r="AA363" s="72"/>
      <c r="AB363" s="168"/>
      <c r="AC363" s="168"/>
      <c r="AD363" s="96"/>
      <c r="AE363" s="96"/>
      <c r="AH363" s="72"/>
      <c r="AI363" s="72"/>
      <c r="AJ363" s="72"/>
      <c r="AK363" s="72"/>
      <c r="AL363" s="72"/>
      <c r="AM363" s="105"/>
      <c r="AN363" s="102"/>
      <c r="AO363" s="102"/>
      <c r="AP363" s="102"/>
      <c r="AQ363" s="102"/>
      <c r="AR363" s="97"/>
      <c r="AS363" s="97"/>
      <c r="AT363" s="72"/>
      <c r="AU363" s="96"/>
      <c r="AV363" s="96"/>
      <c r="AW363" s="96"/>
      <c r="AX363" s="96"/>
      <c r="BA363" s="72"/>
      <c r="BB363" s="72"/>
      <c r="BC363" s="72"/>
      <c r="BD363" s="72"/>
      <c r="BE363" s="72"/>
      <c r="BF363" s="105"/>
      <c r="BG363" s="102"/>
      <c r="BH363" s="102"/>
      <c r="BI363" s="102"/>
      <c r="BJ363" s="102"/>
      <c r="BK363" s="97"/>
      <c r="BL363" s="97"/>
      <c r="BM363" s="72"/>
      <c r="BN363" s="96"/>
      <c r="BO363" s="96"/>
      <c r="BP363" s="96"/>
      <c r="BQ363" s="96"/>
    </row>
    <row r="364" spans="17:70" ht="13.8" x14ac:dyDescent="0.25">
      <c r="R364" s="72"/>
      <c r="S364" s="72"/>
      <c r="T364" s="105"/>
      <c r="U364" s="102"/>
      <c r="V364" s="102"/>
      <c r="W364" s="102"/>
      <c r="X364" s="102"/>
      <c r="Y364" s="97"/>
      <c r="Z364" s="97"/>
      <c r="AA364" s="72"/>
      <c r="AB364" s="168"/>
      <c r="AC364" s="168"/>
      <c r="AD364" s="96"/>
      <c r="AE364" s="96"/>
      <c r="AH364" s="72"/>
      <c r="AI364" s="72"/>
      <c r="AJ364" s="72"/>
      <c r="AK364" s="72"/>
      <c r="AL364" s="72"/>
      <c r="AM364" s="105"/>
      <c r="AN364" s="102"/>
      <c r="AO364" s="102"/>
      <c r="AP364" s="102"/>
      <c r="AQ364" s="102"/>
      <c r="AR364" s="97"/>
      <c r="AS364" s="97"/>
      <c r="AT364" s="72"/>
      <c r="AU364" s="96"/>
      <c r="AV364" s="96"/>
      <c r="AW364" s="96"/>
      <c r="AX364" s="96"/>
      <c r="BA364" s="72"/>
      <c r="BB364" s="72"/>
      <c r="BC364" s="72"/>
      <c r="BD364" s="72"/>
      <c r="BE364" s="72"/>
      <c r="BF364" s="105"/>
      <c r="BG364" s="102"/>
      <c r="BH364" s="102"/>
      <c r="BI364" s="102"/>
      <c r="BJ364" s="102"/>
      <c r="BK364" s="97"/>
      <c r="BL364" s="97"/>
      <c r="BM364" s="72"/>
      <c r="BN364" s="96"/>
      <c r="BO364" s="96"/>
      <c r="BP364" s="96"/>
      <c r="BQ364" s="96"/>
    </row>
    <row r="365" spans="17:70" ht="13.8" x14ac:dyDescent="0.25">
      <c r="R365" s="72"/>
      <c r="S365" s="72"/>
      <c r="T365" s="105"/>
      <c r="U365" s="102"/>
      <c r="V365" s="102"/>
      <c r="W365" s="102"/>
      <c r="X365" s="102"/>
      <c r="Y365" s="97"/>
      <c r="Z365" s="97"/>
      <c r="AA365" s="72"/>
      <c r="AB365" s="168"/>
      <c r="AC365" s="168"/>
      <c r="AD365" s="96"/>
      <c r="AE365" s="96"/>
      <c r="AH365" s="72"/>
      <c r="AI365" s="72"/>
      <c r="AJ365" s="72"/>
      <c r="AK365" s="72"/>
      <c r="AL365" s="72"/>
      <c r="AM365" s="105"/>
      <c r="AN365" s="102"/>
      <c r="AO365" s="102"/>
      <c r="AP365" s="102"/>
      <c r="AQ365" s="102"/>
      <c r="AR365" s="97"/>
      <c r="AS365" s="97"/>
      <c r="AT365" s="72"/>
      <c r="AU365" s="96"/>
      <c r="AV365" s="96"/>
      <c r="AW365" s="96"/>
      <c r="AX365" s="96"/>
      <c r="BA365" s="72"/>
      <c r="BB365" s="72"/>
      <c r="BC365" s="72"/>
      <c r="BD365" s="72"/>
      <c r="BE365" s="72"/>
      <c r="BF365" s="105"/>
      <c r="BG365" s="102"/>
      <c r="BH365" s="102"/>
      <c r="BI365" s="102"/>
      <c r="BJ365" s="102"/>
      <c r="BK365" s="97"/>
      <c r="BL365" s="97"/>
      <c r="BM365" s="72"/>
      <c r="BN365" s="96"/>
      <c r="BO365" s="96"/>
      <c r="BP365" s="96"/>
      <c r="BQ365" s="96"/>
    </row>
    <row r="366" spans="17:70" ht="13.8" x14ac:dyDescent="0.25">
      <c r="R366" s="72"/>
      <c r="S366" s="72"/>
      <c r="T366" s="105"/>
      <c r="U366" s="102"/>
      <c r="V366" s="102"/>
      <c r="W366" s="102"/>
      <c r="X366" s="102"/>
      <c r="Y366" s="97"/>
      <c r="Z366" s="97"/>
      <c r="AA366" s="72"/>
      <c r="AB366" s="168"/>
      <c r="AC366" s="168"/>
      <c r="AD366" s="96"/>
      <c r="AE366" s="96"/>
      <c r="AH366" s="72"/>
      <c r="AI366" s="72"/>
      <c r="AJ366" s="72"/>
      <c r="AK366" s="72"/>
      <c r="AL366" s="72"/>
      <c r="AM366" s="105"/>
      <c r="AN366" s="102"/>
      <c r="AO366" s="102"/>
      <c r="AP366" s="102"/>
      <c r="AQ366" s="102"/>
      <c r="AR366" s="97"/>
      <c r="AS366" s="97"/>
      <c r="AT366" s="72"/>
      <c r="AU366" s="96"/>
      <c r="AV366" s="96"/>
      <c r="AW366" s="96"/>
      <c r="AX366" s="96"/>
      <c r="BA366" s="72"/>
      <c r="BB366" s="72"/>
      <c r="BC366" s="72"/>
      <c r="BD366" s="72"/>
      <c r="BE366" s="72"/>
      <c r="BF366" s="105"/>
      <c r="BG366" s="102"/>
      <c r="BH366" s="102"/>
      <c r="BI366" s="102"/>
      <c r="BJ366" s="102"/>
      <c r="BK366" s="97"/>
      <c r="BL366" s="97"/>
      <c r="BM366" s="72"/>
      <c r="BN366" s="96"/>
      <c r="BO366" s="96"/>
      <c r="BP366" s="96"/>
      <c r="BQ366" s="96"/>
    </row>
    <row r="367" spans="17:70" ht="13.8" x14ac:dyDescent="0.25">
      <c r="R367" s="72"/>
      <c r="S367" s="72"/>
      <c r="T367" s="105"/>
      <c r="U367" s="102"/>
      <c r="V367" s="102"/>
      <c r="W367" s="102"/>
      <c r="X367" s="102"/>
      <c r="Y367" s="97"/>
      <c r="Z367" s="97"/>
      <c r="AA367" s="72"/>
      <c r="AB367" s="168"/>
      <c r="AC367" s="168"/>
      <c r="AD367" s="96"/>
      <c r="AE367" s="96"/>
      <c r="AH367" s="72"/>
      <c r="AI367" s="72"/>
      <c r="AJ367" s="72"/>
      <c r="AK367" s="72"/>
      <c r="AL367" s="72"/>
      <c r="AM367" s="105"/>
      <c r="AN367" s="102"/>
      <c r="AO367" s="102"/>
      <c r="AP367" s="102"/>
      <c r="AQ367" s="102"/>
      <c r="AR367" s="97"/>
      <c r="AS367" s="97"/>
      <c r="AT367" s="72"/>
      <c r="AU367" s="96"/>
      <c r="AV367" s="96"/>
      <c r="AW367" s="96"/>
      <c r="AX367" s="96"/>
      <c r="BA367" s="72"/>
      <c r="BB367" s="72"/>
      <c r="BC367" s="72"/>
      <c r="BD367" s="72"/>
      <c r="BE367" s="72"/>
      <c r="BF367" s="105"/>
      <c r="BG367" s="102"/>
      <c r="BH367" s="102"/>
      <c r="BI367" s="102"/>
      <c r="BJ367" s="102"/>
      <c r="BK367" s="97"/>
      <c r="BL367" s="97"/>
      <c r="BM367" s="72"/>
      <c r="BN367" s="96"/>
      <c r="BO367" s="96"/>
      <c r="BP367" s="96"/>
      <c r="BQ367" s="96"/>
    </row>
    <row r="368" spans="17:70" ht="13.8" x14ac:dyDescent="0.25">
      <c r="R368" s="72"/>
      <c r="S368" s="72"/>
      <c r="T368" s="105"/>
      <c r="U368" s="102"/>
      <c r="V368" s="102"/>
      <c r="W368" s="102"/>
      <c r="X368" s="102"/>
      <c r="Y368" s="97"/>
      <c r="Z368" s="97"/>
      <c r="AA368" s="72"/>
      <c r="AB368" s="168"/>
      <c r="AC368" s="168"/>
      <c r="AD368" s="96"/>
      <c r="AE368" s="96"/>
      <c r="AH368" s="72"/>
      <c r="AI368" s="72"/>
      <c r="AJ368" s="72"/>
      <c r="AK368" s="72"/>
      <c r="AL368" s="72"/>
      <c r="AM368" s="105"/>
      <c r="AN368" s="102"/>
      <c r="AO368" s="102"/>
      <c r="AP368" s="102"/>
      <c r="AQ368" s="102"/>
      <c r="AR368" s="97"/>
      <c r="AS368" s="97"/>
      <c r="AT368" s="72"/>
      <c r="AU368" s="96"/>
      <c r="AV368" s="96"/>
      <c r="AW368" s="96"/>
      <c r="AX368" s="96"/>
      <c r="BA368" s="72"/>
      <c r="BB368" s="72"/>
      <c r="BC368" s="72"/>
      <c r="BD368" s="72"/>
      <c r="BE368" s="72"/>
      <c r="BF368" s="105"/>
      <c r="BG368" s="102"/>
      <c r="BH368" s="102"/>
      <c r="BI368" s="102"/>
      <c r="BJ368" s="102"/>
      <c r="BK368" s="97"/>
      <c r="BL368" s="97"/>
      <c r="BM368" s="72"/>
      <c r="BN368" s="96"/>
      <c r="BO368" s="96"/>
      <c r="BP368" s="96"/>
      <c r="BQ368" s="96"/>
    </row>
    <row r="369" spans="18:70" ht="13.8" x14ac:dyDescent="0.25">
      <c r="R369" s="72"/>
      <c r="S369" s="72"/>
      <c r="T369" s="105"/>
      <c r="U369" s="102"/>
      <c r="V369" s="102"/>
      <c r="W369" s="102"/>
      <c r="X369" s="102"/>
      <c r="Y369" s="97"/>
      <c r="Z369" s="97"/>
      <c r="AA369" s="72"/>
      <c r="AB369" s="168"/>
      <c r="AC369" s="168"/>
      <c r="AD369" s="96"/>
      <c r="AE369" s="96"/>
      <c r="AH369" s="72"/>
      <c r="AI369" s="72"/>
      <c r="AJ369" s="72"/>
      <c r="AK369" s="72"/>
      <c r="AL369" s="72"/>
      <c r="AM369" s="105"/>
      <c r="AN369" s="102"/>
      <c r="AO369" s="102"/>
      <c r="AP369" s="102"/>
      <c r="AQ369" s="102"/>
      <c r="AR369" s="97"/>
      <c r="AS369" s="97"/>
      <c r="AT369" s="72"/>
      <c r="AU369" s="96"/>
      <c r="AV369" s="96"/>
      <c r="AW369" s="96"/>
      <c r="AX369" s="96"/>
      <c r="BA369" s="72"/>
      <c r="BB369" s="72"/>
      <c r="BC369" s="72"/>
      <c r="BD369" s="72"/>
      <c r="BE369" s="72"/>
      <c r="BF369" s="105"/>
      <c r="BG369" s="102"/>
      <c r="BH369" s="102"/>
      <c r="BI369" s="102"/>
      <c r="BJ369" s="102"/>
      <c r="BK369" s="97"/>
      <c r="BL369" s="97"/>
      <c r="BM369" s="72"/>
      <c r="BN369" s="96"/>
      <c r="BO369" s="96"/>
      <c r="BP369" s="96"/>
      <c r="BQ369" s="96"/>
    </row>
    <row r="370" spans="18:70" ht="13.8" x14ac:dyDescent="0.25">
      <c r="R370" s="72"/>
      <c r="S370" s="72"/>
      <c r="T370" s="105"/>
      <c r="U370" s="102"/>
      <c r="V370" s="102"/>
      <c r="W370" s="102"/>
      <c r="X370" s="102"/>
      <c r="Y370" s="97"/>
      <c r="Z370" s="97"/>
      <c r="AA370" s="72"/>
      <c r="AB370" s="168"/>
      <c r="AC370" s="168"/>
      <c r="AD370" s="96"/>
      <c r="AE370" s="96"/>
      <c r="AH370" s="72"/>
      <c r="AI370" s="72"/>
      <c r="AJ370" s="72"/>
      <c r="AK370" s="72"/>
      <c r="AL370" s="72"/>
      <c r="AM370" s="105"/>
      <c r="AN370" s="102"/>
      <c r="AO370" s="102"/>
      <c r="AP370" s="102"/>
      <c r="AQ370" s="102"/>
      <c r="AR370" s="97"/>
      <c r="AS370" s="97"/>
      <c r="AT370" s="72"/>
      <c r="AU370" s="96"/>
      <c r="AV370" s="96"/>
      <c r="AW370" s="96"/>
      <c r="AX370" s="96"/>
      <c r="BA370" s="72"/>
      <c r="BB370" s="72"/>
      <c r="BC370" s="72"/>
      <c r="BD370" s="72"/>
      <c r="BE370" s="72"/>
      <c r="BF370" s="105"/>
      <c r="BG370" s="102"/>
      <c r="BH370" s="102"/>
      <c r="BI370" s="102"/>
      <c r="BJ370" s="102"/>
      <c r="BK370" s="97"/>
      <c r="BL370" s="97"/>
      <c r="BM370" s="72"/>
      <c r="BN370" s="96"/>
      <c r="BO370" s="96"/>
      <c r="BP370" s="96"/>
      <c r="BQ370" s="96"/>
    </row>
    <row r="371" spans="18:70" ht="13.8" x14ac:dyDescent="0.25">
      <c r="R371" s="72"/>
      <c r="S371" s="72"/>
      <c r="T371" s="105"/>
      <c r="U371" s="102"/>
      <c r="V371" s="102"/>
      <c r="W371" s="102"/>
      <c r="X371" s="102"/>
      <c r="Y371" s="97"/>
      <c r="Z371" s="97"/>
      <c r="AA371" s="72"/>
      <c r="AB371" s="168"/>
      <c r="AC371" s="168"/>
      <c r="AD371" s="96"/>
      <c r="AE371" s="96"/>
      <c r="AH371" s="72"/>
      <c r="AI371" s="72"/>
      <c r="AJ371" s="72"/>
      <c r="AK371" s="72"/>
      <c r="AL371" s="72"/>
      <c r="AM371" s="105"/>
      <c r="AN371" s="102"/>
      <c r="AO371" s="102"/>
      <c r="AP371" s="102"/>
      <c r="AQ371" s="102"/>
      <c r="AR371" s="97"/>
      <c r="AS371" s="97"/>
      <c r="AT371" s="72"/>
      <c r="AU371" s="96"/>
      <c r="AV371" s="96"/>
      <c r="AW371" s="96"/>
      <c r="AX371" s="96"/>
      <c r="BA371" s="72"/>
      <c r="BB371" s="72"/>
      <c r="BC371" s="72"/>
      <c r="BD371" s="72"/>
      <c r="BE371" s="72"/>
      <c r="BF371" s="105"/>
      <c r="BG371" s="102"/>
      <c r="BH371" s="102"/>
      <c r="BI371" s="102"/>
      <c r="BJ371" s="102"/>
      <c r="BK371" s="97"/>
      <c r="BL371" s="97"/>
      <c r="BM371" s="72"/>
      <c r="BN371" s="96"/>
      <c r="BO371" s="96"/>
      <c r="BP371" s="96"/>
      <c r="BQ371" s="96"/>
    </row>
    <row r="372" spans="18:70" ht="13.8" x14ac:dyDescent="0.25">
      <c r="R372" s="72"/>
      <c r="S372" s="72"/>
      <c r="T372" s="105"/>
      <c r="U372" s="102"/>
      <c r="V372" s="102"/>
      <c r="W372" s="102"/>
      <c r="X372" s="102"/>
      <c r="Y372" s="97"/>
      <c r="Z372" s="97"/>
      <c r="AA372" s="72"/>
      <c r="AB372" s="168"/>
      <c r="AC372" s="168"/>
      <c r="AD372" s="96"/>
      <c r="AE372" s="96"/>
      <c r="AH372" s="72"/>
      <c r="AI372" s="72"/>
      <c r="AJ372" s="72"/>
      <c r="AK372" s="72"/>
      <c r="AL372" s="72"/>
      <c r="AM372" s="105"/>
      <c r="AN372" s="102"/>
      <c r="AO372" s="102"/>
      <c r="AP372" s="102"/>
      <c r="AQ372" s="102"/>
      <c r="AR372" s="97"/>
      <c r="AS372" s="97"/>
      <c r="AT372" s="72"/>
      <c r="AU372" s="96"/>
      <c r="AV372" s="96"/>
      <c r="AW372" s="96"/>
      <c r="AX372" s="96"/>
      <c r="BA372" s="72"/>
      <c r="BB372" s="72"/>
      <c r="BC372" s="72"/>
      <c r="BD372" s="72"/>
      <c r="BE372" s="72"/>
      <c r="BF372" s="105"/>
      <c r="BG372" s="102"/>
      <c r="BH372" s="102"/>
      <c r="BI372" s="102"/>
      <c r="BJ372" s="102"/>
      <c r="BK372" s="97"/>
      <c r="BL372" s="97"/>
      <c r="BM372" s="72"/>
      <c r="BN372" s="96"/>
      <c r="BO372" s="96"/>
      <c r="BP372" s="96"/>
      <c r="BQ372" s="96"/>
    </row>
    <row r="373" spans="18:70" ht="13.8" x14ac:dyDescent="0.25">
      <c r="R373" s="72"/>
      <c r="S373" s="72"/>
      <c r="T373" s="105"/>
      <c r="U373" s="102"/>
      <c r="V373" s="102"/>
      <c r="W373" s="102"/>
      <c r="X373" s="102"/>
      <c r="Y373" s="97"/>
      <c r="Z373" s="97"/>
      <c r="AA373" s="72"/>
      <c r="AB373" s="168"/>
      <c r="AC373" s="168"/>
      <c r="AD373" s="96"/>
      <c r="AE373" s="96"/>
      <c r="AH373" s="72"/>
      <c r="AI373" s="72"/>
      <c r="AJ373" s="72"/>
      <c r="AK373" s="72"/>
      <c r="AL373" s="72"/>
      <c r="AM373" s="105"/>
      <c r="AN373" s="102"/>
      <c r="AO373" s="102"/>
      <c r="AP373" s="102"/>
      <c r="AQ373" s="102"/>
      <c r="AR373" s="97"/>
      <c r="AS373" s="97"/>
      <c r="AT373" s="72"/>
      <c r="AU373" s="96"/>
      <c r="AV373" s="96"/>
      <c r="AW373" s="96"/>
      <c r="AX373" s="96"/>
      <c r="BA373" s="72"/>
      <c r="BB373" s="72"/>
      <c r="BC373" s="72"/>
      <c r="BD373" s="72"/>
      <c r="BE373" s="72"/>
      <c r="BF373" s="105"/>
      <c r="BG373" s="102"/>
      <c r="BH373" s="102"/>
      <c r="BI373" s="102"/>
      <c r="BJ373" s="102"/>
      <c r="BK373" s="97"/>
      <c r="BL373" s="97"/>
      <c r="BM373" s="72"/>
      <c r="BN373" s="96"/>
      <c r="BO373" s="96"/>
      <c r="BP373" s="96"/>
      <c r="BQ373" s="96"/>
    </row>
    <row r="374" spans="18:70" ht="13.8" x14ac:dyDescent="0.25">
      <c r="R374" s="72"/>
      <c r="S374" s="72"/>
      <c r="T374" s="105"/>
      <c r="U374" s="102"/>
      <c r="V374" s="102"/>
      <c r="W374" s="102"/>
      <c r="X374" s="102"/>
      <c r="Y374" s="97"/>
      <c r="Z374" s="97"/>
      <c r="AA374" s="72"/>
      <c r="AB374" s="168"/>
      <c r="AC374" s="168"/>
      <c r="AD374" s="96"/>
      <c r="AE374" s="96"/>
      <c r="AH374" s="72"/>
      <c r="AI374" s="72"/>
      <c r="AJ374" s="72"/>
      <c r="AK374" s="72"/>
      <c r="AL374" s="72"/>
      <c r="AM374" s="105"/>
      <c r="AN374" s="102"/>
      <c r="AO374" s="102"/>
      <c r="AP374" s="102"/>
      <c r="AQ374" s="102"/>
      <c r="AR374" s="97"/>
      <c r="AS374" s="97"/>
      <c r="AT374" s="72"/>
      <c r="AU374" s="96"/>
      <c r="AV374" s="96"/>
      <c r="AW374" s="96"/>
      <c r="AX374" s="96"/>
      <c r="BA374" s="72"/>
      <c r="BB374" s="72"/>
      <c r="BC374" s="72"/>
      <c r="BD374" s="72"/>
      <c r="BE374" s="72"/>
      <c r="BF374" s="105"/>
      <c r="BG374" s="102"/>
      <c r="BH374" s="102"/>
      <c r="BI374" s="102"/>
      <c r="BJ374" s="102"/>
      <c r="BK374" s="97"/>
      <c r="BL374" s="97"/>
      <c r="BM374" s="72"/>
      <c r="BN374" s="96"/>
      <c r="BO374" s="96"/>
      <c r="BP374" s="96"/>
      <c r="BQ374" s="96"/>
    </row>
    <row r="375" spans="18:70" ht="13.8" x14ac:dyDescent="0.25">
      <c r="R375" s="72"/>
      <c r="S375" s="72"/>
      <c r="T375" s="105"/>
      <c r="U375" s="102"/>
      <c r="V375" s="102"/>
      <c r="W375" s="102"/>
      <c r="X375" s="102"/>
      <c r="Y375" s="97"/>
      <c r="Z375" s="97"/>
      <c r="AA375" s="72"/>
      <c r="AB375" s="72"/>
      <c r="AC375" s="72"/>
      <c r="AD375" s="102"/>
      <c r="AE375" s="96"/>
      <c r="AH375" s="72"/>
      <c r="AI375" s="72"/>
      <c r="AJ375" s="72"/>
      <c r="AK375" s="72"/>
      <c r="AL375" s="72"/>
      <c r="AM375" s="72"/>
      <c r="AN375" s="102"/>
      <c r="AO375" s="102"/>
      <c r="AP375" s="102"/>
      <c r="AQ375" s="102"/>
      <c r="AR375" s="97"/>
      <c r="AS375" s="97"/>
      <c r="AT375" s="72"/>
      <c r="AU375" s="72"/>
      <c r="AV375" s="72"/>
      <c r="AW375" s="102"/>
      <c r="AX375" s="96"/>
      <c r="BA375" s="72"/>
      <c r="BB375" s="72"/>
      <c r="BC375" s="72"/>
      <c r="BD375" s="72"/>
      <c r="BE375" s="72"/>
      <c r="BF375" s="72"/>
      <c r="BG375" s="102"/>
      <c r="BH375" s="102"/>
      <c r="BI375" s="102"/>
      <c r="BJ375" s="102"/>
      <c r="BK375" s="97"/>
      <c r="BL375" s="97"/>
      <c r="BM375" s="72"/>
      <c r="BN375" s="72"/>
      <c r="BO375" s="72"/>
      <c r="BP375" s="102"/>
      <c r="BQ375" s="96"/>
    </row>
    <row r="376" spans="18:70" ht="13.8" x14ac:dyDescent="0.25">
      <c r="R376" s="72"/>
      <c r="S376" s="72"/>
      <c r="T376" s="105"/>
      <c r="U376" s="102"/>
      <c r="V376" s="102"/>
      <c r="W376" s="102"/>
      <c r="X376" s="102"/>
      <c r="Y376" s="97"/>
      <c r="Z376" s="97"/>
      <c r="AA376" s="72"/>
      <c r="AB376" s="72"/>
      <c r="AC376" s="72"/>
      <c r="AD376" s="102"/>
      <c r="AE376" s="96"/>
      <c r="AH376" s="72"/>
      <c r="AI376" s="72"/>
      <c r="AJ376" s="72"/>
      <c r="AK376" s="72"/>
      <c r="AL376" s="72"/>
      <c r="AM376" s="105"/>
      <c r="AN376" s="168"/>
      <c r="AO376" s="168"/>
      <c r="AP376" s="168"/>
      <c r="AQ376" s="168"/>
      <c r="AR376" s="97"/>
      <c r="AS376" s="102"/>
      <c r="AT376" s="72"/>
      <c r="AU376" s="72"/>
      <c r="AV376" s="72"/>
      <c r="AW376" s="102"/>
      <c r="AX376" s="96"/>
      <c r="BA376" s="72"/>
      <c r="BB376" s="72"/>
      <c r="BC376" s="72"/>
      <c r="BD376" s="72"/>
      <c r="BE376" s="72"/>
      <c r="BF376" s="105"/>
      <c r="BG376" s="168"/>
      <c r="BH376" s="168"/>
      <c r="BI376" s="168"/>
      <c r="BJ376" s="168"/>
      <c r="BK376" s="97"/>
      <c r="BL376" s="102"/>
      <c r="BM376" s="72"/>
      <c r="BN376" s="72"/>
      <c r="BO376" s="72"/>
      <c r="BP376" s="102"/>
      <c r="BQ376" s="96"/>
    </row>
    <row r="377" spans="18:70" ht="13.8" x14ac:dyDescent="0.25">
      <c r="R377" s="72"/>
      <c r="S377" s="72"/>
      <c r="T377" s="105"/>
      <c r="U377" s="102"/>
      <c r="V377" s="102"/>
      <c r="W377" s="102"/>
      <c r="X377" s="102"/>
      <c r="Y377" s="97"/>
      <c r="Z377" s="97"/>
      <c r="AA377" s="72"/>
      <c r="AB377" s="168"/>
      <c r="AC377" s="168"/>
      <c r="AD377" s="96"/>
      <c r="AE377" s="102"/>
      <c r="AF377" s="97"/>
      <c r="AH377" s="72"/>
      <c r="AI377" s="72"/>
      <c r="AJ377" s="72"/>
      <c r="AK377" s="72"/>
      <c r="AL377" s="72"/>
      <c r="AM377" s="105"/>
      <c r="AN377" s="168"/>
      <c r="AO377" s="96"/>
      <c r="AP377" s="168"/>
      <c r="AQ377" s="97"/>
      <c r="AR377" s="97"/>
      <c r="AS377" s="72"/>
      <c r="AT377" s="95"/>
      <c r="AU377" s="96"/>
      <c r="AV377" s="96"/>
      <c r="AW377" s="96"/>
      <c r="AX377" s="102"/>
      <c r="AY377" s="97"/>
      <c r="BA377" s="72"/>
      <c r="BB377" s="72"/>
      <c r="BC377" s="72"/>
      <c r="BD377" s="72"/>
      <c r="BE377" s="72"/>
      <c r="BF377" s="105"/>
      <c r="BG377" s="168"/>
      <c r="BH377" s="96"/>
      <c r="BI377" s="168"/>
      <c r="BJ377" s="97"/>
      <c r="BK377" s="97"/>
      <c r="BL377" s="72"/>
      <c r="BM377" s="95"/>
      <c r="BN377" s="96"/>
      <c r="BO377" s="96"/>
      <c r="BP377" s="96"/>
      <c r="BQ377" s="102"/>
      <c r="BR377" s="97"/>
    </row>
    <row r="378" spans="18:70" ht="13.8" x14ac:dyDescent="0.25">
      <c r="R378" s="72"/>
      <c r="S378" s="72"/>
      <c r="T378" s="72"/>
      <c r="U378" s="102"/>
      <c r="V378" s="102"/>
      <c r="W378" s="102"/>
      <c r="X378" s="102"/>
      <c r="Y378" s="97"/>
      <c r="Z378" s="97"/>
      <c r="AA378" s="72"/>
      <c r="AB378" s="168"/>
      <c r="AC378" s="168"/>
      <c r="AD378" s="96"/>
      <c r="AE378" s="96"/>
      <c r="AH378" s="72"/>
      <c r="AI378" s="72"/>
      <c r="AJ378" s="72"/>
      <c r="AK378" s="72"/>
      <c r="AL378" s="72"/>
      <c r="AM378" s="105"/>
      <c r="AN378" s="102"/>
      <c r="AO378" s="102"/>
      <c r="AP378" s="102"/>
      <c r="AQ378" s="102"/>
      <c r="AR378" s="97"/>
      <c r="AS378" s="97"/>
      <c r="AT378" s="72"/>
      <c r="AU378" s="96"/>
      <c r="AV378" s="96"/>
      <c r="AW378" s="96"/>
      <c r="AX378" s="96"/>
      <c r="BA378" s="72"/>
      <c r="BB378" s="72"/>
      <c r="BC378" s="72"/>
      <c r="BD378" s="72"/>
      <c r="BE378" s="72"/>
      <c r="BF378" s="105"/>
      <c r="BG378" s="102"/>
      <c r="BH378" s="102"/>
      <c r="BI378" s="102"/>
      <c r="BJ378" s="102"/>
      <c r="BK378" s="97"/>
      <c r="BL378" s="97"/>
      <c r="BM378" s="72"/>
      <c r="BN378" s="96"/>
      <c r="BO378" s="96"/>
      <c r="BP378" s="96"/>
      <c r="BQ378" s="96"/>
    </row>
    <row r="379" spans="18:70" ht="13.8" x14ac:dyDescent="0.25">
      <c r="R379" s="72"/>
      <c r="S379" s="72"/>
      <c r="T379" s="105"/>
      <c r="U379" s="168"/>
      <c r="V379" s="168"/>
      <c r="W379" s="168"/>
      <c r="X379" s="168"/>
      <c r="Y379" s="97"/>
      <c r="Z379" s="102"/>
      <c r="AA379" s="72"/>
      <c r="AB379" s="168"/>
      <c r="AC379" s="168"/>
      <c r="AD379" s="96"/>
      <c r="AE379" s="96"/>
      <c r="AH379" s="72"/>
      <c r="AI379" s="72"/>
      <c r="AJ379" s="72"/>
      <c r="AK379" s="72"/>
      <c r="AL379" s="72"/>
      <c r="AM379" s="72"/>
      <c r="AN379" s="102"/>
      <c r="AO379" s="102"/>
      <c r="AP379" s="102"/>
      <c r="AQ379" s="102"/>
      <c r="AR379" s="97"/>
      <c r="AS379" s="97"/>
      <c r="AT379" s="72"/>
      <c r="AU379" s="96"/>
      <c r="AV379" s="96"/>
      <c r="AW379" s="96"/>
      <c r="AX379" s="96"/>
      <c r="BA379" s="72"/>
      <c r="BB379" s="72"/>
      <c r="BC379" s="72"/>
      <c r="BD379" s="72"/>
      <c r="BE379" s="72"/>
      <c r="BF379" s="72"/>
      <c r="BG379" s="102"/>
      <c r="BH379" s="102"/>
      <c r="BI379" s="102"/>
      <c r="BJ379" s="102"/>
      <c r="BK379" s="97"/>
      <c r="BL379" s="97"/>
      <c r="BM379" s="72"/>
      <c r="BN379" s="96"/>
      <c r="BO379" s="96"/>
      <c r="BP379" s="96"/>
      <c r="BQ379" s="96"/>
    </row>
    <row r="380" spans="18:70" ht="13.8" x14ac:dyDescent="0.25">
      <c r="R380" s="72"/>
      <c r="S380" s="72"/>
      <c r="T380" s="105"/>
      <c r="U380" s="168"/>
      <c r="V380" s="96"/>
      <c r="W380" s="168"/>
      <c r="X380" s="97"/>
      <c r="Y380" s="97"/>
      <c r="Z380" s="72"/>
      <c r="AA380" s="95"/>
      <c r="AB380" s="168"/>
      <c r="AC380" s="168"/>
      <c r="AD380" s="96"/>
      <c r="AE380" s="96"/>
      <c r="AH380" s="72"/>
      <c r="AI380" s="72"/>
      <c r="AJ380" s="72"/>
      <c r="AK380" s="72"/>
      <c r="AL380" s="72"/>
      <c r="AM380" s="105"/>
      <c r="AN380" s="168"/>
      <c r="AO380" s="168"/>
      <c r="AP380" s="168"/>
      <c r="AQ380" s="168"/>
      <c r="AR380" s="97"/>
      <c r="AS380" s="97"/>
      <c r="AT380" s="72"/>
      <c r="AU380" s="96"/>
      <c r="AV380" s="96"/>
      <c r="AW380" s="96"/>
      <c r="AX380" s="96"/>
      <c r="BA380" s="72"/>
      <c r="BB380" s="72"/>
      <c r="BC380" s="72"/>
      <c r="BD380" s="72"/>
      <c r="BE380" s="72"/>
      <c r="BF380" s="105"/>
      <c r="BG380" s="168"/>
      <c r="BH380" s="168"/>
      <c r="BI380" s="168"/>
      <c r="BJ380" s="168"/>
      <c r="BK380" s="97"/>
      <c r="BL380" s="97"/>
      <c r="BM380" s="72"/>
      <c r="BN380" s="96"/>
      <c r="BO380" s="96"/>
      <c r="BP380" s="96"/>
      <c r="BQ380" s="96"/>
    </row>
    <row r="381" spans="18:70" ht="13.8" x14ac:dyDescent="0.25">
      <c r="R381" s="72"/>
      <c r="S381" s="72"/>
      <c r="T381" s="105"/>
      <c r="U381" s="102"/>
      <c r="V381" s="102"/>
      <c r="W381" s="102"/>
      <c r="X381" s="102"/>
      <c r="Y381" s="97"/>
      <c r="Z381" s="97"/>
      <c r="AA381" s="72"/>
      <c r="AB381" s="168"/>
      <c r="AC381" s="168"/>
      <c r="AD381" s="96"/>
      <c r="AE381" s="96"/>
      <c r="AH381" s="72"/>
      <c r="AI381" s="72"/>
      <c r="AJ381" s="72"/>
      <c r="AK381" s="72"/>
      <c r="AL381" s="72"/>
      <c r="AM381" s="105"/>
      <c r="AN381" s="102"/>
      <c r="AO381" s="102"/>
      <c r="AP381" s="102"/>
      <c r="AQ381" s="102"/>
      <c r="AR381" s="97"/>
      <c r="AS381" s="97"/>
      <c r="AT381" s="72"/>
      <c r="AU381" s="96"/>
      <c r="AV381" s="96"/>
      <c r="AW381" s="96"/>
      <c r="AX381" s="96"/>
      <c r="BA381" s="72"/>
      <c r="BB381" s="72"/>
      <c r="BC381" s="72"/>
      <c r="BD381" s="72"/>
      <c r="BE381" s="72"/>
      <c r="BF381" s="105"/>
      <c r="BG381" s="102"/>
      <c r="BH381" s="102"/>
      <c r="BI381" s="102"/>
      <c r="BJ381" s="102"/>
      <c r="BK381" s="97"/>
      <c r="BL381" s="97"/>
      <c r="BM381" s="72"/>
      <c r="BN381" s="96"/>
      <c r="BO381" s="96"/>
      <c r="BP381" s="96"/>
      <c r="BQ381" s="96"/>
    </row>
    <row r="382" spans="18:70" ht="13.8" x14ac:dyDescent="0.25">
      <c r="R382" s="72"/>
      <c r="S382" s="72"/>
      <c r="T382" s="72"/>
      <c r="U382" s="102"/>
      <c r="V382" s="102"/>
      <c r="W382" s="102"/>
      <c r="X382" s="102"/>
      <c r="Y382" s="97"/>
      <c r="Z382" s="97"/>
      <c r="AA382" s="72"/>
      <c r="AB382" s="168"/>
      <c r="AC382" s="168"/>
      <c r="AD382" s="96"/>
      <c r="AE382" s="96"/>
      <c r="AH382" s="72"/>
      <c r="AI382" s="72"/>
      <c r="AJ382" s="72"/>
      <c r="AK382" s="72"/>
      <c r="AL382" s="72"/>
      <c r="AM382" s="105"/>
      <c r="AN382" s="102"/>
      <c r="AO382" s="102"/>
      <c r="AP382" s="102"/>
      <c r="AQ382" s="102"/>
      <c r="AR382" s="97"/>
      <c r="AS382" s="97"/>
      <c r="AT382" s="72"/>
      <c r="AU382" s="96"/>
      <c r="AV382" s="96"/>
      <c r="AW382" s="96"/>
      <c r="AX382" s="96"/>
      <c r="BA382" s="72"/>
      <c r="BB382" s="72"/>
      <c r="BC382" s="72"/>
      <c r="BD382" s="72"/>
      <c r="BE382" s="72"/>
      <c r="BF382" s="105"/>
      <c r="BG382" s="102"/>
      <c r="BH382" s="102"/>
      <c r="BI382" s="102"/>
      <c r="BJ382" s="102"/>
      <c r="BK382" s="97"/>
      <c r="BL382" s="97"/>
      <c r="BM382" s="72"/>
      <c r="BN382" s="96"/>
      <c r="BO382" s="96"/>
      <c r="BP382" s="96"/>
      <c r="BQ382" s="96"/>
    </row>
    <row r="383" spans="18:70" ht="13.8" x14ac:dyDescent="0.25">
      <c r="R383" s="72"/>
      <c r="S383" s="72"/>
      <c r="T383" s="105"/>
      <c r="U383" s="168"/>
      <c r="V383" s="168"/>
      <c r="W383" s="168"/>
      <c r="X383" s="168"/>
      <c r="Y383" s="97"/>
      <c r="Z383" s="97"/>
      <c r="AA383" s="72"/>
      <c r="AB383" s="168"/>
      <c r="AC383" s="168"/>
      <c r="AD383" s="96"/>
      <c r="AE383" s="96"/>
      <c r="AH383" s="72"/>
      <c r="AI383" s="72"/>
      <c r="AJ383" s="72"/>
      <c r="AK383" s="72"/>
      <c r="AL383" s="72"/>
      <c r="AM383" s="105"/>
      <c r="AN383" s="102"/>
      <c r="AO383" s="102"/>
      <c r="AP383" s="102"/>
      <c r="AQ383" s="102"/>
      <c r="AR383" s="97"/>
      <c r="AS383" s="97"/>
      <c r="AT383" s="72"/>
      <c r="AU383" s="96"/>
      <c r="AV383" s="96"/>
      <c r="AW383" s="96"/>
      <c r="AX383" s="96"/>
      <c r="BA383" s="72"/>
      <c r="BB383" s="72"/>
      <c r="BC383" s="72"/>
      <c r="BD383" s="72"/>
      <c r="BE383" s="72"/>
      <c r="BF383" s="105"/>
      <c r="BG383" s="102"/>
      <c r="BH383" s="102"/>
      <c r="BI383" s="102"/>
      <c r="BJ383" s="102"/>
      <c r="BK383" s="97"/>
      <c r="BL383" s="97"/>
      <c r="BM383" s="72"/>
      <c r="BN383" s="96"/>
      <c r="BO383" s="96"/>
      <c r="BP383" s="96"/>
      <c r="BQ383" s="96"/>
    </row>
    <row r="384" spans="18:70" ht="13.8" x14ac:dyDescent="0.25">
      <c r="R384" s="72"/>
      <c r="S384" s="72"/>
      <c r="T384" s="105"/>
      <c r="U384" s="102"/>
      <c r="V384" s="102"/>
      <c r="W384" s="102"/>
      <c r="X384" s="102"/>
      <c r="Y384" s="97"/>
      <c r="Z384" s="97"/>
      <c r="AA384" s="72"/>
      <c r="AB384" s="168"/>
      <c r="AC384" s="168"/>
      <c r="AD384" s="96"/>
      <c r="AE384" s="96"/>
      <c r="AH384" s="72"/>
      <c r="AI384" s="72"/>
      <c r="AJ384" s="72"/>
      <c r="AK384" s="72"/>
      <c r="AL384" s="72"/>
      <c r="AM384" s="105"/>
      <c r="AN384" s="102"/>
      <c r="AO384" s="102"/>
      <c r="AP384" s="102"/>
      <c r="AQ384" s="102"/>
      <c r="AR384" s="97"/>
      <c r="AS384" s="97"/>
      <c r="AT384" s="72"/>
      <c r="AU384" s="96"/>
      <c r="AV384" s="96"/>
      <c r="AW384" s="96"/>
      <c r="AX384" s="96"/>
      <c r="BA384" s="72"/>
      <c r="BB384" s="72"/>
      <c r="BC384" s="72"/>
      <c r="BD384" s="72"/>
      <c r="BE384" s="72"/>
      <c r="BF384" s="105"/>
      <c r="BG384" s="102"/>
      <c r="BH384" s="102"/>
      <c r="BI384" s="102"/>
      <c r="BJ384" s="102"/>
      <c r="BK384" s="97"/>
      <c r="BL384" s="97"/>
      <c r="BM384" s="72"/>
      <c r="BN384" s="96"/>
      <c r="BO384" s="96"/>
      <c r="BP384" s="96"/>
      <c r="BQ384" s="96"/>
    </row>
    <row r="385" spans="18:70" ht="13.8" x14ac:dyDescent="0.25">
      <c r="R385" s="72"/>
      <c r="S385" s="72"/>
      <c r="T385" s="105"/>
      <c r="U385" s="102"/>
      <c r="V385" s="102"/>
      <c r="W385" s="102"/>
      <c r="X385" s="102"/>
      <c r="Y385" s="97"/>
      <c r="Z385" s="97"/>
      <c r="AA385" s="72"/>
      <c r="AB385" s="168"/>
      <c r="AC385" s="168"/>
      <c r="AD385" s="96"/>
      <c r="AE385" s="96"/>
      <c r="AH385" s="72"/>
      <c r="AI385" s="72"/>
      <c r="AJ385" s="72"/>
      <c r="AK385" s="72"/>
      <c r="AL385" s="72"/>
      <c r="AM385" s="105"/>
      <c r="AN385" s="102"/>
      <c r="AO385" s="102"/>
      <c r="AP385" s="102"/>
      <c r="AQ385" s="102"/>
      <c r="AR385" s="97"/>
      <c r="AS385" s="97"/>
      <c r="AT385" s="72"/>
      <c r="AU385" s="96"/>
      <c r="AV385" s="96"/>
      <c r="AW385" s="96"/>
      <c r="AX385" s="96"/>
      <c r="BA385" s="72"/>
      <c r="BB385" s="72"/>
      <c r="BC385" s="72"/>
      <c r="BD385" s="72"/>
      <c r="BE385" s="72"/>
      <c r="BF385" s="105"/>
      <c r="BG385" s="102"/>
      <c r="BH385" s="102"/>
      <c r="BI385" s="102"/>
      <c r="BJ385" s="102"/>
      <c r="BK385" s="97"/>
      <c r="BL385" s="97"/>
      <c r="BM385" s="72"/>
      <c r="BN385" s="96"/>
      <c r="BO385" s="96"/>
      <c r="BP385" s="96"/>
      <c r="BQ385" s="96"/>
    </row>
    <row r="386" spans="18:70" ht="13.8" x14ac:dyDescent="0.25">
      <c r="R386" s="72"/>
      <c r="S386" s="72"/>
      <c r="T386" s="105"/>
      <c r="U386" s="102"/>
      <c r="V386" s="102"/>
      <c r="W386" s="102"/>
      <c r="X386" s="102"/>
      <c r="Y386" s="97"/>
      <c r="Z386" s="97"/>
      <c r="AA386" s="72"/>
      <c r="AB386" s="168"/>
      <c r="AC386" s="168"/>
      <c r="AD386" s="96"/>
      <c r="AE386" s="96"/>
      <c r="AH386" s="72"/>
      <c r="AI386" s="72"/>
      <c r="AJ386" s="72"/>
      <c r="AK386" s="72"/>
      <c r="AL386" s="72"/>
      <c r="AM386" s="105"/>
      <c r="AN386" s="102"/>
      <c r="AO386" s="102"/>
      <c r="AP386" s="102"/>
      <c r="AQ386" s="102"/>
      <c r="AR386" s="97"/>
      <c r="AS386" s="97"/>
      <c r="AT386" s="72"/>
      <c r="AU386" s="96"/>
      <c r="AV386" s="96"/>
      <c r="AW386" s="96"/>
      <c r="AX386" s="96"/>
      <c r="BA386" s="72"/>
      <c r="BB386" s="72"/>
      <c r="BC386" s="72"/>
      <c r="BD386" s="72"/>
      <c r="BE386" s="72"/>
      <c r="BF386" s="105"/>
      <c r="BG386" s="102"/>
      <c r="BH386" s="102"/>
      <c r="BI386" s="102"/>
      <c r="BJ386" s="102"/>
      <c r="BK386" s="97"/>
      <c r="BL386" s="97"/>
      <c r="BM386" s="72"/>
      <c r="BN386" s="96"/>
      <c r="BO386" s="96"/>
      <c r="BP386" s="96"/>
      <c r="BQ386" s="96"/>
    </row>
    <row r="387" spans="18:70" ht="13.8" x14ac:dyDescent="0.25">
      <c r="R387" s="72"/>
      <c r="S387" s="72"/>
      <c r="T387" s="105"/>
      <c r="U387" s="102"/>
      <c r="V387" s="102"/>
      <c r="W387" s="102"/>
      <c r="X387" s="102"/>
      <c r="Y387" s="97"/>
      <c r="Z387" s="97"/>
      <c r="AA387" s="72"/>
      <c r="AB387" s="168"/>
      <c r="AC387" s="168"/>
      <c r="AD387" s="96"/>
      <c r="AE387" s="96"/>
      <c r="AH387" s="72"/>
      <c r="AI387" s="72"/>
      <c r="AJ387" s="72"/>
      <c r="AK387" s="72"/>
      <c r="AL387" s="72"/>
      <c r="AM387" s="105"/>
      <c r="AN387" s="102"/>
      <c r="AO387" s="102"/>
      <c r="AP387" s="102"/>
      <c r="AQ387" s="102"/>
      <c r="AR387" s="97"/>
      <c r="AS387" s="97"/>
      <c r="AT387" s="72"/>
      <c r="AU387" s="96"/>
      <c r="AV387" s="96"/>
      <c r="AW387" s="96"/>
      <c r="AX387" s="96"/>
      <c r="BA387" s="72"/>
      <c r="BB387" s="72"/>
      <c r="BC387" s="72"/>
      <c r="BD387" s="72"/>
      <c r="BE387" s="72"/>
      <c r="BF387" s="105"/>
      <c r="BG387" s="102"/>
      <c r="BH387" s="102"/>
      <c r="BI387" s="102"/>
      <c r="BJ387" s="102"/>
      <c r="BK387" s="97"/>
      <c r="BL387" s="97"/>
      <c r="BM387" s="72"/>
      <c r="BN387" s="96"/>
      <c r="BO387" s="96"/>
      <c r="BP387" s="96"/>
      <c r="BQ387" s="96"/>
    </row>
    <row r="388" spans="18:70" ht="13.8" x14ac:dyDescent="0.25">
      <c r="R388" s="72"/>
      <c r="S388" s="72"/>
      <c r="T388" s="105"/>
      <c r="U388" s="102"/>
      <c r="V388" s="102"/>
      <c r="W388" s="102"/>
      <c r="X388" s="102"/>
      <c r="Y388" s="97"/>
      <c r="Z388" s="97"/>
      <c r="AA388" s="72"/>
      <c r="AB388" s="168"/>
      <c r="AC388" s="168"/>
      <c r="AD388" s="96"/>
      <c r="AE388" s="96"/>
      <c r="AH388" s="72"/>
      <c r="AI388" s="72"/>
      <c r="AJ388" s="72"/>
      <c r="AK388" s="72"/>
      <c r="AL388" s="72"/>
      <c r="AM388" s="105"/>
      <c r="AN388" s="102"/>
      <c r="AO388" s="102"/>
      <c r="AP388" s="102"/>
      <c r="AQ388" s="102"/>
      <c r="AR388" s="97"/>
      <c r="AS388" s="97"/>
      <c r="AT388" s="72"/>
      <c r="AU388" s="96"/>
      <c r="AV388" s="96"/>
      <c r="AW388" s="96"/>
      <c r="AX388" s="96"/>
      <c r="BA388" s="72"/>
      <c r="BB388" s="72"/>
      <c r="BC388" s="72"/>
      <c r="BD388" s="72"/>
      <c r="BE388" s="72"/>
      <c r="BF388" s="105"/>
      <c r="BG388" s="102"/>
      <c r="BH388" s="102"/>
      <c r="BI388" s="102"/>
      <c r="BJ388" s="102"/>
      <c r="BK388" s="97"/>
      <c r="BL388" s="97"/>
      <c r="BM388" s="72"/>
      <c r="BN388" s="96"/>
      <c r="BO388" s="96"/>
      <c r="BP388" s="96"/>
      <c r="BQ388" s="96"/>
    </row>
    <row r="389" spans="18:70" ht="13.8" x14ac:dyDescent="0.25">
      <c r="R389" s="72"/>
      <c r="S389" s="72"/>
      <c r="T389" s="105"/>
      <c r="U389" s="102"/>
      <c r="V389" s="102"/>
      <c r="W389" s="102"/>
      <c r="X389" s="102"/>
      <c r="Y389" s="97"/>
      <c r="Z389" s="97"/>
      <c r="AA389" s="72"/>
      <c r="AB389" s="168"/>
      <c r="AC389" s="168"/>
      <c r="AD389" s="96"/>
      <c r="AE389" s="96"/>
      <c r="AH389" s="72"/>
      <c r="AI389" s="72"/>
      <c r="AJ389" s="72"/>
      <c r="AK389" s="72"/>
      <c r="AL389" s="72"/>
      <c r="AM389" s="105"/>
      <c r="AN389" s="102"/>
      <c r="AO389" s="102"/>
      <c r="AP389" s="102"/>
      <c r="AQ389" s="102"/>
      <c r="AR389" s="97"/>
      <c r="AS389" s="97"/>
      <c r="AT389" s="72"/>
      <c r="AU389" s="96"/>
      <c r="AV389" s="96"/>
      <c r="AW389" s="96"/>
      <c r="AX389" s="96"/>
      <c r="BA389" s="72"/>
      <c r="BB389" s="72"/>
      <c r="BC389" s="72"/>
      <c r="BD389" s="72"/>
      <c r="BE389" s="72"/>
      <c r="BF389" s="105"/>
      <c r="BG389" s="102"/>
      <c r="BH389" s="102"/>
      <c r="BI389" s="102"/>
      <c r="BJ389" s="102"/>
      <c r="BK389" s="97"/>
      <c r="BL389" s="97"/>
      <c r="BM389" s="72"/>
      <c r="BN389" s="96"/>
      <c r="BO389" s="96"/>
      <c r="BP389" s="96"/>
      <c r="BQ389" s="96"/>
    </row>
    <row r="390" spans="18:70" ht="13.8" x14ac:dyDescent="0.25">
      <c r="R390" s="72"/>
      <c r="S390" s="72"/>
      <c r="T390" s="105"/>
      <c r="U390" s="102"/>
      <c r="V390" s="102"/>
      <c r="W390" s="102"/>
      <c r="X390" s="102"/>
      <c r="Y390" s="97"/>
      <c r="Z390" s="97"/>
      <c r="AA390" s="72"/>
      <c r="AB390" s="168"/>
      <c r="AC390" s="168"/>
      <c r="AD390" s="96"/>
      <c r="AE390" s="96"/>
      <c r="AH390" s="72"/>
      <c r="AI390" s="72"/>
      <c r="AJ390" s="72"/>
      <c r="AK390" s="72"/>
      <c r="AL390" s="72"/>
      <c r="AM390" s="105"/>
      <c r="AN390" s="102"/>
      <c r="AO390" s="102"/>
      <c r="AP390" s="102"/>
      <c r="AQ390" s="102"/>
      <c r="AR390" s="97"/>
      <c r="AS390" s="97"/>
      <c r="AT390" s="72"/>
      <c r="AU390" s="96"/>
      <c r="AV390" s="96"/>
      <c r="AW390" s="96"/>
      <c r="AX390" s="96"/>
      <c r="BA390" s="72"/>
      <c r="BB390" s="72"/>
      <c r="BC390" s="72"/>
      <c r="BD390" s="72"/>
      <c r="BE390" s="72"/>
      <c r="BF390" s="105"/>
      <c r="BG390" s="102"/>
      <c r="BH390" s="102"/>
      <c r="BI390" s="102"/>
      <c r="BJ390" s="102"/>
      <c r="BK390" s="97"/>
      <c r="BL390" s="97"/>
      <c r="BM390" s="72"/>
      <c r="BN390" s="96"/>
      <c r="BO390" s="96"/>
      <c r="BP390" s="96"/>
      <c r="BQ390" s="96"/>
    </row>
    <row r="391" spans="18:70" ht="13.8" x14ac:dyDescent="0.25">
      <c r="R391" s="72"/>
      <c r="S391" s="72"/>
      <c r="T391" s="105"/>
      <c r="U391" s="102"/>
      <c r="V391" s="102"/>
      <c r="W391" s="102"/>
      <c r="X391" s="102"/>
      <c r="Y391" s="97"/>
      <c r="Z391" s="97"/>
      <c r="AA391" s="72"/>
      <c r="AB391" s="168"/>
      <c r="AC391" s="168"/>
      <c r="AD391" s="96"/>
      <c r="AE391" s="96"/>
      <c r="AH391" s="72"/>
      <c r="AI391" s="72"/>
      <c r="AJ391" s="72"/>
      <c r="AK391" s="72"/>
      <c r="AL391" s="72"/>
      <c r="AM391" s="105"/>
      <c r="AN391" s="102"/>
      <c r="AO391" s="102"/>
      <c r="AP391" s="102"/>
      <c r="AQ391" s="102"/>
      <c r="AR391" s="97"/>
      <c r="AS391" s="97"/>
      <c r="AT391" s="72"/>
      <c r="AU391" s="96"/>
      <c r="AV391" s="96"/>
      <c r="AW391" s="96"/>
      <c r="AX391" s="96"/>
      <c r="BA391" s="72"/>
      <c r="BB391" s="72"/>
      <c r="BC391" s="72"/>
      <c r="BD391" s="72"/>
      <c r="BE391" s="72"/>
      <c r="BF391" s="105"/>
      <c r="BG391" s="102"/>
      <c r="BH391" s="102"/>
      <c r="BI391" s="102"/>
      <c r="BJ391" s="102"/>
      <c r="BK391" s="97"/>
      <c r="BL391" s="97"/>
      <c r="BM391" s="72"/>
      <c r="BN391" s="96"/>
      <c r="BO391" s="96"/>
      <c r="BP391" s="96"/>
      <c r="BQ391" s="96"/>
    </row>
    <row r="392" spans="18:70" ht="13.8" x14ac:dyDescent="0.25">
      <c r="R392" s="72"/>
      <c r="S392" s="72"/>
      <c r="T392" s="105"/>
      <c r="U392" s="102"/>
      <c r="V392" s="102"/>
      <c r="W392" s="102"/>
      <c r="X392" s="102"/>
      <c r="Y392" s="97"/>
      <c r="Z392" s="97"/>
      <c r="AA392" s="72"/>
      <c r="AB392" s="168"/>
      <c r="AC392" s="168"/>
      <c r="AD392" s="96"/>
      <c r="AE392" s="96"/>
      <c r="AH392" s="72"/>
      <c r="AI392" s="72"/>
      <c r="AJ392" s="72"/>
      <c r="AK392" s="72"/>
      <c r="AL392" s="72"/>
      <c r="AM392" s="105"/>
      <c r="AN392" s="102"/>
      <c r="AO392" s="102"/>
      <c r="AP392" s="102"/>
      <c r="AQ392" s="102"/>
      <c r="AR392" s="97"/>
      <c r="AS392" s="97"/>
      <c r="AT392" s="72"/>
      <c r="AU392" s="96"/>
      <c r="AV392" s="96"/>
      <c r="AW392" s="96"/>
      <c r="AX392" s="96"/>
      <c r="BA392" s="72"/>
      <c r="BB392" s="72"/>
      <c r="BC392" s="72"/>
      <c r="BD392" s="72"/>
      <c r="BE392" s="72"/>
      <c r="BF392" s="105"/>
      <c r="BG392" s="102"/>
      <c r="BH392" s="102"/>
      <c r="BI392" s="102"/>
      <c r="BJ392" s="102"/>
      <c r="BK392" s="97"/>
      <c r="BL392" s="97"/>
      <c r="BM392" s="72"/>
      <c r="BN392" s="96"/>
      <c r="BO392" s="96"/>
      <c r="BP392" s="96"/>
      <c r="BQ392" s="96"/>
    </row>
    <row r="393" spans="18:70" ht="13.8" x14ac:dyDescent="0.25">
      <c r="R393" s="72"/>
      <c r="S393" s="72"/>
      <c r="T393" s="105"/>
      <c r="U393" s="102"/>
      <c r="V393" s="102"/>
      <c r="W393" s="102"/>
      <c r="X393" s="102"/>
      <c r="Y393" s="97"/>
      <c r="Z393" s="97"/>
      <c r="AA393" s="72"/>
      <c r="AB393" s="168"/>
      <c r="AC393" s="168"/>
      <c r="AD393" s="96"/>
      <c r="AE393" s="96"/>
      <c r="AH393" s="72"/>
      <c r="AI393" s="72"/>
      <c r="AJ393" s="72"/>
      <c r="AK393" s="72"/>
      <c r="AL393" s="72"/>
      <c r="AM393" s="105"/>
      <c r="AN393" s="102"/>
      <c r="AO393" s="102"/>
      <c r="AP393" s="102"/>
      <c r="AQ393" s="102"/>
      <c r="AR393" s="97"/>
      <c r="AS393" s="97"/>
      <c r="AT393" s="72"/>
      <c r="AU393" s="96"/>
      <c r="AV393" s="96"/>
      <c r="AW393" s="96"/>
      <c r="AX393" s="96"/>
      <c r="BA393" s="72"/>
      <c r="BB393" s="72"/>
      <c r="BC393" s="72"/>
      <c r="BD393" s="72"/>
      <c r="BE393" s="72"/>
      <c r="BF393" s="105"/>
      <c r="BG393" s="102"/>
      <c r="BH393" s="102"/>
      <c r="BI393" s="102"/>
      <c r="BJ393" s="102"/>
      <c r="BK393" s="97"/>
      <c r="BL393" s="97"/>
      <c r="BM393" s="72"/>
      <c r="BN393" s="96"/>
      <c r="BO393" s="96"/>
      <c r="BP393" s="96"/>
      <c r="BQ393" s="96"/>
    </row>
    <row r="394" spans="18:70" ht="13.8" x14ac:dyDescent="0.25">
      <c r="R394" s="72"/>
      <c r="S394" s="72"/>
      <c r="T394" s="105"/>
      <c r="U394" s="102"/>
      <c r="V394" s="102"/>
      <c r="W394" s="102"/>
      <c r="X394" s="102"/>
      <c r="Y394" s="97"/>
      <c r="Z394" s="97"/>
      <c r="AA394" s="72"/>
      <c r="AB394" s="168"/>
      <c r="AC394" s="168"/>
      <c r="AD394" s="96"/>
      <c r="AE394" s="96"/>
      <c r="AH394" s="72"/>
      <c r="AI394" s="72"/>
      <c r="AJ394" s="72"/>
      <c r="AK394" s="72"/>
      <c r="AL394" s="72"/>
      <c r="AM394" s="105"/>
      <c r="AN394" s="102"/>
      <c r="AO394" s="102"/>
      <c r="AP394" s="102"/>
      <c r="AQ394" s="102"/>
      <c r="AR394" s="97"/>
      <c r="AS394" s="97"/>
      <c r="AT394" s="72"/>
      <c r="AU394" s="96"/>
      <c r="AV394" s="96"/>
      <c r="AW394" s="96"/>
      <c r="AX394" s="96"/>
      <c r="BA394" s="72"/>
      <c r="BB394" s="72"/>
      <c r="BC394" s="72"/>
      <c r="BD394" s="72"/>
      <c r="BE394" s="72"/>
      <c r="BF394" s="105"/>
      <c r="BG394" s="102"/>
      <c r="BH394" s="102"/>
      <c r="BI394" s="102"/>
      <c r="BJ394" s="102"/>
      <c r="BK394" s="97"/>
      <c r="BL394" s="97"/>
      <c r="BM394" s="72"/>
      <c r="BN394" s="96"/>
      <c r="BO394" s="96"/>
      <c r="BP394" s="96"/>
      <c r="BQ394" s="96"/>
    </row>
    <row r="395" spans="18:70" ht="13.8" x14ac:dyDescent="0.25">
      <c r="R395" s="72"/>
      <c r="S395" s="72"/>
      <c r="T395" s="105"/>
      <c r="U395" s="102"/>
      <c r="V395" s="102"/>
      <c r="W395" s="102"/>
      <c r="X395" s="102"/>
      <c r="Y395" s="97"/>
      <c r="Z395" s="97"/>
      <c r="AA395" s="72"/>
      <c r="AB395" s="102"/>
      <c r="AC395" s="96"/>
      <c r="AD395" s="102"/>
      <c r="AE395" s="96"/>
      <c r="AH395" s="72"/>
      <c r="AI395" s="72"/>
      <c r="AJ395" s="72"/>
      <c r="AK395" s="72"/>
      <c r="AL395" s="72"/>
      <c r="AM395" s="72"/>
      <c r="AN395" s="102"/>
      <c r="AO395" s="102"/>
      <c r="AP395" s="102"/>
      <c r="AQ395" s="102"/>
      <c r="AR395" s="97"/>
      <c r="AS395" s="97"/>
      <c r="AT395" s="72"/>
      <c r="AU395" s="102"/>
      <c r="AV395" s="96"/>
      <c r="AW395" s="102"/>
      <c r="AX395" s="96"/>
      <c r="BA395" s="72"/>
      <c r="BB395" s="72"/>
      <c r="BC395" s="72"/>
      <c r="BD395" s="72"/>
      <c r="BE395" s="72"/>
      <c r="BF395" s="72"/>
      <c r="BG395" s="102"/>
      <c r="BH395" s="102"/>
      <c r="BI395" s="102"/>
      <c r="BJ395" s="102"/>
      <c r="BK395" s="97"/>
      <c r="BL395" s="97"/>
      <c r="BM395" s="72"/>
      <c r="BN395" s="102"/>
      <c r="BO395" s="96"/>
      <c r="BP395" s="102"/>
      <c r="BQ395" s="96"/>
    </row>
    <row r="396" spans="18:70" ht="13.8" x14ac:dyDescent="0.25">
      <c r="R396" s="72"/>
      <c r="S396" s="72"/>
      <c r="T396" s="105"/>
      <c r="U396" s="102"/>
      <c r="V396" s="102"/>
      <c r="W396" s="102"/>
      <c r="X396" s="102"/>
      <c r="Y396" s="97"/>
      <c r="Z396" s="97"/>
      <c r="AA396" s="72"/>
      <c r="AB396" s="102"/>
      <c r="AC396" s="96"/>
      <c r="AD396" s="102"/>
      <c r="AE396" s="96"/>
      <c r="AH396" s="72"/>
      <c r="AI396" s="72"/>
      <c r="AJ396" s="72"/>
      <c r="AK396" s="72"/>
      <c r="AL396" s="72"/>
      <c r="AM396" s="105"/>
      <c r="AN396" s="168"/>
      <c r="AO396" s="168"/>
      <c r="AP396" s="168"/>
      <c r="AQ396" s="168"/>
      <c r="AR396" s="97"/>
      <c r="AS396" s="102"/>
      <c r="AT396" s="72"/>
      <c r="AU396" s="102"/>
      <c r="AV396" s="96"/>
      <c r="AW396" s="102"/>
      <c r="AX396" s="96"/>
      <c r="BA396" s="72"/>
      <c r="BB396" s="72"/>
      <c r="BC396" s="72"/>
      <c r="BD396" s="72"/>
      <c r="BE396" s="72"/>
      <c r="BF396" s="105"/>
      <c r="BG396" s="168"/>
      <c r="BH396" s="168"/>
      <c r="BI396" s="168"/>
      <c r="BJ396" s="168"/>
      <c r="BK396" s="97"/>
      <c r="BL396" s="102"/>
      <c r="BM396" s="72"/>
      <c r="BN396" s="102"/>
      <c r="BO396" s="96"/>
      <c r="BP396" s="102"/>
      <c r="BQ396" s="96"/>
    </row>
    <row r="397" spans="18:70" ht="13.8" x14ac:dyDescent="0.25">
      <c r="R397" s="72"/>
      <c r="S397" s="72"/>
      <c r="T397" s="105"/>
      <c r="U397" s="102"/>
      <c r="V397" s="102"/>
      <c r="W397" s="102"/>
      <c r="X397" s="102"/>
      <c r="Y397" s="97"/>
      <c r="Z397" s="97"/>
      <c r="AA397" s="72"/>
      <c r="AB397" s="168"/>
      <c r="AC397" s="168"/>
      <c r="AD397" s="96"/>
      <c r="AE397" s="102"/>
      <c r="AF397" s="97"/>
      <c r="AH397" s="72"/>
      <c r="AI397" s="72"/>
      <c r="AJ397" s="72"/>
      <c r="AK397" s="72"/>
      <c r="AL397" s="72"/>
      <c r="AM397" s="105"/>
      <c r="AN397" s="168"/>
      <c r="AO397" s="96"/>
      <c r="AP397" s="168"/>
      <c r="AQ397" s="97"/>
      <c r="AR397" s="97"/>
      <c r="AS397" s="72"/>
      <c r="AT397" s="95"/>
      <c r="AU397" s="96"/>
      <c r="AV397" s="96"/>
      <c r="AW397" s="96"/>
      <c r="AX397" s="102"/>
      <c r="AY397" s="97"/>
      <c r="BA397" s="72"/>
      <c r="BB397" s="72"/>
      <c r="BC397" s="72"/>
      <c r="BD397" s="72"/>
      <c r="BE397" s="72"/>
      <c r="BF397" s="105"/>
      <c r="BG397" s="168"/>
      <c r="BH397" s="96"/>
      <c r="BI397" s="168"/>
      <c r="BJ397" s="97"/>
      <c r="BK397" s="97"/>
      <c r="BL397" s="72"/>
      <c r="BM397" s="95"/>
      <c r="BN397" s="96"/>
      <c r="BO397" s="96"/>
      <c r="BP397" s="96"/>
      <c r="BQ397" s="102"/>
      <c r="BR397" s="97"/>
    </row>
    <row r="398" spans="18:70" ht="13.8" x14ac:dyDescent="0.25">
      <c r="R398" s="72"/>
      <c r="S398" s="72"/>
      <c r="T398" s="72"/>
      <c r="U398" s="102"/>
      <c r="V398" s="102"/>
      <c r="W398" s="102"/>
      <c r="X398" s="102"/>
      <c r="Y398" s="97"/>
      <c r="Z398" s="97"/>
      <c r="AA398" s="72"/>
      <c r="AB398" s="168"/>
      <c r="AC398" s="168"/>
      <c r="AD398" s="96"/>
      <c r="AE398" s="96"/>
      <c r="AH398" s="72"/>
      <c r="AI398" s="72"/>
      <c r="AJ398" s="72"/>
      <c r="AK398" s="72"/>
      <c r="AL398" s="72"/>
      <c r="AM398" s="105"/>
      <c r="AN398" s="102"/>
      <c r="AO398" s="102"/>
      <c r="AP398" s="102"/>
      <c r="AQ398" s="102"/>
      <c r="AR398" s="97"/>
      <c r="AS398" s="97"/>
      <c r="AT398" s="72"/>
      <c r="AU398" s="96"/>
      <c r="AV398" s="96"/>
      <c r="AW398" s="96"/>
      <c r="AX398" s="96"/>
      <c r="BA398" s="72"/>
      <c r="BB398" s="72"/>
      <c r="BC398" s="72"/>
      <c r="BD398" s="72"/>
      <c r="BE398" s="72"/>
      <c r="BF398" s="105"/>
      <c r="BG398" s="102"/>
      <c r="BH398" s="102"/>
      <c r="BI398" s="102"/>
      <c r="BJ398" s="102"/>
      <c r="BK398" s="97"/>
      <c r="BL398" s="97"/>
      <c r="BM398" s="72"/>
      <c r="BN398" s="96"/>
      <c r="BO398" s="96"/>
      <c r="BP398" s="96"/>
      <c r="BQ398" s="96"/>
    </row>
    <row r="399" spans="18:70" ht="13.8" x14ac:dyDescent="0.25">
      <c r="R399" s="72"/>
      <c r="S399" s="72"/>
      <c r="T399" s="105"/>
      <c r="U399" s="168"/>
      <c r="V399" s="168"/>
      <c r="W399" s="168"/>
      <c r="X399" s="168"/>
      <c r="Y399" s="97"/>
      <c r="Z399" s="102"/>
      <c r="AA399" s="72"/>
      <c r="AB399" s="168"/>
      <c r="AC399" s="168"/>
      <c r="AD399" s="96"/>
      <c r="AE399" s="96"/>
      <c r="AH399" s="72"/>
      <c r="AI399" s="72"/>
      <c r="AJ399" s="72"/>
      <c r="AK399" s="72"/>
      <c r="AL399" s="72"/>
      <c r="AM399" s="72"/>
      <c r="AN399" s="102"/>
      <c r="AO399" s="102"/>
      <c r="AP399" s="102"/>
      <c r="AQ399" s="102"/>
      <c r="AR399" s="97"/>
      <c r="AS399" s="97"/>
      <c r="AT399" s="72"/>
      <c r="AU399" s="96"/>
      <c r="AV399" s="96"/>
      <c r="AW399" s="96"/>
      <c r="AX399" s="96"/>
      <c r="BA399" s="72"/>
      <c r="BB399" s="72"/>
      <c r="BC399" s="72"/>
      <c r="BD399" s="72"/>
      <c r="BE399" s="72"/>
      <c r="BF399" s="72"/>
      <c r="BG399" s="102"/>
      <c r="BH399" s="102"/>
      <c r="BI399" s="102"/>
      <c r="BJ399" s="102"/>
      <c r="BK399" s="97"/>
      <c r="BL399" s="97"/>
      <c r="BM399" s="72"/>
      <c r="BN399" s="96"/>
      <c r="BO399" s="96"/>
      <c r="BP399" s="96"/>
      <c r="BQ399" s="96"/>
    </row>
    <row r="400" spans="18:70" ht="13.8" x14ac:dyDescent="0.25">
      <c r="R400" s="72"/>
      <c r="S400" s="72"/>
      <c r="T400" s="105"/>
      <c r="U400" s="168"/>
      <c r="V400" s="96"/>
      <c r="W400" s="168"/>
      <c r="X400" s="97"/>
      <c r="Y400" s="97"/>
      <c r="Z400" s="72"/>
      <c r="AA400" s="95"/>
      <c r="AB400" s="168"/>
      <c r="AC400" s="168"/>
      <c r="AD400" s="96"/>
      <c r="AE400" s="96"/>
      <c r="AH400" s="72"/>
      <c r="AI400" s="72"/>
      <c r="AJ400" s="72"/>
      <c r="AK400" s="72"/>
      <c r="AL400" s="72"/>
      <c r="AM400" s="105"/>
      <c r="AN400" s="168"/>
      <c r="AO400" s="168"/>
      <c r="AP400" s="168"/>
      <c r="AQ400" s="168"/>
      <c r="AR400" s="97"/>
      <c r="AS400" s="97"/>
      <c r="AT400" s="72"/>
      <c r="AU400" s="96"/>
      <c r="AV400" s="96"/>
      <c r="AW400" s="96"/>
      <c r="AX400" s="96"/>
      <c r="BA400" s="72"/>
      <c r="BB400" s="72"/>
      <c r="BC400" s="72"/>
      <c r="BD400" s="72"/>
      <c r="BE400" s="72"/>
      <c r="BF400" s="105"/>
      <c r="BG400" s="168"/>
      <c r="BH400" s="168"/>
      <c r="BI400" s="168"/>
      <c r="BJ400" s="168"/>
      <c r="BK400" s="97"/>
      <c r="BL400" s="97"/>
      <c r="BM400" s="72"/>
      <c r="BN400" s="96"/>
      <c r="BO400" s="96"/>
      <c r="BP400" s="96"/>
      <c r="BQ400" s="96"/>
    </row>
    <row r="401" spans="18:69" ht="13.8" x14ac:dyDescent="0.25">
      <c r="R401" s="72"/>
      <c r="S401" s="72"/>
      <c r="T401" s="105"/>
      <c r="U401" s="102"/>
      <c r="V401" s="102"/>
      <c r="W401" s="102"/>
      <c r="X401" s="102"/>
      <c r="Y401" s="97"/>
      <c r="Z401" s="97"/>
      <c r="AA401" s="72"/>
      <c r="AB401" s="168"/>
      <c r="AC401" s="168"/>
      <c r="AD401" s="96"/>
      <c r="AE401" s="96"/>
      <c r="AH401" s="72"/>
      <c r="AI401" s="72"/>
      <c r="AJ401" s="72"/>
      <c r="AK401" s="72"/>
      <c r="AL401" s="72"/>
      <c r="AM401" s="105"/>
      <c r="AN401" s="102"/>
      <c r="AO401" s="102"/>
      <c r="AP401" s="102"/>
      <c r="AQ401" s="102"/>
      <c r="AR401" s="97"/>
      <c r="AS401" s="97"/>
      <c r="AT401" s="72"/>
      <c r="AU401" s="96"/>
      <c r="AV401" s="96"/>
      <c r="AW401" s="96"/>
      <c r="AX401" s="96"/>
      <c r="BA401" s="72"/>
      <c r="BB401" s="72"/>
      <c r="BC401" s="72"/>
      <c r="BD401" s="72"/>
      <c r="BE401" s="72"/>
      <c r="BF401" s="105"/>
      <c r="BG401" s="102"/>
      <c r="BH401" s="102"/>
      <c r="BI401" s="102"/>
      <c r="BJ401" s="102"/>
      <c r="BK401" s="97"/>
      <c r="BL401" s="97"/>
      <c r="BM401" s="72"/>
      <c r="BN401" s="96"/>
      <c r="BO401" s="96"/>
      <c r="BP401" s="96"/>
      <c r="BQ401" s="96"/>
    </row>
    <row r="402" spans="18:69" ht="13.8" x14ac:dyDescent="0.25">
      <c r="R402" s="72"/>
      <c r="S402" s="72"/>
      <c r="T402" s="72"/>
      <c r="U402" s="102"/>
      <c r="V402" s="102"/>
      <c r="W402" s="102"/>
      <c r="X402" s="102"/>
      <c r="Y402" s="97"/>
      <c r="Z402" s="97"/>
      <c r="AA402" s="72"/>
      <c r="AB402" s="168"/>
      <c r="AC402" s="168"/>
      <c r="AD402" s="96"/>
      <c r="AE402" s="96"/>
      <c r="AH402" s="72"/>
      <c r="AI402" s="72"/>
      <c r="AJ402" s="72"/>
      <c r="AK402" s="72"/>
      <c r="AL402" s="72"/>
      <c r="AM402" s="105"/>
      <c r="AN402" s="102"/>
      <c r="AO402" s="102"/>
      <c r="AP402" s="102"/>
      <c r="AQ402" s="102"/>
      <c r="AR402" s="97"/>
      <c r="AS402" s="97"/>
      <c r="AT402" s="72"/>
      <c r="AU402" s="96"/>
      <c r="AV402" s="96"/>
      <c r="AW402" s="96"/>
      <c r="AX402" s="96"/>
      <c r="BA402" s="72"/>
      <c r="BB402" s="72"/>
      <c r="BC402" s="72"/>
      <c r="BD402" s="72"/>
      <c r="BE402" s="72"/>
      <c r="BF402" s="105"/>
      <c r="BG402" s="102"/>
      <c r="BH402" s="102"/>
      <c r="BI402" s="102"/>
      <c r="BJ402" s="102"/>
      <c r="BK402" s="97"/>
      <c r="BL402" s="97"/>
      <c r="BM402" s="72"/>
      <c r="BN402" s="96"/>
      <c r="BO402" s="96"/>
      <c r="BP402" s="96"/>
      <c r="BQ402" s="96"/>
    </row>
    <row r="403" spans="18:69" ht="13.8" x14ac:dyDescent="0.25">
      <c r="R403" s="72"/>
      <c r="S403" s="72"/>
      <c r="T403" s="105"/>
      <c r="U403" s="168"/>
      <c r="V403" s="168"/>
      <c r="W403" s="168"/>
      <c r="X403" s="168"/>
      <c r="Y403" s="97"/>
      <c r="Z403" s="97"/>
      <c r="AA403" s="72"/>
      <c r="AB403" s="168"/>
      <c r="AC403" s="168"/>
      <c r="AD403" s="96"/>
      <c r="AE403" s="96"/>
      <c r="AH403" s="72"/>
      <c r="AI403" s="72"/>
      <c r="AJ403" s="72"/>
      <c r="AK403" s="72"/>
      <c r="AL403" s="72"/>
      <c r="AM403" s="105"/>
      <c r="AN403" s="102"/>
      <c r="AO403" s="102"/>
      <c r="AP403" s="102"/>
      <c r="AQ403" s="102"/>
      <c r="AR403" s="97"/>
      <c r="AS403" s="97"/>
      <c r="AT403" s="72"/>
      <c r="AU403" s="96"/>
      <c r="AV403" s="96"/>
      <c r="AW403" s="96"/>
      <c r="AX403" s="96"/>
      <c r="BA403" s="72"/>
      <c r="BB403" s="72"/>
      <c r="BC403" s="72"/>
      <c r="BD403" s="72"/>
      <c r="BE403" s="72"/>
      <c r="BF403" s="105"/>
      <c r="BG403" s="102"/>
      <c r="BH403" s="102"/>
      <c r="BI403" s="102"/>
      <c r="BJ403" s="102"/>
      <c r="BK403" s="97"/>
      <c r="BL403" s="97"/>
      <c r="BM403" s="72"/>
      <c r="BN403" s="96"/>
      <c r="BO403" s="96"/>
      <c r="BP403" s="96"/>
      <c r="BQ403" s="96"/>
    </row>
    <row r="404" spans="18:69" ht="13.8" x14ac:dyDescent="0.25">
      <c r="R404" s="72"/>
      <c r="S404" s="72"/>
      <c r="T404" s="105"/>
      <c r="U404" s="102"/>
      <c r="V404" s="102"/>
      <c r="W404" s="102"/>
      <c r="X404" s="102"/>
      <c r="Y404" s="97"/>
      <c r="Z404" s="97"/>
      <c r="AA404" s="72"/>
      <c r="AB404" s="168"/>
      <c r="AC404" s="168"/>
      <c r="AD404" s="96"/>
      <c r="AE404" s="96"/>
      <c r="AH404" s="72"/>
      <c r="AI404" s="72"/>
      <c r="AJ404" s="72"/>
      <c r="AK404" s="72"/>
      <c r="AL404" s="72"/>
      <c r="AM404" s="105"/>
      <c r="AN404" s="102"/>
      <c r="AO404" s="102"/>
      <c r="AP404" s="102"/>
      <c r="AQ404" s="102"/>
      <c r="AR404" s="97"/>
      <c r="AS404" s="97"/>
      <c r="AT404" s="72"/>
      <c r="AU404" s="96"/>
      <c r="AV404" s="96"/>
      <c r="AW404" s="96"/>
      <c r="AX404" s="96"/>
      <c r="BA404" s="72"/>
      <c r="BB404" s="72"/>
      <c r="BC404" s="72"/>
      <c r="BD404" s="72"/>
      <c r="BE404" s="72"/>
      <c r="BF404" s="105"/>
      <c r="BG404" s="102"/>
      <c r="BH404" s="102"/>
      <c r="BI404" s="102"/>
      <c r="BJ404" s="102"/>
      <c r="BK404" s="97"/>
      <c r="BL404" s="97"/>
      <c r="BM404" s="72"/>
      <c r="BN404" s="96"/>
      <c r="BO404" s="96"/>
      <c r="BP404" s="96"/>
      <c r="BQ404" s="96"/>
    </row>
    <row r="405" spans="18:69" ht="13.8" x14ac:dyDescent="0.25">
      <c r="R405" s="72"/>
      <c r="S405" s="72"/>
      <c r="T405" s="105"/>
      <c r="U405" s="102"/>
      <c r="V405" s="102"/>
      <c r="W405" s="102"/>
      <c r="X405" s="102"/>
      <c r="Y405" s="97"/>
      <c r="Z405" s="97"/>
      <c r="AA405" s="72"/>
      <c r="AB405" s="168"/>
      <c r="AC405" s="168"/>
      <c r="AD405" s="96"/>
      <c r="AE405" s="96"/>
      <c r="AH405" s="72"/>
      <c r="AI405" s="72"/>
      <c r="AJ405" s="72"/>
      <c r="AK405" s="72"/>
      <c r="AL405" s="72"/>
      <c r="AM405" s="105"/>
      <c r="AN405" s="102"/>
      <c r="AO405" s="102"/>
      <c r="AP405" s="102"/>
      <c r="AQ405" s="102"/>
      <c r="AR405" s="97"/>
      <c r="AS405" s="97"/>
      <c r="AT405" s="72"/>
      <c r="AU405" s="96"/>
      <c r="AV405" s="96"/>
      <c r="AW405" s="96"/>
      <c r="AX405" s="96"/>
      <c r="BA405" s="72"/>
      <c r="BB405" s="72"/>
      <c r="BC405" s="72"/>
      <c r="BD405" s="72"/>
      <c r="BE405" s="72"/>
      <c r="BF405" s="105"/>
      <c r="BG405" s="102"/>
      <c r="BH405" s="102"/>
      <c r="BI405" s="102"/>
      <c r="BJ405" s="102"/>
      <c r="BK405" s="97"/>
      <c r="BL405" s="97"/>
      <c r="BM405" s="72"/>
      <c r="BN405" s="96"/>
      <c r="BO405" s="96"/>
      <c r="BP405" s="96"/>
      <c r="BQ405" s="96"/>
    </row>
    <row r="406" spans="18:69" ht="13.8" x14ac:dyDescent="0.25">
      <c r="R406" s="72"/>
      <c r="S406" s="72"/>
      <c r="T406" s="105"/>
      <c r="U406" s="102"/>
      <c r="V406" s="102"/>
      <c r="W406" s="102"/>
      <c r="X406" s="102"/>
      <c r="Y406" s="97"/>
      <c r="Z406" s="97"/>
      <c r="AA406" s="72"/>
      <c r="AB406" s="168"/>
      <c r="AC406" s="168"/>
      <c r="AD406" s="96"/>
      <c r="AE406" s="96"/>
      <c r="AH406" s="72"/>
      <c r="AI406" s="72"/>
      <c r="AJ406" s="72"/>
      <c r="AK406" s="72"/>
      <c r="AL406" s="72"/>
      <c r="AM406" s="105"/>
      <c r="AN406" s="102"/>
      <c r="AO406" s="102"/>
      <c r="AP406" s="102"/>
      <c r="AQ406" s="102"/>
      <c r="AR406" s="97"/>
      <c r="AS406" s="97"/>
      <c r="AT406" s="72"/>
      <c r="AU406" s="96"/>
      <c r="AV406" s="96"/>
      <c r="AW406" s="96"/>
      <c r="AX406" s="96"/>
      <c r="BA406" s="72"/>
      <c r="BB406" s="72"/>
      <c r="BC406" s="72"/>
      <c r="BD406" s="72"/>
      <c r="BE406" s="72"/>
      <c r="BF406" s="105"/>
      <c r="BG406" s="102"/>
      <c r="BH406" s="102"/>
      <c r="BI406" s="102"/>
      <c r="BJ406" s="102"/>
      <c r="BK406" s="97"/>
      <c r="BL406" s="97"/>
      <c r="BM406" s="72"/>
      <c r="BN406" s="96"/>
      <c r="BO406" s="96"/>
      <c r="BP406" s="96"/>
      <c r="BQ406" s="96"/>
    </row>
    <row r="407" spans="18:69" ht="13.8" x14ac:dyDescent="0.25">
      <c r="R407" s="72"/>
      <c r="S407" s="72"/>
      <c r="T407" s="105"/>
      <c r="U407" s="102"/>
      <c r="V407" s="102"/>
      <c r="W407" s="102"/>
      <c r="X407" s="102"/>
      <c r="Y407" s="97"/>
      <c r="Z407" s="97"/>
      <c r="AA407" s="72"/>
      <c r="AB407" s="168"/>
      <c r="AC407" s="168"/>
      <c r="AD407" s="96"/>
      <c r="AE407" s="96"/>
      <c r="AH407" s="72"/>
      <c r="AI407" s="72"/>
      <c r="AJ407" s="72"/>
      <c r="AK407" s="72"/>
      <c r="AL407" s="72"/>
      <c r="AM407" s="105"/>
      <c r="AN407" s="102"/>
      <c r="AO407" s="102"/>
      <c r="AP407" s="102"/>
      <c r="AQ407" s="102"/>
      <c r="AR407" s="97"/>
      <c r="AS407" s="97"/>
      <c r="AT407" s="72"/>
      <c r="AU407" s="96"/>
      <c r="AV407" s="96"/>
      <c r="AW407" s="96"/>
      <c r="AX407" s="96"/>
      <c r="BA407" s="72"/>
      <c r="BB407" s="72"/>
      <c r="BC407" s="72"/>
      <c r="BD407" s="72"/>
      <c r="BE407" s="72"/>
      <c r="BF407" s="105"/>
      <c r="BG407" s="102"/>
      <c r="BH407" s="102"/>
      <c r="BI407" s="102"/>
      <c r="BJ407" s="102"/>
      <c r="BK407" s="97"/>
      <c r="BL407" s="97"/>
      <c r="BM407" s="72"/>
      <c r="BN407" s="96"/>
      <c r="BO407" s="96"/>
      <c r="BP407" s="96"/>
      <c r="BQ407" s="96"/>
    </row>
    <row r="408" spans="18:69" ht="13.8" x14ac:dyDescent="0.25">
      <c r="R408" s="72"/>
      <c r="S408" s="72"/>
      <c r="T408" s="105"/>
      <c r="U408" s="102"/>
      <c r="V408" s="102"/>
      <c r="W408" s="102"/>
      <c r="X408" s="102"/>
      <c r="Y408" s="97"/>
      <c r="Z408" s="97"/>
      <c r="AA408" s="72"/>
      <c r="AB408" s="168"/>
      <c r="AC408" s="168"/>
      <c r="AD408" s="96"/>
      <c r="AE408" s="96"/>
      <c r="AH408" s="72"/>
      <c r="AI408" s="72"/>
      <c r="AJ408" s="72"/>
      <c r="AK408" s="72"/>
      <c r="AL408" s="72"/>
      <c r="AM408" s="105"/>
      <c r="AN408" s="102"/>
      <c r="AO408" s="102"/>
      <c r="AP408" s="102"/>
      <c r="AQ408" s="102"/>
      <c r="AR408" s="97"/>
      <c r="AS408" s="97"/>
      <c r="AT408" s="72"/>
      <c r="AU408" s="96"/>
      <c r="AV408" s="96"/>
      <c r="AW408" s="96"/>
      <c r="AX408" s="96"/>
      <c r="BA408" s="72"/>
      <c r="BB408" s="72"/>
      <c r="BC408" s="72"/>
      <c r="BD408" s="72"/>
      <c r="BE408" s="72"/>
      <c r="BF408" s="105"/>
      <c r="BG408" s="102"/>
      <c r="BH408" s="102"/>
      <c r="BI408" s="102"/>
      <c r="BJ408" s="102"/>
      <c r="BK408" s="97"/>
      <c r="BL408" s="97"/>
      <c r="BM408" s="72"/>
      <c r="BN408" s="96"/>
      <c r="BO408" s="96"/>
      <c r="BP408" s="96"/>
      <c r="BQ408" s="96"/>
    </row>
    <row r="409" spans="18:69" ht="13.8" x14ac:dyDescent="0.25">
      <c r="R409" s="72"/>
      <c r="S409" s="72"/>
      <c r="T409" s="105"/>
      <c r="U409" s="102"/>
      <c r="V409" s="102"/>
      <c r="W409" s="102"/>
      <c r="X409" s="102"/>
      <c r="Y409" s="97"/>
      <c r="Z409" s="97"/>
      <c r="AA409" s="72"/>
      <c r="AB409" s="168"/>
      <c r="AC409" s="168"/>
      <c r="AD409" s="96"/>
      <c r="AE409" s="96"/>
      <c r="AH409" s="72"/>
      <c r="AI409" s="72"/>
      <c r="AJ409" s="72"/>
      <c r="AK409" s="72"/>
      <c r="AL409" s="72"/>
      <c r="AM409" s="105"/>
      <c r="AN409" s="102"/>
      <c r="AO409" s="102"/>
      <c r="AP409" s="102"/>
      <c r="AQ409" s="102"/>
      <c r="AR409" s="97"/>
      <c r="AS409" s="97"/>
      <c r="AT409" s="72"/>
      <c r="AU409" s="96"/>
      <c r="AV409" s="96"/>
      <c r="AW409" s="96"/>
      <c r="AX409" s="96"/>
      <c r="BA409" s="72"/>
      <c r="BB409" s="72"/>
      <c r="BC409" s="72"/>
      <c r="BD409" s="72"/>
      <c r="BE409" s="72"/>
      <c r="BF409" s="105"/>
      <c r="BG409" s="102"/>
      <c r="BH409" s="102"/>
      <c r="BI409" s="102"/>
      <c r="BJ409" s="102"/>
      <c r="BK409" s="97"/>
      <c r="BL409" s="97"/>
      <c r="BM409" s="72"/>
      <c r="BN409" s="96"/>
      <c r="BO409" s="96"/>
      <c r="BP409" s="96"/>
      <c r="BQ409" s="96"/>
    </row>
    <row r="410" spans="18:69" ht="13.8" x14ac:dyDescent="0.25">
      <c r="R410" s="72"/>
      <c r="S410" s="72"/>
      <c r="T410" s="105"/>
      <c r="U410" s="102"/>
      <c r="V410" s="102"/>
      <c r="W410" s="102"/>
      <c r="X410" s="102"/>
      <c r="Y410" s="97"/>
      <c r="Z410" s="97"/>
      <c r="AA410" s="72"/>
      <c r="AB410" s="168"/>
      <c r="AC410" s="168"/>
      <c r="AD410" s="96"/>
      <c r="AE410" s="96"/>
      <c r="AH410" s="72"/>
      <c r="AI410" s="72"/>
      <c r="AJ410" s="72"/>
      <c r="AK410" s="72"/>
      <c r="AL410" s="72"/>
      <c r="AM410" s="105"/>
      <c r="AN410" s="102"/>
      <c r="AO410" s="102"/>
      <c r="AP410" s="102"/>
      <c r="AQ410" s="102"/>
      <c r="AR410" s="97"/>
      <c r="AS410" s="97"/>
      <c r="AT410" s="72"/>
      <c r="AU410" s="96"/>
      <c r="AV410" s="96"/>
      <c r="AW410" s="96"/>
      <c r="AX410" s="96"/>
      <c r="BA410" s="72"/>
      <c r="BB410" s="72"/>
      <c r="BC410" s="72"/>
      <c r="BD410" s="72"/>
      <c r="BE410" s="72"/>
      <c r="BF410" s="105"/>
      <c r="BG410" s="102"/>
      <c r="BH410" s="102"/>
      <c r="BI410" s="102"/>
      <c r="BJ410" s="102"/>
      <c r="BK410" s="97"/>
      <c r="BL410" s="97"/>
      <c r="BM410" s="72"/>
      <c r="BN410" s="96"/>
      <c r="BO410" s="96"/>
      <c r="BP410" s="96"/>
      <c r="BQ410" s="96"/>
    </row>
    <row r="411" spans="18:69" ht="13.8" x14ac:dyDescent="0.25">
      <c r="R411" s="72"/>
      <c r="S411" s="72"/>
      <c r="T411" s="105"/>
      <c r="U411" s="102"/>
      <c r="V411" s="102"/>
      <c r="W411" s="102"/>
      <c r="X411" s="102"/>
      <c r="Y411" s="97"/>
      <c r="Z411" s="97"/>
      <c r="AA411" s="72"/>
      <c r="AB411" s="168"/>
      <c r="AC411" s="168"/>
      <c r="AD411" s="96"/>
      <c r="AE411" s="96"/>
      <c r="AH411" s="72"/>
      <c r="AI411" s="72"/>
      <c r="AJ411" s="72"/>
      <c r="AK411" s="72"/>
      <c r="AL411" s="72"/>
      <c r="AM411" s="105"/>
      <c r="AN411" s="102"/>
      <c r="AO411" s="102"/>
      <c r="AP411" s="102"/>
      <c r="AQ411" s="102"/>
      <c r="AR411" s="97"/>
      <c r="AS411" s="97"/>
      <c r="AT411" s="72"/>
      <c r="AU411" s="96"/>
      <c r="AV411" s="96"/>
      <c r="AW411" s="96"/>
      <c r="AX411" s="96"/>
      <c r="BA411" s="72"/>
      <c r="BB411" s="72"/>
      <c r="BC411" s="72"/>
      <c r="BD411" s="72"/>
      <c r="BE411" s="72"/>
      <c r="BF411" s="105"/>
      <c r="BG411" s="102"/>
      <c r="BH411" s="102"/>
      <c r="BI411" s="102"/>
      <c r="BJ411" s="102"/>
      <c r="BK411" s="97"/>
      <c r="BL411" s="97"/>
      <c r="BM411" s="72"/>
      <c r="BN411" s="96"/>
      <c r="BO411" s="96"/>
      <c r="BP411" s="96"/>
      <c r="BQ411" s="96"/>
    </row>
    <row r="412" spans="18:69" ht="13.8" x14ac:dyDescent="0.25">
      <c r="R412" s="72"/>
      <c r="S412" s="72"/>
      <c r="T412" s="105"/>
      <c r="U412" s="102"/>
      <c r="V412" s="102"/>
      <c r="W412" s="102"/>
      <c r="X412" s="102"/>
      <c r="Y412" s="97"/>
      <c r="Z412" s="97"/>
      <c r="AA412" s="72"/>
      <c r="AB412" s="168"/>
      <c r="AC412" s="168"/>
      <c r="AD412" s="96"/>
      <c r="AE412" s="96"/>
      <c r="AH412" s="72"/>
      <c r="AI412" s="72"/>
      <c r="AJ412" s="72"/>
      <c r="AK412" s="72"/>
      <c r="AL412" s="72"/>
      <c r="AM412" s="105"/>
      <c r="AN412" s="102"/>
      <c r="AO412" s="102"/>
      <c r="AP412" s="102"/>
      <c r="AQ412" s="102"/>
      <c r="AR412" s="97"/>
      <c r="AS412" s="97"/>
      <c r="AT412" s="72"/>
      <c r="AU412" s="96"/>
      <c r="AV412" s="96"/>
      <c r="AW412" s="96"/>
      <c r="AX412" s="96"/>
      <c r="BA412" s="72"/>
      <c r="BB412" s="72"/>
      <c r="BC412" s="72"/>
      <c r="BD412" s="72"/>
      <c r="BE412" s="72"/>
      <c r="BF412" s="105"/>
      <c r="BG412" s="102"/>
      <c r="BH412" s="102"/>
      <c r="BI412" s="102"/>
      <c r="BJ412" s="102"/>
      <c r="BK412" s="97"/>
      <c r="BL412" s="97"/>
      <c r="BM412" s="72"/>
      <c r="BN412" s="96"/>
      <c r="BO412" s="96"/>
      <c r="BP412" s="96"/>
      <c r="BQ412" s="96"/>
    </row>
    <row r="413" spans="18:69" ht="13.8" x14ac:dyDescent="0.25">
      <c r="R413" s="72"/>
      <c r="S413" s="72"/>
      <c r="T413" s="105"/>
      <c r="U413" s="102"/>
      <c r="V413" s="102"/>
      <c r="W413" s="102"/>
      <c r="X413" s="102"/>
      <c r="Y413" s="97"/>
      <c r="Z413" s="97"/>
      <c r="AA413" s="72"/>
      <c r="AB413" s="168"/>
      <c r="AC413" s="168"/>
      <c r="AD413" s="96"/>
      <c r="AE413" s="96"/>
      <c r="AH413" s="72"/>
      <c r="AI413" s="72"/>
      <c r="AJ413" s="72"/>
      <c r="AK413" s="72"/>
      <c r="AL413" s="72"/>
      <c r="AM413" s="105"/>
      <c r="AN413" s="102"/>
      <c r="AO413" s="102"/>
      <c r="AP413" s="102"/>
      <c r="AQ413" s="102"/>
      <c r="AR413" s="97"/>
      <c r="AS413" s="97"/>
      <c r="AT413" s="72"/>
      <c r="AU413" s="96"/>
      <c r="AV413" s="96"/>
      <c r="AW413" s="96"/>
      <c r="AX413" s="96"/>
      <c r="BA413" s="72"/>
      <c r="BB413" s="72"/>
      <c r="BC413" s="72"/>
      <c r="BD413" s="72"/>
      <c r="BE413" s="72"/>
      <c r="BF413" s="105"/>
      <c r="BG413" s="102"/>
      <c r="BH413" s="102"/>
      <c r="BI413" s="102"/>
      <c r="BJ413" s="102"/>
      <c r="BK413" s="97"/>
      <c r="BL413" s="97"/>
      <c r="BM413" s="72"/>
      <c r="BN413" s="96"/>
      <c r="BO413" s="96"/>
      <c r="BP413" s="96"/>
      <c r="BQ413" s="96"/>
    </row>
    <row r="414" spans="18:69" ht="13.8" x14ac:dyDescent="0.25">
      <c r="R414" s="72"/>
      <c r="S414" s="72"/>
      <c r="T414" s="105"/>
      <c r="U414" s="102"/>
      <c r="V414" s="102"/>
      <c r="W414" s="102"/>
      <c r="X414" s="102"/>
      <c r="Y414" s="97"/>
      <c r="Z414" s="97"/>
      <c r="AA414" s="72"/>
      <c r="AB414" s="168"/>
      <c r="AC414" s="168"/>
      <c r="AD414" s="96"/>
      <c r="AE414" s="96"/>
      <c r="AH414" s="72"/>
      <c r="AI414" s="72"/>
      <c r="AJ414" s="72"/>
      <c r="AK414" s="72"/>
      <c r="AL414" s="72"/>
      <c r="AM414" s="105"/>
      <c r="AN414" s="102"/>
      <c r="AO414" s="102"/>
      <c r="AP414" s="102"/>
      <c r="AQ414" s="102"/>
      <c r="AR414" s="97"/>
      <c r="AS414" s="97"/>
      <c r="AT414" s="72"/>
      <c r="AU414" s="96"/>
      <c r="AV414" s="96"/>
      <c r="AW414" s="96"/>
      <c r="AX414" s="96"/>
      <c r="BA414" s="72"/>
      <c r="BB414" s="72"/>
      <c r="BC414" s="72"/>
      <c r="BD414" s="72"/>
      <c r="BE414" s="72"/>
      <c r="BF414" s="105"/>
      <c r="BG414" s="102"/>
      <c r="BH414" s="102"/>
      <c r="BI414" s="102"/>
      <c r="BJ414" s="102"/>
      <c r="BK414" s="97"/>
      <c r="BL414" s="97"/>
      <c r="BM414" s="72"/>
      <c r="BN414" s="96"/>
      <c r="BO414" s="96"/>
      <c r="BP414" s="96"/>
      <c r="BQ414" s="96"/>
    </row>
    <row r="415" spans="18:69" ht="13.8" x14ac:dyDescent="0.25">
      <c r="R415" s="72"/>
      <c r="S415" s="72"/>
      <c r="T415" s="105"/>
      <c r="U415" s="102"/>
      <c r="V415" s="102"/>
      <c r="W415" s="102"/>
      <c r="X415" s="102"/>
      <c r="Y415" s="97"/>
      <c r="Z415" s="97"/>
      <c r="AA415" s="72"/>
      <c r="AB415" s="102"/>
      <c r="AC415" s="96"/>
      <c r="AD415" s="102"/>
      <c r="AE415" s="96"/>
      <c r="AH415" s="72"/>
      <c r="AI415" s="72"/>
      <c r="AJ415" s="72"/>
      <c r="AK415" s="72"/>
      <c r="AL415" s="72"/>
      <c r="AM415" s="72"/>
      <c r="AN415" s="102"/>
      <c r="AO415" s="102"/>
      <c r="AP415" s="102"/>
      <c r="AQ415" s="102"/>
      <c r="AR415" s="97"/>
      <c r="AS415" s="97"/>
      <c r="AT415" s="72"/>
      <c r="AU415" s="102"/>
      <c r="AV415" s="96"/>
      <c r="AW415" s="102"/>
      <c r="AX415" s="96"/>
      <c r="BA415" s="72"/>
      <c r="BB415" s="72"/>
      <c r="BC415" s="72"/>
      <c r="BD415" s="72"/>
      <c r="BE415" s="72"/>
      <c r="BF415" s="72"/>
      <c r="BG415" s="102"/>
      <c r="BH415" s="102"/>
      <c r="BI415" s="102"/>
      <c r="BJ415" s="102"/>
      <c r="BK415" s="97"/>
      <c r="BL415" s="97"/>
      <c r="BM415" s="72"/>
      <c r="BN415" s="102"/>
      <c r="BO415" s="96"/>
      <c r="BP415" s="102"/>
      <c r="BQ415" s="96"/>
    </row>
    <row r="416" spans="18:69" ht="13.8" x14ac:dyDescent="0.25">
      <c r="R416" s="72"/>
      <c r="S416" s="72"/>
      <c r="T416" s="105"/>
      <c r="U416" s="102"/>
      <c r="V416" s="102"/>
      <c r="W416" s="102"/>
      <c r="X416" s="102"/>
      <c r="Y416" s="97"/>
      <c r="Z416" s="97"/>
      <c r="AA416" s="72"/>
      <c r="AB416" s="72"/>
      <c r="AC416" s="72"/>
      <c r="AD416" s="102"/>
      <c r="AE416" s="96"/>
      <c r="AH416" s="72"/>
      <c r="AI416" s="72"/>
      <c r="AJ416" s="72"/>
      <c r="AK416" s="72"/>
      <c r="AL416" s="72"/>
      <c r="AM416" s="105"/>
      <c r="AN416" s="168"/>
      <c r="AO416" s="168"/>
      <c r="AP416" s="168"/>
      <c r="AQ416" s="168"/>
      <c r="AR416" s="97"/>
      <c r="AS416" s="102"/>
      <c r="AT416" s="72"/>
      <c r="AU416" s="102"/>
      <c r="AV416" s="96"/>
      <c r="AW416" s="102"/>
      <c r="AX416" s="96"/>
      <c r="BA416" s="72"/>
      <c r="BB416" s="72"/>
      <c r="BC416" s="72"/>
      <c r="BD416" s="72"/>
      <c r="BE416" s="72"/>
      <c r="BF416" s="105"/>
      <c r="BG416" s="168"/>
      <c r="BH416" s="168"/>
      <c r="BI416" s="168"/>
      <c r="BJ416" s="168"/>
      <c r="BK416" s="97"/>
      <c r="BL416" s="102"/>
      <c r="BM416" s="72"/>
      <c r="BN416" s="72"/>
      <c r="BO416" s="72"/>
      <c r="BP416" s="102"/>
      <c r="BQ416" s="96"/>
    </row>
    <row r="417" spans="18:27" ht="13.8" x14ac:dyDescent="0.25">
      <c r="R417" s="72"/>
      <c r="S417" s="72"/>
      <c r="T417" s="105"/>
      <c r="U417" s="102"/>
      <c r="V417" s="102"/>
      <c r="W417" s="102"/>
      <c r="X417" s="102"/>
      <c r="Y417" s="97"/>
      <c r="Z417" s="97"/>
      <c r="AA417" s="72"/>
    </row>
    <row r="418" spans="18:27" ht="13.8" x14ac:dyDescent="0.25">
      <c r="R418" s="72"/>
      <c r="S418" s="72"/>
      <c r="T418" s="72"/>
      <c r="U418" s="102"/>
      <c r="V418" s="102"/>
      <c r="W418" s="102"/>
      <c r="X418" s="102"/>
      <c r="Y418" s="97"/>
      <c r="Z418" s="97"/>
      <c r="AA418" s="72"/>
    </row>
    <row r="419" spans="18:27" ht="13.8" x14ac:dyDescent="0.25">
      <c r="R419" s="72"/>
      <c r="S419" s="72"/>
      <c r="T419" s="105"/>
      <c r="U419" s="168"/>
      <c r="V419" s="168"/>
      <c r="W419" s="168"/>
      <c r="X419" s="168"/>
      <c r="Y419" s="97"/>
      <c r="Z419" s="102"/>
      <c r="AA419" s="7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R428"/>
  <sheetViews>
    <sheetView topLeftCell="A54" zoomScale="60" zoomScaleNormal="60" workbookViewId="0">
      <selection activeCell="A54" sqref="A1:XFD1048576"/>
    </sheetView>
  </sheetViews>
  <sheetFormatPr defaultColWidth="9.109375" defaultRowHeight="13.2" x14ac:dyDescent="0.25"/>
  <cols>
    <col min="1" max="1" width="9.109375" style="35"/>
    <col min="2" max="2" width="33.88671875" style="35" customWidth="1"/>
    <col min="3" max="3" width="47.109375" style="35" bestFit="1" customWidth="1"/>
    <col min="4" max="4" width="17.109375" style="35" bestFit="1" customWidth="1"/>
    <col min="5" max="5" width="19.109375" style="35" bestFit="1" customWidth="1"/>
    <col min="6" max="6" width="15.44140625" style="35" customWidth="1"/>
    <col min="7" max="7" width="16.44140625" style="35" customWidth="1"/>
    <col min="8" max="8" width="18.33203125" style="35" bestFit="1" customWidth="1"/>
    <col min="9" max="9" width="17.88671875" style="35" bestFit="1" customWidth="1"/>
    <col min="10" max="10" width="18.88671875" style="35" bestFit="1" customWidth="1"/>
    <col min="11" max="11" width="20.5546875" style="35" customWidth="1"/>
    <col min="12" max="12" width="24.88671875" style="35" customWidth="1"/>
    <col min="13" max="13" width="16.6640625" style="35" customWidth="1"/>
    <col min="14" max="14" width="9.109375" style="35"/>
    <col min="15" max="15" width="24" style="101" bestFit="1" customWidth="1"/>
    <col min="16" max="16" width="9.109375" style="35"/>
    <col min="17" max="17" width="27.5546875" style="35" customWidth="1"/>
    <col min="18" max="18" width="51.5546875" style="35" bestFit="1" customWidth="1"/>
    <col min="19" max="19" width="29" style="35" bestFit="1" customWidth="1"/>
    <col min="20" max="20" width="49.6640625" style="35" bestFit="1" customWidth="1"/>
    <col min="21" max="21" width="13.44140625" style="35" bestFit="1" customWidth="1"/>
    <col min="22" max="22" width="10" style="35" bestFit="1" customWidth="1"/>
    <col min="23" max="23" width="35" style="35" bestFit="1" customWidth="1"/>
    <col min="24" max="24" width="27.6640625" style="35" bestFit="1" customWidth="1"/>
    <col min="25" max="25" width="17.88671875" style="35" bestFit="1" customWidth="1"/>
    <col min="26" max="26" width="19.44140625" style="35" bestFit="1" customWidth="1"/>
    <col min="27" max="27" width="4.88671875" style="35" bestFit="1" customWidth="1"/>
    <col min="28" max="28" width="27.109375" style="35" bestFit="1" customWidth="1"/>
    <col min="29" max="29" width="28" style="35" bestFit="1" customWidth="1"/>
    <col min="30" max="30" width="20.44140625" style="35" bestFit="1" customWidth="1"/>
    <col min="31" max="31" width="27.88671875" style="35" bestFit="1" customWidth="1"/>
    <col min="32" max="32" width="10.109375" style="35" customWidth="1"/>
    <col min="33" max="34" width="27.5546875" style="35" customWidth="1"/>
    <col min="35" max="35" width="25.33203125" style="35" customWidth="1"/>
    <col min="36" max="36" width="9.109375" style="35"/>
    <col min="37" max="37" width="15.109375" style="35" customWidth="1"/>
    <col min="38" max="38" width="13.88671875" style="35" bestFit="1" customWidth="1"/>
    <col min="39" max="39" width="40.44140625" style="35" customWidth="1"/>
    <col min="40" max="40" width="65.5546875" style="35" bestFit="1" customWidth="1"/>
    <col min="41" max="42" width="13.44140625" style="35" bestFit="1" customWidth="1"/>
    <col min="43" max="43" width="33.44140625" style="35" bestFit="1" customWidth="1"/>
    <col min="44" max="44" width="26.44140625" style="35" bestFit="1" customWidth="1"/>
    <col min="45" max="45" width="16.6640625" style="35" bestFit="1" customWidth="1"/>
    <col min="46" max="46" width="9.109375" style="35"/>
    <col min="47" max="47" width="40.109375" style="35" bestFit="1" customWidth="1"/>
    <col min="48" max="48" width="58.88671875" style="35" bestFit="1" customWidth="1"/>
    <col min="49" max="50" width="58.88671875" style="35" customWidth="1"/>
    <col min="51" max="51" width="9.109375" style="35"/>
    <col min="52" max="52" width="28.109375" style="35" bestFit="1" customWidth="1"/>
    <col min="53" max="53" width="17.109375" style="35" bestFit="1" customWidth="1"/>
    <col min="54" max="54" width="27.6640625" style="35" bestFit="1" customWidth="1"/>
    <col min="55" max="55" width="5.88671875" style="35" bestFit="1" customWidth="1"/>
    <col min="56" max="56" width="24.5546875" style="35" bestFit="1" customWidth="1"/>
    <col min="57" max="57" width="22.88671875" style="35" bestFit="1" customWidth="1"/>
    <col min="58" max="58" width="15.88671875" style="35" bestFit="1" customWidth="1"/>
    <col min="59" max="59" width="17.44140625" style="35" bestFit="1" customWidth="1"/>
    <col min="60" max="60" width="9.109375" style="35"/>
    <col min="61" max="61" width="22" style="35" bestFit="1" customWidth="1"/>
    <col min="62" max="16384" width="9.109375" style="35"/>
  </cols>
  <sheetData>
    <row r="1" spans="1:58" ht="17.399999999999999" x14ac:dyDescent="0.3">
      <c r="A1" s="34"/>
      <c r="B1" s="34" t="s">
        <v>298</v>
      </c>
      <c r="C1" s="34"/>
      <c r="D1" s="34"/>
      <c r="E1" s="34"/>
      <c r="F1" s="34"/>
      <c r="G1" s="34"/>
      <c r="H1" s="34"/>
      <c r="I1" s="34"/>
      <c r="J1" s="34"/>
    </row>
    <row r="2" spans="1:58" s="72" customFormat="1" ht="13.8" x14ac:dyDescent="0.25">
      <c r="O2" s="102"/>
      <c r="R2" s="103"/>
      <c r="S2" s="104"/>
      <c r="T2" s="104"/>
    </row>
    <row r="3" spans="1:58" s="72" customFormat="1" ht="13.8" x14ac:dyDescent="0.25">
      <c r="O3" s="102"/>
      <c r="R3" s="37" t="s">
        <v>225</v>
      </c>
      <c r="S3" s="37"/>
      <c r="T3" s="37"/>
      <c r="U3" s="37"/>
      <c r="V3" s="37"/>
      <c r="W3" s="37"/>
      <c r="X3" s="37"/>
      <c r="Y3" s="37"/>
    </row>
    <row r="4" spans="1:58" s="72" customFormat="1" ht="13.8" x14ac:dyDescent="0.25">
      <c r="O4" s="102"/>
      <c r="R4" s="37"/>
      <c r="S4" s="37"/>
      <c r="T4" s="37"/>
      <c r="U4" s="37"/>
      <c r="V4" s="37"/>
      <c r="W4" s="37"/>
      <c r="X4" s="37"/>
      <c r="Y4" s="37"/>
      <c r="Z4" s="105"/>
      <c r="AG4" s="106"/>
      <c r="AH4" s="106"/>
      <c r="AI4" s="106"/>
      <c r="AJ4" s="106"/>
      <c r="AK4" s="106"/>
      <c r="AL4" s="106"/>
      <c r="AM4" s="106"/>
      <c r="AN4" s="106"/>
      <c r="AO4" s="106"/>
      <c r="BF4" s="35"/>
    </row>
    <row r="5" spans="1:58" s="72" customFormat="1" ht="13.8" x14ac:dyDescent="0.25">
      <c r="B5" s="37"/>
      <c r="C5" s="107"/>
      <c r="D5" s="107"/>
      <c r="F5" s="108" t="s">
        <v>0</v>
      </c>
      <c r="G5" s="36"/>
      <c r="O5" s="102"/>
      <c r="R5" s="38" t="s">
        <v>226</v>
      </c>
      <c r="S5" s="38" t="s">
        <v>232</v>
      </c>
      <c r="T5" s="38"/>
      <c r="U5" s="38"/>
      <c r="V5" s="38"/>
      <c r="W5" s="38"/>
      <c r="X5" s="38"/>
      <c r="Y5" s="38"/>
      <c r="AG5" s="109"/>
      <c r="AH5" s="109"/>
      <c r="AI5" s="106"/>
      <c r="AJ5" s="106"/>
      <c r="AK5" s="106"/>
      <c r="AL5" s="106"/>
      <c r="AM5" s="106"/>
      <c r="AN5" s="106"/>
      <c r="AO5" s="106"/>
      <c r="AV5" s="110"/>
      <c r="AW5" s="111"/>
      <c r="AX5" s="111"/>
      <c r="AY5" s="112"/>
      <c r="AZ5" s="112"/>
      <c r="BA5" s="111"/>
      <c r="BB5" s="111"/>
      <c r="BC5" s="111"/>
      <c r="BD5" s="113"/>
      <c r="BE5" s="113"/>
      <c r="BF5" s="114"/>
    </row>
    <row r="6" spans="1:58" s="72" customFormat="1" ht="13.8" x14ac:dyDescent="0.25">
      <c r="B6" s="45" t="s">
        <v>1</v>
      </c>
      <c r="C6" s="45" t="s">
        <v>227</v>
      </c>
      <c r="D6" s="45" t="s">
        <v>3</v>
      </c>
      <c r="E6" s="45" t="s">
        <v>4</v>
      </c>
      <c r="F6" s="46" t="s">
        <v>233</v>
      </c>
      <c r="G6" s="115" t="s">
        <v>14</v>
      </c>
      <c r="H6" s="47" t="s">
        <v>250</v>
      </c>
      <c r="I6" s="47" t="s">
        <v>36</v>
      </c>
      <c r="J6" s="49" t="s">
        <v>5</v>
      </c>
      <c r="K6" s="49" t="s">
        <v>48</v>
      </c>
      <c r="O6" s="102"/>
      <c r="R6" s="38"/>
      <c r="S6" s="38"/>
      <c r="T6" s="38"/>
      <c r="U6" s="38"/>
      <c r="V6" s="38"/>
      <c r="W6" s="38"/>
      <c r="X6" s="38"/>
      <c r="Y6" s="38"/>
      <c r="AG6" s="109"/>
      <c r="AH6" s="109"/>
      <c r="AI6" s="109"/>
      <c r="AJ6" s="109"/>
      <c r="AK6" s="109"/>
      <c r="AL6" s="109"/>
      <c r="AM6" s="109"/>
      <c r="AN6" s="109"/>
      <c r="AO6" s="109"/>
      <c r="AQ6" s="116"/>
      <c r="AR6" s="116"/>
      <c r="AS6" s="116"/>
      <c r="AT6" s="116"/>
      <c r="AV6" s="110"/>
      <c r="AW6" s="110"/>
      <c r="AX6" s="110"/>
      <c r="AY6" s="117"/>
      <c r="AZ6" s="117"/>
      <c r="BA6" s="118"/>
      <c r="BB6" s="118"/>
      <c r="BC6" s="118"/>
      <c r="BD6" s="113"/>
      <c r="BE6" s="114"/>
      <c r="BF6" s="119"/>
    </row>
    <row r="7" spans="1:58" s="72" customFormat="1" ht="20.25" customHeight="1" thickBot="1" x14ac:dyDescent="0.3">
      <c r="B7" s="54" t="s">
        <v>234</v>
      </c>
      <c r="C7" s="54" t="s">
        <v>28</v>
      </c>
      <c r="D7" s="54" t="s">
        <v>32</v>
      </c>
      <c r="E7" s="54" t="s">
        <v>33</v>
      </c>
      <c r="F7" s="55"/>
      <c r="G7" s="56" t="s">
        <v>35</v>
      </c>
      <c r="H7" s="56" t="s">
        <v>278</v>
      </c>
      <c r="I7" s="56" t="s">
        <v>37</v>
      </c>
      <c r="J7" s="54" t="s">
        <v>38</v>
      </c>
      <c r="K7" s="54" t="s">
        <v>218</v>
      </c>
      <c r="O7" s="102"/>
      <c r="R7" s="41" t="s">
        <v>17</v>
      </c>
      <c r="S7" s="38"/>
      <c r="T7" s="38"/>
      <c r="U7" s="38"/>
      <c r="V7" s="38"/>
      <c r="W7" s="38"/>
      <c r="X7" s="38"/>
      <c r="Y7" s="38"/>
      <c r="AA7" s="120"/>
      <c r="AB7" s="120"/>
      <c r="AG7" s="121"/>
      <c r="AH7" s="121"/>
      <c r="AI7" s="121"/>
      <c r="AJ7" s="121"/>
      <c r="AK7" s="121"/>
      <c r="AL7" s="121"/>
      <c r="AM7" s="121"/>
      <c r="AN7" s="121"/>
      <c r="AO7" s="121"/>
      <c r="AP7" s="102"/>
      <c r="AQ7" s="121"/>
      <c r="AR7" s="121"/>
      <c r="AS7" s="121"/>
      <c r="AT7" s="121"/>
      <c r="AV7" s="122"/>
      <c r="AW7" s="122"/>
      <c r="AX7" s="122"/>
      <c r="AY7" s="112"/>
      <c r="AZ7" s="112"/>
      <c r="BA7" s="122"/>
      <c r="BB7" s="122"/>
      <c r="BC7" s="122"/>
      <c r="BD7" s="113"/>
      <c r="BE7" s="119"/>
      <c r="BF7" s="113"/>
    </row>
    <row r="8" spans="1:58" s="72" customFormat="1" ht="17.25" customHeight="1" x14ac:dyDescent="0.25">
      <c r="B8" s="89"/>
      <c r="C8" s="90"/>
      <c r="D8" s="90"/>
      <c r="E8" s="90" t="s">
        <v>231</v>
      </c>
      <c r="F8" s="91"/>
      <c r="G8" s="90"/>
      <c r="H8" s="90"/>
      <c r="I8" s="90" t="str">
        <f>General!E14</f>
        <v>M$/PJ/a</v>
      </c>
      <c r="J8" s="90" t="str">
        <f>General!E14</f>
        <v>M$/PJ/a</v>
      </c>
      <c r="K8" s="90" t="s">
        <v>40</v>
      </c>
      <c r="O8" s="102"/>
      <c r="R8" s="50" t="s">
        <v>15</v>
      </c>
      <c r="S8" s="50" t="s">
        <v>1</v>
      </c>
      <c r="T8" s="50" t="s">
        <v>2</v>
      </c>
      <c r="U8" s="50" t="s">
        <v>18</v>
      </c>
      <c r="V8" s="50" t="s">
        <v>19</v>
      </c>
      <c r="W8" s="50" t="s">
        <v>20</v>
      </c>
      <c r="X8" s="50" t="s">
        <v>21</v>
      </c>
      <c r="Y8" s="50" t="s">
        <v>22</v>
      </c>
      <c r="AI8" s="102"/>
      <c r="AV8" s="111"/>
      <c r="AW8" s="111"/>
      <c r="AX8" s="111"/>
      <c r="AY8" s="112"/>
      <c r="AZ8" s="101"/>
      <c r="BD8" s="113"/>
      <c r="BE8" s="113"/>
      <c r="BF8" s="113"/>
    </row>
    <row r="9" spans="1:58" s="72" customFormat="1" ht="19.5" customHeight="1" thickBot="1" x14ac:dyDescent="0.3">
      <c r="B9" s="60" t="str">
        <f>S94</f>
        <v>INDDEMFBT_N_ST</v>
      </c>
      <c r="C9" s="60" t="str">
        <f>T94</f>
        <v>FBT Industry Demand Technology_N_ST</v>
      </c>
      <c r="D9" s="36" t="s">
        <v>285</v>
      </c>
      <c r="E9" s="36"/>
      <c r="F9" s="123">
        <f>G9</f>
        <v>2018</v>
      </c>
      <c r="G9" s="124">
        <v>2018</v>
      </c>
      <c r="H9" s="125">
        <v>0.52</v>
      </c>
      <c r="I9" s="126">
        <f>1*(1/0.9)</f>
        <v>1.1111111111111112</v>
      </c>
      <c r="J9" s="127"/>
      <c r="K9" s="127">
        <v>30</v>
      </c>
      <c r="O9" s="102"/>
      <c r="R9" s="57" t="s">
        <v>228</v>
      </c>
      <c r="S9" s="57" t="s">
        <v>27</v>
      </c>
      <c r="T9" s="57" t="s">
        <v>28</v>
      </c>
      <c r="U9" s="57" t="s">
        <v>29</v>
      </c>
      <c r="V9" s="57" t="s">
        <v>30</v>
      </c>
      <c r="W9" s="57" t="s">
        <v>229</v>
      </c>
      <c r="X9" s="57" t="s">
        <v>230</v>
      </c>
      <c r="Y9" s="57" t="s">
        <v>31</v>
      </c>
      <c r="AI9" s="102"/>
      <c r="AW9" s="111"/>
      <c r="AX9" s="111"/>
      <c r="AY9" s="112"/>
      <c r="AZ9" s="101"/>
      <c r="BF9" s="113"/>
    </row>
    <row r="10" spans="1:58" s="72" customFormat="1" ht="13.8" x14ac:dyDescent="0.25">
      <c r="B10" s="36"/>
      <c r="C10" s="128"/>
      <c r="D10" s="36" t="s">
        <v>266</v>
      </c>
      <c r="E10" s="36"/>
      <c r="F10" s="123">
        <f>F9</f>
        <v>2018</v>
      </c>
      <c r="G10" s="129"/>
      <c r="H10" s="97">
        <v>0.19</v>
      </c>
      <c r="I10" s="130"/>
      <c r="O10" s="102"/>
      <c r="R10" s="37" t="s">
        <v>272</v>
      </c>
      <c r="S10" s="37" t="str">
        <f>"INDFBTSTM"&amp;RIGHT(Commodities!$D$7,6)&amp;"_"&amp;AA10</f>
        <v>INDFBTSTMCOASUB_ST</v>
      </c>
      <c r="T10" s="37" t="str">
        <f>"Steam Boiler FBT Sub-bituminous"&amp;"_"&amp;$S$5&amp;"_"&amp;AA10</f>
        <v>Steam Boiler FBT Sub-bituminous_N_ST</v>
      </c>
      <c r="U10" s="37" t="s">
        <v>206</v>
      </c>
      <c r="V10" s="37" t="s">
        <v>224</v>
      </c>
      <c r="W10" s="37"/>
      <c r="X10" s="37"/>
      <c r="Y10" s="37"/>
      <c r="AA10" s="72" t="s">
        <v>274</v>
      </c>
      <c r="AB10" s="35"/>
      <c r="AC10" s="35"/>
      <c r="AI10" s="102"/>
      <c r="AW10" s="111"/>
      <c r="AX10" s="111"/>
      <c r="AY10" s="112"/>
      <c r="BF10" s="113"/>
    </row>
    <row r="11" spans="1:58" s="72" customFormat="1" ht="13.8" x14ac:dyDescent="0.25">
      <c r="B11" s="36"/>
      <c r="C11" s="128"/>
      <c r="D11" s="36" t="s">
        <v>268</v>
      </c>
      <c r="E11" s="36"/>
      <c r="F11" s="123">
        <f>F9</f>
        <v>2018</v>
      </c>
      <c r="G11" s="129"/>
      <c r="H11" s="97">
        <v>0.26</v>
      </c>
      <c r="I11" s="130"/>
      <c r="O11" s="102"/>
      <c r="R11" s="37"/>
      <c r="S11" s="37" t="str">
        <f>"INDFBTSTM"&amp;RIGHT(Commodities!$D$7,6)&amp;"_"&amp;AA11</f>
        <v>INDFBTSTMCOASUB_IM</v>
      </c>
      <c r="T11" s="37" t="str">
        <f>"Steam Boiler FBT Sub-bituminous"&amp;"_"&amp;$S$5&amp;"_"&amp;AA11</f>
        <v>Steam Boiler FBT Sub-bituminous_N_IM</v>
      </c>
      <c r="U11" s="37" t="s">
        <v>206</v>
      </c>
      <c r="V11" s="37" t="s">
        <v>224</v>
      </c>
      <c r="W11" s="37"/>
      <c r="X11" s="37"/>
      <c r="Y11" s="37"/>
      <c r="AA11" s="72" t="s">
        <v>275</v>
      </c>
      <c r="AB11" s="35"/>
      <c r="AC11" s="35"/>
      <c r="AI11" s="102"/>
      <c r="AW11" s="111"/>
      <c r="AX11" s="111"/>
      <c r="AY11" s="112"/>
      <c r="BF11" s="113"/>
    </row>
    <row r="12" spans="1:58" s="72" customFormat="1" ht="13.8" x14ac:dyDescent="0.25">
      <c r="B12" s="36"/>
      <c r="C12" s="128"/>
      <c r="D12" s="36" t="s">
        <v>270</v>
      </c>
      <c r="E12" s="36"/>
      <c r="F12" s="123">
        <f>F9</f>
        <v>2018</v>
      </c>
      <c r="G12" s="129"/>
      <c r="H12" s="97">
        <v>0.03</v>
      </c>
      <c r="I12" s="130"/>
      <c r="O12" s="102"/>
      <c r="R12" s="37"/>
      <c r="S12" s="37" t="str">
        <f>"INDFBTSTM"&amp;RIGHT(Commodities!$D$7,6)&amp;"_"&amp;AA12</f>
        <v>INDFBTSTMCOASUB_AD</v>
      </c>
      <c r="T12" s="37" t="str">
        <f>"Steam Boiler FBT Sub-bituminous"&amp;"_"&amp;$S$5&amp;"_"&amp;AA12</f>
        <v>Steam Boiler FBT Sub-bituminous_N_AD</v>
      </c>
      <c r="U12" s="37" t="s">
        <v>206</v>
      </c>
      <c r="V12" s="37" t="s">
        <v>224</v>
      </c>
      <c r="W12" s="37"/>
      <c r="X12" s="37"/>
      <c r="Y12" s="37"/>
      <c r="AA12" s="72" t="s">
        <v>276</v>
      </c>
      <c r="AB12" s="35"/>
      <c r="AC12" s="35"/>
      <c r="AI12" s="102"/>
      <c r="AW12" s="111"/>
      <c r="AX12" s="111"/>
      <c r="AY12" s="112"/>
      <c r="BF12" s="113"/>
    </row>
    <row r="13" spans="1:58" s="72" customFormat="1" ht="13.8" x14ac:dyDescent="0.25">
      <c r="B13" s="67"/>
      <c r="C13" s="131"/>
      <c r="D13" s="131"/>
      <c r="E13" s="131" t="s">
        <v>256</v>
      </c>
      <c r="F13" s="132">
        <f>F9</f>
        <v>2018</v>
      </c>
      <c r="G13" s="133"/>
      <c r="H13" s="98"/>
      <c r="I13" s="134"/>
      <c r="J13" s="98"/>
      <c r="K13" s="98"/>
      <c r="O13" s="102"/>
      <c r="R13" s="37"/>
      <c r="S13" s="37" t="str">
        <f>"INDFBTSTM"&amp;RIGHT(Commodities!$D$9,6)&amp;"_"&amp;AA13</f>
        <v>INDFBTSTMCOABIC_ST</v>
      </c>
      <c r="T13" s="37" t="str">
        <f>"Steam Boiler FBT Bituminous"&amp;"_"&amp;$S$5&amp;"_"&amp;AA13</f>
        <v>Steam Boiler FBT Bituminous_N_ST</v>
      </c>
      <c r="U13" s="37" t="s">
        <v>206</v>
      </c>
      <c r="V13" s="37" t="s">
        <v>224</v>
      </c>
      <c r="W13" s="37"/>
      <c r="X13" s="37"/>
      <c r="Y13" s="37"/>
      <c r="AA13" s="72" t="s">
        <v>274</v>
      </c>
      <c r="AB13" s="35"/>
      <c r="AC13" s="35"/>
      <c r="AI13" s="102"/>
      <c r="BF13" s="113"/>
    </row>
    <row r="14" spans="1:58" s="72" customFormat="1" ht="13.8" x14ac:dyDescent="0.25">
      <c r="B14" s="60" t="str">
        <f>S95</f>
        <v>INDDEMFBT_N_IM</v>
      </c>
      <c r="C14" s="60" t="str">
        <f>T95</f>
        <v>FBT Industry Demand Technology_N_IM</v>
      </c>
      <c r="D14" s="36" t="str">
        <f>D9</f>
        <v>INDFBTSTM</v>
      </c>
      <c r="E14" s="36"/>
      <c r="F14" s="123">
        <f>G14</f>
        <v>2025</v>
      </c>
      <c r="G14" s="124">
        <f>G9+7</f>
        <v>2025</v>
      </c>
      <c r="H14" s="125">
        <f>H9*$M$14</f>
        <v>0.50439999999999996</v>
      </c>
      <c r="I14" s="126">
        <v>1.4266949074308242</v>
      </c>
      <c r="J14" s="127"/>
      <c r="K14" s="127">
        <v>30</v>
      </c>
      <c r="M14" s="135">
        <v>0.97</v>
      </c>
      <c r="O14" s="102"/>
      <c r="R14" s="37"/>
      <c r="S14" s="37" t="str">
        <f>"INDFBTSTM"&amp;RIGHT(Commodities!$D$9,6)&amp;"_"&amp;AA14</f>
        <v>INDFBTSTMCOABIC_IM</v>
      </c>
      <c r="T14" s="37" t="str">
        <f>"Steam Boiler FBT Bituminous"&amp;"_"&amp;$S$5&amp;"_"&amp;AA14</f>
        <v>Steam Boiler FBT Bituminous_N_IM</v>
      </c>
      <c r="U14" s="37" t="s">
        <v>206</v>
      </c>
      <c r="V14" s="37" t="s">
        <v>224</v>
      </c>
      <c r="W14" s="37"/>
      <c r="X14" s="37"/>
      <c r="Y14" s="37"/>
      <c r="AA14" s="72" t="s">
        <v>275</v>
      </c>
      <c r="AB14" s="35"/>
      <c r="AC14" s="35"/>
      <c r="AI14" s="102"/>
      <c r="BF14" s="113"/>
    </row>
    <row r="15" spans="1:58" s="72" customFormat="1" ht="13.8" x14ac:dyDescent="0.25">
      <c r="B15" s="36"/>
      <c r="C15" s="128"/>
      <c r="D15" s="36" t="str">
        <f>D10</f>
        <v>INDFBTHPR</v>
      </c>
      <c r="E15" s="36"/>
      <c r="F15" s="123">
        <f>F14</f>
        <v>2025</v>
      </c>
      <c r="G15" s="129"/>
      <c r="H15" s="97">
        <f t="shared" ref="H15:H17" si="0">H10*$M$14</f>
        <v>0.18429999999999999</v>
      </c>
      <c r="I15" s="130"/>
      <c r="M15" s="102"/>
      <c r="O15" s="102"/>
      <c r="R15" s="37"/>
      <c r="S15" s="37" t="str">
        <f>"INDFBTSTM"&amp;RIGHT(Commodities!$D$9,6)&amp;"_"&amp;AA15</f>
        <v>INDFBTSTMCOABIC_AD</v>
      </c>
      <c r="T15" s="37" t="str">
        <f>"Steam Boiler FBT Bituminous"&amp;"_"&amp;$S$5&amp;"_"&amp;AA15</f>
        <v>Steam Boiler FBT Bituminous_N_AD</v>
      </c>
      <c r="U15" s="37" t="s">
        <v>206</v>
      </c>
      <c r="V15" s="37" t="s">
        <v>224</v>
      </c>
      <c r="W15" s="37"/>
      <c r="X15" s="37"/>
      <c r="Y15" s="37"/>
      <c r="AA15" s="72" t="s">
        <v>276</v>
      </c>
      <c r="AB15" s="35"/>
      <c r="AC15" s="35"/>
      <c r="AI15" s="102"/>
      <c r="BF15" s="113"/>
    </row>
    <row r="16" spans="1:58" s="72" customFormat="1" ht="13.8" x14ac:dyDescent="0.25">
      <c r="B16" s="36"/>
      <c r="C16" s="128"/>
      <c r="D16" s="36" t="str">
        <f>D11</f>
        <v>INDFBTMCD</v>
      </c>
      <c r="E16" s="36"/>
      <c r="F16" s="123">
        <f>F14</f>
        <v>2025</v>
      </c>
      <c r="G16" s="129"/>
      <c r="H16" s="97">
        <f t="shared" si="0"/>
        <v>0.25219999999999998</v>
      </c>
      <c r="I16" s="130"/>
      <c r="M16" s="102"/>
      <c r="O16" s="102"/>
      <c r="R16" s="37"/>
      <c r="S16" s="37" t="str">
        <f>"INDFBTSTM"&amp;RIGHT(Commodities!$D$10,6)&amp;"_"&amp;AA16</f>
        <v>INDFBTSTMCOABCO_ST</v>
      </c>
      <c r="T16" s="37" t="str">
        <f>"Steam Boiler FBT Lignite"&amp;"_"&amp;$S$5&amp;"_"&amp;AA16</f>
        <v>Steam Boiler FBT Lignite_N_ST</v>
      </c>
      <c r="U16" s="37" t="s">
        <v>206</v>
      </c>
      <c r="V16" s="37" t="s">
        <v>224</v>
      </c>
      <c r="W16" s="37"/>
      <c r="X16" s="37"/>
      <c r="Y16" s="37"/>
      <c r="AA16" s="72" t="s">
        <v>274</v>
      </c>
      <c r="AB16" s="35"/>
      <c r="AC16" s="35"/>
      <c r="AI16" s="102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</row>
    <row r="17" spans="1:58" s="72" customFormat="1" ht="13.8" x14ac:dyDescent="0.25">
      <c r="B17" s="36"/>
      <c r="C17" s="128"/>
      <c r="D17" s="36" t="str">
        <f>D12</f>
        <v>INDFBTOEN</v>
      </c>
      <c r="E17" s="36"/>
      <c r="F17" s="123">
        <f>F14</f>
        <v>2025</v>
      </c>
      <c r="G17" s="129"/>
      <c r="H17" s="97">
        <f t="shared" si="0"/>
        <v>2.9099999999999997E-2</v>
      </c>
      <c r="I17" s="130"/>
      <c r="M17" s="102"/>
      <c r="O17" s="102"/>
      <c r="R17" s="37"/>
      <c r="S17" s="37" t="str">
        <f>"INDFBTSTM"&amp;RIGHT(Commodities!$D$10,6)&amp;"_"&amp;AA17</f>
        <v>INDFBTSTMCOABCO_IM</v>
      </c>
      <c r="T17" s="37" t="str">
        <f>"Steam Boiler FBT Lignite"&amp;"_"&amp;$S$5&amp;"_"&amp;AA17</f>
        <v>Steam Boiler FBT Lignite_N_IM</v>
      </c>
      <c r="U17" s="37" t="s">
        <v>206</v>
      </c>
      <c r="V17" s="37" t="s">
        <v>224</v>
      </c>
      <c r="W17" s="37"/>
      <c r="X17" s="37"/>
      <c r="Y17" s="37"/>
      <c r="AA17" s="72" t="s">
        <v>275</v>
      </c>
      <c r="AB17" s="35"/>
      <c r="AC17" s="35"/>
      <c r="AI17" s="102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</row>
    <row r="18" spans="1:58" s="72" customFormat="1" ht="13.8" x14ac:dyDescent="0.25">
      <c r="B18" s="67"/>
      <c r="C18" s="131"/>
      <c r="D18" s="131"/>
      <c r="E18" s="131" t="str">
        <f>E13</f>
        <v>INDFBT</v>
      </c>
      <c r="F18" s="132">
        <f>F14</f>
        <v>2025</v>
      </c>
      <c r="G18" s="133"/>
      <c r="H18" s="98"/>
      <c r="I18" s="134"/>
      <c r="J18" s="98"/>
      <c r="K18" s="98"/>
      <c r="M18" s="102"/>
      <c r="O18" s="102"/>
      <c r="R18" s="37"/>
      <c r="S18" s="37" t="str">
        <f>"INDFBTSTM"&amp;RIGHT(Commodities!$D$10,6)&amp;"_"&amp;AA18</f>
        <v>INDFBTSTMCOABCO_AD</v>
      </c>
      <c r="T18" s="37" t="str">
        <f>"Steam Boiler FBT Lignite"&amp;"_"&amp;$S$5&amp;"_"&amp;AA18</f>
        <v>Steam Boiler FBT Lignite_N_AD</v>
      </c>
      <c r="U18" s="37" t="s">
        <v>206</v>
      </c>
      <c r="V18" s="37" t="s">
        <v>224</v>
      </c>
      <c r="W18" s="37"/>
      <c r="X18" s="37"/>
      <c r="Y18" s="37"/>
      <c r="AA18" s="72" t="s">
        <v>276</v>
      </c>
      <c r="AB18" s="35"/>
      <c r="AC18" s="35"/>
      <c r="AI18" s="102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</row>
    <row r="19" spans="1:58" ht="13.8" x14ac:dyDescent="0.25">
      <c r="B19" s="60" t="str">
        <f>S96</f>
        <v>INDDEMFBT_N_AD</v>
      </c>
      <c r="C19" s="60" t="str">
        <f>T96</f>
        <v>FBT Industry Demand Technology_N_AD</v>
      </c>
      <c r="D19" s="36" t="str">
        <f>D14</f>
        <v>INDFBTSTM</v>
      </c>
      <c r="E19" s="36"/>
      <c r="F19" s="123">
        <f>G19</f>
        <v>2035</v>
      </c>
      <c r="G19" s="124">
        <f>G14+10</f>
        <v>2035</v>
      </c>
      <c r="H19" s="125">
        <f>H9*$M$19</f>
        <v>0.49399999999999999</v>
      </c>
      <c r="I19" s="126">
        <v>1.8319125230001425</v>
      </c>
      <c r="J19" s="127"/>
      <c r="K19" s="127">
        <v>30</v>
      </c>
      <c r="M19" s="135">
        <v>0.95</v>
      </c>
      <c r="R19" s="37"/>
      <c r="S19" s="37" t="str">
        <f>"INDFBTSTM"&amp;RIGHT(Commodities!$D$18,6)&amp;"_"&amp;AA19</f>
        <v>INDFBTSTMOILDSL_ST</v>
      </c>
      <c r="T19" s="37" t="str">
        <f>"Steam Boiler FBT Diesel"&amp;"_"&amp;$S$5&amp;"_"&amp;AA19</f>
        <v>Steam Boiler FBT Diesel_N_ST</v>
      </c>
      <c r="U19" s="37" t="s">
        <v>206</v>
      </c>
      <c r="V19" s="37" t="s">
        <v>224</v>
      </c>
      <c r="W19" s="37"/>
      <c r="X19" s="37"/>
      <c r="Y19" s="37"/>
      <c r="AA19" s="72" t="s">
        <v>274</v>
      </c>
      <c r="AG19" s="72"/>
      <c r="AH19" s="72"/>
      <c r="AI19" s="102"/>
      <c r="AJ19" s="72"/>
      <c r="AK19" s="72"/>
      <c r="AL19" s="72"/>
      <c r="AM19" s="72"/>
      <c r="AN19" s="72"/>
      <c r="AO19" s="72"/>
      <c r="AQ19" s="72"/>
      <c r="AS19" s="72"/>
      <c r="AT19" s="72"/>
    </row>
    <row r="20" spans="1:58" ht="13.8" x14ac:dyDescent="0.25">
      <c r="B20" s="36"/>
      <c r="C20" s="128"/>
      <c r="D20" s="36" t="str">
        <f>D15</f>
        <v>INDFBTHPR</v>
      </c>
      <c r="E20" s="36"/>
      <c r="F20" s="123">
        <f>F19</f>
        <v>2035</v>
      </c>
      <c r="G20" s="129"/>
      <c r="H20" s="97">
        <f t="shared" ref="H20:H22" si="1">H10*$M$19</f>
        <v>0.18049999999999999</v>
      </c>
      <c r="I20" s="72"/>
      <c r="J20" s="72"/>
      <c r="K20" s="72"/>
      <c r="R20" s="37"/>
      <c r="S20" s="37" t="str">
        <f>"INDFBTSTM"&amp;RIGHT(Commodities!$D$18,6)&amp;"_"&amp;AA20</f>
        <v>INDFBTSTMOILDSL_IM</v>
      </c>
      <c r="T20" s="37" t="str">
        <f>"Steam Boiler FBT Diesel"&amp;"_"&amp;$S$5&amp;"_"&amp;AA20</f>
        <v>Steam Boiler FBT Diesel_N_IM</v>
      </c>
      <c r="U20" s="37" t="s">
        <v>206</v>
      </c>
      <c r="V20" s="37" t="s">
        <v>224</v>
      </c>
      <c r="W20" s="37"/>
      <c r="X20" s="37"/>
      <c r="Y20" s="37"/>
      <c r="AA20" s="72" t="s">
        <v>275</v>
      </c>
      <c r="AG20" s="72"/>
      <c r="AH20" s="72"/>
      <c r="AI20" s="102"/>
      <c r="AJ20" s="72"/>
      <c r="AK20" s="72"/>
      <c r="AL20" s="72"/>
      <c r="AM20" s="72"/>
      <c r="AN20" s="72"/>
      <c r="AO20" s="72"/>
      <c r="AQ20" s="72"/>
      <c r="AS20" s="72"/>
      <c r="AT20" s="72"/>
    </row>
    <row r="21" spans="1:58" ht="13.8" x14ac:dyDescent="0.25">
      <c r="B21" s="36"/>
      <c r="C21" s="128"/>
      <c r="D21" s="36" t="str">
        <f>D16</f>
        <v>INDFBTMCD</v>
      </c>
      <c r="E21" s="36"/>
      <c r="F21" s="123">
        <f>F19</f>
        <v>2035</v>
      </c>
      <c r="G21" s="129"/>
      <c r="H21" s="97">
        <f t="shared" si="1"/>
        <v>0.247</v>
      </c>
      <c r="I21" s="72"/>
      <c r="J21" s="72"/>
      <c r="K21" s="72"/>
      <c r="R21" s="37"/>
      <c r="S21" s="37" t="str">
        <f>"INDFBTSTM"&amp;RIGHT(Commodities!$D$18,6)&amp;"_"&amp;AA21</f>
        <v>INDFBTSTMOILDSL_AD</v>
      </c>
      <c r="T21" s="37" t="str">
        <f>"Steam Boiler FBT Diesel"&amp;"_"&amp;$S$5&amp;"_"&amp;AA21</f>
        <v>Steam Boiler FBT Diesel_N_AD</v>
      </c>
      <c r="U21" s="37" t="s">
        <v>206</v>
      </c>
      <c r="V21" s="37" t="s">
        <v>224</v>
      </c>
      <c r="W21" s="37"/>
      <c r="X21" s="37"/>
      <c r="Y21" s="37"/>
      <c r="AA21" s="72" t="s">
        <v>276</v>
      </c>
      <c r="AG21" s="72"/>
      <c r="AH21" s="72"/>
      <c r="AI21" s="102"/>
      <c r="AJ21" s="72"/>
      <c r="AK21" s="72"/>
      <c r="AL21" s="72"/>
      <c r="AM21" s="72"/>
      <c r="AN21" s="72"/>
      <c r="AO21" s="72"/>
      <c r="AQ21" s="72"/>
      <c r="AS21" s="72"/>
      <c r="AT21" s="72"/>
    </row>
    <row r="22" spans="1:58" ht="13.8" x14ac:dyDescent="0.25">
      <c r="B22" s="36"/>
      <c r="C22" s="128"/>
      <c r="D22" s="36" t="str">
        <f>D17</f>
        <v>INDFBTOEN</v>
      </c>
      <c r="E22" s="36"/>
      <c r="F22" s="123">
        <f>F19</f>
        <v>2035</v>
      </c>
      <c r="G22" s="129"/>
      <c r="H22" s="97">
        <f t="shared" si="1"/>
        <v>2.8499999999999998E-2</v>
      </c>
      <c r="I22" s="72"/>
      <c r="J22" s="72"/>
      <c r="K22" s="72"/>
      <c r="R22" s="37"/>
      <c r="S22" s="37" t="str">
        <f>"INDFBTSTM"&amp;RIGHT(Commodities!$D$22,6)&amp;"_"&amp;AA22</f>
        <v>INDFBTSTMOILHFO_ST</v>
      </c>
      <c r="T22" s="37" t="str">
        <f>"Steam Boiler FBT HFO"&amp;"_"&amp;$S$5&amp;"_"&amp;AA22</f>
        <v>Steam Boiler FBT HFO_N_ST</v>
      </c>
      <c r="U22" s="37" t="s">
        <v>206</v>
      </c>
      <c r="V22" s="37" t="s">
        <v>224</v>
      </c>
      <c r="W22" s="37"/>
      <c r="X22" s="37"/>
      <c r="Y22" s="37"/>
      <c r="AA22" s="72" t="s">
        <v>274</v>
      </c>
      <c r="AG22" s="72"/>
      <c r="AH22" s="72"/>
      <c r="AI22" s="10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</row>
    <row r="23" spans="1:58" ht="13.8" x14ac:dyDescent="0.25">
      <c r="B23" s="67"/>
      <c r="C23" s="131"/>
      <c r="D23" s="131"/>
      <c r="E23" s="131" t="str">
        <f>E18</f>
        <v>INDFBT</v>
      </c>
      <c r="F23" s="132">
        <f>F19</f>
        <v>2035</v>
      </c>
      <c r="G23" s="133"/>
      <c r="H23" s="98"/>
      <c r="I23" s="98"/>
      <c r="J23" s="98"/>
      <c r="K23" s="98"/>
      <c r="R23" s="37"/>
      <c r="S23" s="37" t="str">
        <f>"INDFBTSTM"&amp;RIGHT(Commodities!$D$22,6)&amp;"_"&amp;AA23</f>
        <v>INDFBTSTMOILHFO_IM</v>
      </c>
      <c r="T23" s="37" t="str">
        <f>"Steam Boiler FBT HFO"&amp;"_"&amp;$S$5&amp;"_"&amp;AA23</f>
        <v>Steam Boiler FBT HFO_N_IM</v>
      </c>
      <c r="U23" s="37" t="s">
        <v>206</v>
      </c>
      <c r="V23" s="37" t="s">
        <v>224</v>
      </c>
      <c r="W23" s="37"/>
      <c r="X23" s="37"/>
      <c r="Y23" s="37"/>
      <c r="AA23" s="72" t="s">
        <v>275</v>
      </c>
      <c r="AG23" s="72"/>
      <c r="AH23" s="72"/>
      <c r="AI23" s="10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</row>
    <row r="24" spans="1:58" ht="13.8" x14ac:dyDescent="0.25">
      <c r="R24" s="37"/>
      <c r="S24" s="37" t="str">
        <f>"INDFBTSTM"&amp;RIGHT(Commodities!$D$22,6)&amp;"_"&amp;AA24</f>
        <v>INDFBTSTMOILHFO_AD</v>
      </c>
      <c r="T24" s="37" t="str">
        <f>"Steam Boiler FBT HFO"&amp;"_"&amp;$S$5&amp;"_"&amp;AA24</f>
        <v>Steam Boiler FBT HFO_N_AD</v>
      </c>
      <c r="U24" s="37" t="s">
        <v>206</v>
      </c>
      <c r="V24" s="37" t="s">
        <v>224</v>
      </c>
      <c r="W24" s="37"/>
      <c r="X24" s="37"/>
      <c r="Y24" s="37"/>
      <c r="AA24" s="72" t="s">
        <v>276</v>
      </c>
      <c r="AG24" s="72"/>
      <c r="AH24" s="72"/>
      <c r="AI24" s="10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</row>
    <row r="25" spans="1:58" ht="13.8" x14ac:dyDescent="0.25">
      <c r="R25" s="37"/>
      <c r="S25" s="37" t="str">
        <f>"INDFBTSTM"&amp;RIGHT(Commodities!$D$27,6)&amp;"_"&amp;AA25</f>
        <v>INDFBTSTMOILPCK_ST</v>
      </c>
      <c r="T25" s="37" t="str">
        <f>"Steam Boiler FBT PetCoke"&amp;"_"&amp;$S$5&amp;"_"&amp;AA25</f>
        <v>Steam Boiler FBT PetCoke_N_ST</v>
      </c>
      <c r="U25" s="37" t="s">
        <v>206</v>
      </c>
      <c r="V25" s="37" t="s">
        <v>224</v>
      </c>
      <c r="W25" s="37"/>
      <c r="X25" s="37"/>
      <c r="Y25" s="37"/>
      <c r="AA25" s="72" t="s">
        <v>274</v>
      </c>
      <c r="AG25" s="72"/>
      <c r="AH25" s="72"/>
      <c r="AI25" s="102"/>
      <c r="AJ25" s="72"/>
      <c r="AK25" s="72"/>
      <c r="AL25" s="72"/>
      <c r="AM25" s="72"/>
      <c r="AN25" s="72"/>
      <c r="AO25" s="72"/>
      <c r="AQ25" s="72"/>
      <c r="AS25" s="72"/>
      <c r="AT25" s="72"/>
    </row>
    <row r="26" spans="1:58" ht="13.8" x14ac:dyDescent="0.25">
      <c r="R26" s="37"/>
      <c r="S26" s="37" t="str">
        <f>"INDFBTSTM"&amp;RIGHT(Commodities!$D$27,6)&amp;"_"&amp;AA26</f>
        <v>INDFBTSTMOILPCK_IM</v>
      </c>
      <c r="T26" s="37" t="str">
        <f>"Steam Boiler FBT PetCoke"&amp;"_"&amp;$S$5&amp;"_"&amp;AA26</f>
        <v>Steam Boiler FBT PetCoke_N_IM</v>
      </c>
      <c r="U26" s="37" t="s">
        <v>206</v>
      </c>
      <c r="V26" s="37" t="s">
        <v>224</v>
      </c>
      <c r="W26" s="37"/>
      <c r="X26" s="37"/>
      <c r="Y26" s="37"/>
      <c r="AA26" s="72" t="s">
        <v>275</v>
      </c>
      <c r="AG26" s="72"/>
      <c r="AH26" s="72"/>
      <c r="AI26" s="102"/>
      <c r="AJ26" s="72"/>
      <c r="AK26" s="72"/>
      <c r="AL26" s="72"/>
      <c r="AM26" s="72"/>
      <c r="AN26" s="72"/>
      <c r="AO26" s="72"/>
      <c r="AQ26" s="72"/>
      <c r="AS26" s="72"/>
      <c r="AT26" s="72"/>
    </row>
    <row r="27" spans="1:58" ht="13.8" x14ac:dyDescent="0.25">
      <c r="R27" s="37"/>
      <c r="S27" s="37" t="str">
        <f>"INDFBTSTM"&amp;RIGHT(Commodities!$D$27,6)&amp;"_"&amp;AA27</f>
        <v>INDFBTSTMOILPCK_AD</v>
      </c>
      <c r="T27" s="37" t="str">
        <f>"Steam Boiler FBT PetCoke"&amp;"_"&amp;$S$5&amp;"_"&amp;AA27</f>
        <v>Steam Boiler FBT PetCoke_N_AD</v>
      </c>
      <c r="U27" s="37" t="s">
        <v>206</v>
      </c>
      <c r="V27" s="37" t="s">
        <v>224</v>
      </c>
      <c r="W27" s="37"/>
      <c r="X27" s="37"/>
      <c r="Y27" s="37"/>
      <c r="AA27" s="72" t="s">
        <v>276</v>
      </c>
      <c r="AG27" s="72"/>
      <c r="AH27" s="72"/>
      <c r="AI27" s="102"/>
      <c r="AJ27" s="72"/>
      <c r="AK27" s="72"/>
      <c r="AL27" s="72"/>
      <c r="AM27" s="72"/>
      <c r="AN27" s="72"/>
      <c r="AO27" s="72"/>
      <c r="AQ27" s="72"/>
      <c r="AS27" s="72"/>
      <c r="AT27" s="72"/>
    </row>
    <row r="28" spans="1:58" ht="15.75" customHeight="1" x14ac:dyDescent="0.25">
      <c r="R28" s="37"/>
      <c r="S28" s="37" t="str">
        <f>"INDFBTSTM"&amp;RIGHT(Commodities!$D$30,6)&amp;"_"&amp;AA28</f>
        <v>INDFBTSTMOILOTH_ST</v>
      </c>
      <c r="T28" s="37" t="str">
        <f>"Steam Boiler FBT Other Oil Products"&amp;"_"&amp;$S$5&amp;"_"&amp;AA28</f>
        <v>Steam Boiler FBT Other Oil Products_N_ST</v>
      </c>
      <c r="U28" s="37" t="s">
        <v>206</v>
      </c>
      <c r="V28" s="37" t="s">
        <v>224</v>
      </c>
      <c r="W28" s="37"/>
      <c r="X28" s="37"/>
      <c r="Y28" s="37"/>
      <c r="AA28" s="72" t="s">
        <v>274</v>
      </c>
      <c r="AG28" s="72"/>
      <c r="AH28" s="72"/>
      <c r="AI28" s="102"/>
      <c r="AJ28" s="72"/>
      <c r="AK28" s="72"/>
      <c r="AL28" s="72"/>
      <c r="AM28" s="72"/>
      <c r="AN28" s="72"/>
      <c r="AO28" s="72"/>
      <c r="AQ28" s="72"/>
      <c r="AS28" s="72"/>
      <c r="AT28" s="72"/>
    </row>
    <row r="29" spans="1:58" ht="15.75" customHeight="1" x14ac:dyDescent="0.25">
      <c r="A29" s="72"/>
      <c r="B29" s="37"/>
      <c r="C29" s="37"/>
      <c r="D29" s="37"/>
      <c r="E29" s="136" t="s">
        <v>295</v>
      </c>
      <c r="F29" s="137" t="s">
        <v>0</v>
      </c>
      <c r="G29" s="138" t="s">
        <v>295</v>
      </c>
      <c r="H29" s="138" t="s">
        <v>295</v>
      </c>
      <c r="I29" s="138" t="s">
        <v>295</v>
      </c>
      <c r="J29" s="37"/>
      <c r="K29" s="37"/>
      <c r="L29" s="72"/>
      <c r="M29" s="72"/>
      <c r="R29" s="37"/>
      <c r="S29" s="37" t="str">
        <f>"INDFBTSTM"&amp;RIGHT(Commodities!$D$30,6)&amp;"_"&amp;AA29</f>
        <v>INDFBTSTMOILOTH_IM</v>
      </c>
      <c r="T29" s="37" t="str">
        <f>"Steam Boiler FBT Other Oil Products"&amp;"_"&amp;$S$5&amp;"_"&amp;AA29</f>
        <v>Steam Boiler FBT Other Oil Products_N_IM</v>
      </c>
      <c r="U29" s="37" t="s">
        <v>206</v>
      </c>
      <c r="V29" s="37" t="s">
        <v>224</v>
      </c>
      <c r="W29" s="37"/>
      <c r="X29" s="37"/>
      <c r="Y29" s="37"/>
      <c r="AA29" s="72" t="s">
        <v>275</v>
      </c>
      <c r="AG29" s="72"/>
      <c r="AH29" s="72"/>
      <c r="AI29" s="102"/>
      <c r="AJ29" s="72"/>
      <c r="AK29" s="72"/>
      <c r="AL29" s="72"/>
      <c r="AM29" s="72"/>
      <c r="AN29" s="72"/>
      <c r="AO29" s="72"/>
      <c r="AQ29" s="72"/>
      <c r="AS29" s="72"/>
      <c r="AT29" s="72"/>
    </row>
    <row r="30" spans="1:58" ht="15.75" customHeight="1" x14ac:dyDescent="0.25">
      <c r="A30" s="72"/>
      <c r="B30" s="45" t="s">
        <v>1</v>
      </c>
      <c r="C30" s="45" t="s">
        <v>227</v>
      </c>
      <c r="D30" s="45" t="s">
        <v>3</v>
      </c>
      <c r="E30" s="45" t="s">
        <v>4</v>
      </c>
      <c r="F30" s="46" t="s">
        <v>233</v>
      </c>
      <c r="G30" s="45" t="s">
        <v>14</v>
      </c>
      <c r="H30" s="139" t="s">
        <v>250</v>
      </c>
      <c r="I30" s="79" t="s">
        <v>36</v>
      </c>
      <c r="J30" s="49" t="s">
        <v>5</v>
      </c>
      <c r="K30" s="49" t="s">
        <v>48</v>
      </c>
      <c r="L30" s="46" t="s">
        <v>296</v>
      </c>
      <c r="M30" s="46" t="s">
        <v>297</v>
      </c>
      <c r="R30" s="37"/>
      <c r="S30" s="37" t="str">
        <f>"INDFBTSTM"&amp;RIGHT(Commodities!$D$30,6)&amp;"_"&amp;AA30</f>
        <v>INDFBTSTMOILOTH_AD</v>
      </c>
      <c r="T30" s="37" t="str">
        <f>"Steam Boiler FBT Other Oil Products"&amp;"_"&amp;$S$5&amp;"_"&amp;AA30</f>
        <v>Steam Boiler FBT Other Oil Products_N_AD</v>
      </c>
      <c r="U30" s="37" t="s">
        <v>206</v>
      </c>
      <c r="V30" s="37" t="s">
        <v>224</v>
      </c>
      <c r="W30" s="37"/>
      <c r="X30" s="37"/>
      <c r="Y30" s="37"/>
      <c r="AA30" s="72" t="s">
        <v>276</v>
      </c>
      <c r="AG30" s="72"/>
      <c r="AH30" s="72"/>
      <c r="AI30" s="102"/>
      <c r="AJ30" s="72"/>
      <c r="AK30" s="72"/>
      <c r="AL30" s="72"/>
      <c r="AM30" s="72"/>
      <c r="AN30" s="72"/>
      <c r="AO30" s="72"/>
      <c r="AQ30" s="72"/>
      <c r="AS30" s="72"/>
      <c r="AT30" s="72"/>
    </row>
    <row r="31" spans="1:58" ht="14.4" thickBot="1" x14ac:dyDescent="0.3">
      <c r="A31" s="72"/>
      <c r="B31" s="54" t="s">
        <v>280</v>
      </c>
      <c r="C31" s="54" t="s">
        <v>28</v>
      </c>
      <c r="D31" s="54" t="s">
        <v>32</v>
      </c>
      <c r="E31" s="54" t="s">
        <v>33</v>
      </c>
      <c r="F31" s="54"/>
      <c r="G31" s="84" t="s">
        <v>35</v>
      </c>
      <c r="H31" s="84"/>
      <c r="I31" s="84" t="s">
        <v>37</v>
      </c>
      <c r="J31" s="54" t="s">
        <v>38</v>
      </c>
      <c r="K31" s="54" t="s">
        <v>218</v>
      </c>
      <c r="L31" s="54"/>
      <c r="M31" s="54"/>
      <c r="R31" s="37"/>
      <c r="S31" s="37" t="str">
        <f>"INDFBTSTM"&amp;RIGHT(Commodities!$D$33,6)&amp;"_"&amp;AA31</f>
        <v>INDFBTSTMGASNAT_ST</v>
      </c>
      <c r="T31" s="37" t="str">
        <f>"Steam Boiler FBT N. Gas"&amp;"_"&amp;$S$5&amp;"_"&amp;AA31</f>
        <v>Steam Boiler FBT N. Gas_N_ST</v>
      </c>
      <c r="U31" s="37" t="s">
        <v>206</v>
      </c>
      <c r="V31" s="37" t="s">
        <v>224</v>
      </c>
      <c r="W31" s="37"/>
      <c r="X31" s="37"/>
      <c r="Y31" s="37"/>
      <c r="AA31" s="72" t="s">
        <v>274</v>
      </c>
      <c r="AG31" s="72"/>
      <c r="AH31" s="72"/>
      <c r="AI31" s="10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58" ht="13.8" x14ac:dyDescent="0.25">
      <c r="A32" s="72"/>
      <c r="B32" s="89" t="s">
        <v>281</v>
      </c>
      <c r="C32" s="90"/>
      <c r="D32" s="90"/>
      <c r="E32" s="90"/>
      <c r="F32" s="90"/>
      <c r="G32" s="90"/>
      <c r="H32" s="90"/>
      <c r="I32" s="90" t="s">
        <v>447</v>
      </c>
      <c r="J32" s="90" t="s">
        <v>447</v>
      </c>
      <c r="K32" s="90" t="s">
        <v>40</v>
      </c>
      <c r="L32" s="90"/>
      <c r="M32" s="90"/>
      <c r="R32" s="37"/>
      <c r="S32" s="37" t="str">
        <f>"INDFBTSTM"&amp;RIGHT(Commodities!$D$33,6)&amp;"_"&amp;AA32</f>
        <v>INDFBTSTMGASNAT_IM</v>
      </c>
      <c r="T32" s="37" t="str">
        <f>"Steam Boiler FBT N. Gas"&amp;"_"&amp;$S$5&amp;"_"&amp;AA32</f>
        <v>Steam Boiler FBT N. Gas_N_IM</v>
      </c>
      <c r="U32" s="37" t="s">
        <v>206</v>
      </c>
      <c r="V32" s="37" t="s">
        <v>224</v>
      </c>
      <c r="W32" s="37"/>
      <c r="X32" s="37"/>
      <c r="Y32" s="37"/>
      <c r="AA32" s="72" t="s">
        <v>275</v>
      </c>
      <c r="AG32" s="72"/>
      <c r="AH32" s="72"/>
      <c r="AI32" s="10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</row>
    <row r="33" spans="1:46" ht="13.8" x14ac:dyDescent="0.25">
      <c r="A33" s="72"/>
      <c r="B33" s="37" t="str">
        <f>S10</f>
        <v>INDFBTSTMCOASUB_ST</v>
      </c>
      <c r="C33" s="37" t="str">
        <f>T10</f>
        <v>Steam Boiler FBT Sub-bituminous_N_ST</v>
      </c>
      <c r="D33" s="72" t="s">
        <v>426</v>
      </c>
      <c r="E33" s="72" t="s">
        <v>285</v>
      </c>
      <c r="F33" s="94">
        <f>G33</f>
        <v>2018</v>
      </c>
      <c r="G33" s="72">
        <v>2018</v>
      </c>
      <c r="H33" s="140">
        <f>O33</f>
        <v>1.4285714285714286</v>
      </c>
      <c r="I33" s="95">
        <v>585.16800000000001</v>
      </c>
      <c r="J33" s="95">
        <f t="shared" ref="J33:J41" si="2">53.92656*(1/0.9)</f>
        <v>59.918400000000005</v>
      </c>
      <c r="K33" s="141">
        <v>30</v>
      </c>
      <c r="L33" s="141">
        <v>31.536000000000001</v>
      </c>
      <c r="M33" s="141">
        <v>0.8</v>
      </c>
      <c r="O33" s="142">
        <v>1.4285714285714286</v>
      </c>
      <c r="R33" s="37"/>
      <c r="S33" s="37" t="str">
        <f>"INDFBTSTM"&amp;RIGHT(Commodities!$D$33,6)&amp;"_"&amp;AA33</f>
        <v>INDFBTSTMGASNAT_AD</v>
      </c>
      <c r="T33" s="37" t="str">
        <f>"Steam Boiler FBT N. Gas"&amp;"_"&amp;$S$5&amp;"_"&amp;AA33</f>
        <v>Steam Boiler FBT N. Gas_N_AD</v>
      </c>
      <c r="U33" s="37" t="s">
        <v>206</v>
      </c>
      <c r="V33" s="37" t="s">
        <v>224</v>
      </c>
      <c r="W33" s="37"/>
      <c r="X33" s="37"/>
      <c r="Y33" s="37"/>
      <c r="AA33" s="72" t="s">
        <v>276</v>
      </c>
      <c r="AG33" s="72"/>
      <c r="AH33" s="72"/>
      <c r="AI33" s="10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</row>
    <row r="34" spans="1:46" ht="13.8" x14ac:dyDescent="0.25">
      <c r="A34" s="72"/>
      <c r="B34" s="37" t="str">
        <f t="shared" ref="B34:C62" si="3">S11</f>
        <v>INDFBTSTMCOASUB_IM</v>
      </c>
      <c r="C34" s="37" t="str">
        <f t="shared" si="3"/>
        <v>Steam Boiler FBT Sub-bituminous_N_IM</v>
      </c>
      <c r="D34" s="72" t="str">
        <f>D33</f>
        <v>INDCOASUB</v>
      </c>
      <c r="E34" s="72" t="str">
        <f>E33</f>
        <v>INDFBTSTM</v>
      </c>
      <c r="F34" s="94">
        <f t="shared" ref="F34:F62" si="4">G34</f>
        <v>2025</v>
      </c>
      <c r="G34" s="72">
        <f>G33+7</f>
        <v>2025</v>
      </c>
      <c r="H34" s="140">
        <f>H33*0.95</f>
        <v>1.3571428571428572</v>
      </c>
      <c r="I34" s="95">
        <v>834.85620559148049</v>
      </c>
      <c r="J34" s="95">
        <f t="shared" si="2"/>
        <v>59.918400000000005</v>
      </c>
      <c r="K34" s="141">
        <v>30</v>
      </c>
      <c r="L34" s="141">
        <v>31.536000000000001</v>
      </c>
      <c r="M34" s="141">
        <v>0.8</v>
      </c>
      <c r="O34" s="142">
        <v>1.4285714285714286</v>
      </c>
      <c r="R34" s="37"/>
      <c r="S34" s="37" t="str">
        <f>"INDFBTSTM"&amp;RIGHT(Commodities!$D$35,6)&amp;"_"&amp;AA34</f>
        <v>INDFBTSTMBIOLOG_ST</v>
      </c>
      <c r="T34" s="37" t="str">
        <f>"Steam Boiler FBT Biomass"&amp;"_"&amp;$S$5&amp;"_"&amp;AA34</f>
        <v>Steam Boiler FBT Biomass_N_ST</v>
      </c>
      <c r="U34" s="37" t="s">
        <v>206</v>
      </c>
      <c r="V34" s="37" t="s">
        <v>224</v>
      </c>
      <c r="W34" s="37"/>
      <c r="X34" s="37"/>
      <c r="Y34" s="37"/>
      <c r="AA34" s="72" t="s">
        <v>274</v>
      </c>
      <c r="AG34" s="72"/>
      <c r="AH34" s="72"/>
      <c r="AI34" s="102"/>
      <c r="AJ34" s="72"/>
      <c r="AK34" s="72"/>
      <c r="AL34" s="72"/>
      <c r="AM34" s="72"/>
      <c r="AN34" s="72"/>
      <c r="AO34" s="72"/>
      <c r="AQ34" s="72"/>
      <c r="AS34" s="72"/>
    </row>
    <row r="35" spans="1:46" ht="13.8" x14ac:dyDescent="0.25">
      <c r="A35" s="72"/>
      <c r="B35" s="98" t="str">
        <f t="shared" si="3"/>
        <v>INDFBTSTMCOASUB_AD</v>
      </c>
      <c r="C35" s="98" t="str">
        <f t="shared" si="3"/>
        <v>Steam Boiler FBT Sub-bituminous_N_AD</v>
      </c>
      <c r="D35" s="98" t="str">
        <f>D34</f>
        <v>INDCOASUB</v>
      </c>
      <c r="E35" s="98" t="str">
        <f>E33</f>
        <v>INDFBTSTM</v>
      </c>
      <c r="F35" s="99">
        <f t="shared" si="4"/>
        <v>2035</v>
      </c>
      <c r="G35" s="98">
        <f>G34+10</f>
        <v>2035</v>
      </c>
      <c r="H35" s="143">
        <f>H33*0.85</f>
        <v>1.2142857142857142</v>
      </c>
      <c r="I35" s="144">
        <v>1071.9765872589473</v>
      </c>
      <c r="J35" s="144">
        <f t="shared" si="2"/>
        <v>59.918400000000005</v>
      </c>
      <c r="K35" s="145">
        <v>30</v>
      </c>
      <c r="L35" s="145">
        <v>31.536000000000001</v>
      </c>
      <c r="M35" s="145">
        <v>0.8</v>
      </c>
      <c r="O35" s="142">
        <v>1.4285714285714286</v>
      </c>
      <c r="R35" s="37"/>
      <c r="S35" s="37" t="str">
        <f>"INDFBTSTM"&amp;RIGHT(Commodities!$D$35,6)&amp;"_"&amp;AA35</f>
        <v>INDFBTSTMBIOLOG_IM</v>
      </c>
      <c r="T35" s="37" t="str">
        <f>"Steam Boiler FBT Biomass"&amp;"_"&amp;$S$5&amp;"_"&amp;AA35</f>
        <v>Steam Boiler FBT Biomass_N_IM</v>
      </c>
      <c r="U35" s="37" t="s">
        <v>206</v>
      </c>
      <c r="V35" s="37" t="s">
        <v>224</v>
      </c>
      <c r="W35" s="37"/>
      <c r="X35" s="37"/>
      <c r="Y35" s="37"/>
      <c r="AA35" s="72" t="s">
        <v>275</v>
      </c>
      <c r="AG35" s="72"/>
      <c r="AH35" s="72"/>
      <c r="AI35" s="102"/>
      <c r="AJ35" s="72"/>
      <c r="AK35" s="72"/>
      <c r="AL35" s="72"/>
      <c r="AM35" s="72"/>
      <c r="AN35" s="72"/>
      <c r="AO35" s="72"/>
      <c r="AQ35" s="72"/>
      <c r="AS35" s="72"/>
    </row>
    <row r="36" spans="1:46" ht="13.8" x14ac:dyDescent="0.25">
      <c r="A36" s="72"/>
      <c r="B36" s="37" t="str">
        <f t="shared" si="3"/>
        <v>INDFBTSTMCOABIC_ST</v>
      </c>
      <c r="C36" s="37" t="str">
        <f t="shared" si="3"/>
        <v>Steam Boiler FBT Bituminous_N_ST</v>
      </c>
      <c r="D36" s="72" t="s">
        <v>141</v>
      </c>
      <c r="E36" s="72" t="s">
        <v>285</v>
      </c>
      <c r="F36" s="94">
        <f>G36</f>
        <v>2018</v>
      </c>
      <c r="G36" s="72">
        <v>2018</v>
      </c>
      <c r="H36" s="140">
        <f>O34</f>
        <v>1.4285714285714286</v>
      </c>
      <c r="I36" s="95">
        <v>585.16800000000001</v>
      </c>
      <c r="J36" s="95">
        <f t="shared" si="2"/>
        <v>59.918400000000005</v>
      </c>
      <c r="K36" s="141">
        <v>30</v>
      </c>
      <c r="L36" s="141">
        <v>31.536000000000001</v>
      </c>
      <c r="M36" s="141">
        <v>0.8</v>
      </c>
      <c r="O36" s="142">
        <v>1.2820512820512819</v>
      </c>
      <c r="R36" s="37"/>
      <c r="S36" s="37" t="str">
        <f>"INDFBTSTM"&amp;RIGHT(Commodities!$D$35,6)&amp;"_"&amp;AA36</f>
        <v>INDFBTSTMBIOLOG_AD</v>
      </c>
      <c r="T36" s="37" t="str">
        <f>"Steam Boiler FBT Biomass"&amp;"_"&amp;$S$5&amp;"_"&amp;AA36</f>
        <v>Steam Boiler FBT Biomass_N_AD</v>
      </c>
      <c r="U36" s="37" t="s">
        <v>206</v>
      </c>
      <c r="V36" s="37" t="s">
        <v>224</v>
      </c>
      <c r="W36" s="37"/>
      <c r="X36" s="37"/>
      <c r="Y36" s="37"/>
      <c r="AA36" s="72" t="s">
        <v>276</v>
      </c>
      <c r="AG36" s="72"/>
      <c r="AH36" s="72"/>
      <c r="AI36" s="102"/>
      <c r="AJ36" s="72"/>
      <c r="AK36" s="72"/>
      <c r="AL36" s="72"/>
      <c r="AM36" s="72"/>
      <c r="AN36" s="72"/>
      <c r="AO36" s="72"/>
      <c r="AQ36" s="72"/>
      <c r="AS36" s="72"/>
    </row>
    <row r="37" spans="1:46" ht="13.8" x14ac:dyDescent="0.25">
      <c r="A37" s="72"/>
      <c r="B37" s="37" t="str">
        <f t="shared" si="3"/>
        <v>INDFBTSTMCOABIC_IM</v>
      </c>
      <c r="C37" s="37" t="str">
        <f t="shared" si="3"/>
        <v>Steam Boiler FBT Bituminous_N_IM</v>
      </c>
      <c r="D37" s="72" t="str">
        <f>D36</f>
        <v>INDCOABIC</v>
      </c>
      <c r="E37" s="72" t="str">
        <f>E36</f>
        <v>INDFBTSTM</v>
      </c>
      <c r="F37" s="94">
        <f t="shared" si="4"/>
        <v>2025</v>
      </c>
      <c r="G37" s="72">
        <f>G36+7</f>
        <v>2025</v>
      </c>
      <c r="H37" s="140">
        <f>H36*0.95</f>
        <v>1.3571428571428572</v>
      </c>
      <c r="I37" s="95">
        <v>834.85620559148049</v>
      </c>
      <c r="J37" s="95">
        <f t="shared" si="2"/>
        <v>59.918400000000005</v>
      </c>
      <c r="K37" s="141">
        <v>30</v>
      </c>
      <c r="L37" s="141">
        <v>31.536000000000001</v>
      </c>
      <c r="M37" s="141">
        <v>0.8</v>
      </c>
      <c r="O37" s="142">
        <v>1.2820512820512819</v>
      </c>
      <c r="R37" s="37"/>
      <c r="S37" s="37" t="str">
        <f>"INDFBTSTM"&amp;RIGHT(Commodities!$D$349,3)&amp;"_"&amp;AA37</f>
        <v>INDFBTSTMHTH_ST</v>
      </c>
      <c r="T37" s="37" t="str">
        <f>"Steam Boiler FBT Heat"&amp;"_"&amp;$S$5&amp;"_"&amp;AA37</f>
        <v>Steam Boiler FBT Heat_N_ST</v>
      </c>
      <c r="U37" s="37" t="s">
        <v>206</v>
      </c>
      <c r="V37" s="37" t="s">
        <v>224</v>
      </c>
      <c r="W37" s="37"/>
      <c r="X37" s="37"/>
      <c r="Y37" s="37"/>
      <c r="AA37" s="72" t="s">
        <v>274</v>
      </c>
      <c r="AG37" s="72"/>
      <c r="AH37" s="72"/>
      <c r="AI37" s="102"/>
      <c r="AJ37" s="72"/>
      <c r="AK37" s="72"/>
      <c r="AL37" s="72"/>
      <c r="AM37" s="72"/>
      <c r="AN37" s="72"/>
      <c r="AO37" s="72"/>
      <c r="AQ37" s="72"/>
      <c r="AS37" s="72"/>
    </row>
    <row r="38" spans="1:46" ht="13.8" x14ac:dyDescent="0.25">
      <c r="A38" s="72"/>
      <c r="B38" s="98" t="str">
        <f t="shared" si="3"/>
        <v>INDFBTSTMCOABIC_AD</v>
      </c>
      <c r="C38" s="98" t="str">
        <f t="shared" si="3"/>
        <v>Steam Boiler FBT Bituminous_N_AD</v>
      </c>
      <c r="D38" s="98" t="str">
        <f>D37</f>
        <v>INDCOABIC</v>
      </c>
      <c r="E38" s="98" t="str">
        <f>E36</f>
        <v>INDFBTSTM</v>
      </c>
      <c r="F38" s="99">
        <f t="shared" si="4"/>
        <v>2035</v>
      </c>
      <c r="G38" s="98">
        <f>G37+10</f>
        <v>2035</v>
      </c>
      <c r="H38" s="143">
        <f>H36*0.85</f>
        <v>1.2142857142857142</v>
      </c>
      <c r="I38" s="144">
        <v>1071.9765872589473</v>
      </c>
      <c r="J38" s="144">
        <f t="shared" si="2"/>
        <v>59.918400000000005</v>
      </c>
      <c r="K38" s="145">
        <v>30</v>
      </c>
      <c r="L38" s="145">
        <v>31.536000000000001</v>
      </c>
      <c r="M38" s="145">
        <v>0.8</v>
      </c>
      <c r="O38" s="142">
        <v>1.4285714285714286</v>
      </c>
      <c r="R38" s="37"/>
      <c r="S38" s="37" t="str">
        <f>"INDFBTSTM"&amp;RIGHT(Commodities!$D$349,3)&amp;"_"&amp;AA38</f>
        <v>INDFBTSTMHTH_IM</v>
      </c>
      <c r="T38" s="37" t="str">
        <f>"Steam Boiler FBT Heat"&amp;"_"&amp;$S$5&amp;"_"&amp;AA38</f>
        <v>Steam Boiler FBT Heat_N_IM</v>
      </c>
      <c r="U38" s="37" t="s">
        <v>206</v>
      </c>
      <c r="V38" s="37" t="s">
        <v>224</v>
      </c>
      <c r="W38" s="37"/>
      <c r="X38" s="37"/>
      <c r="Y38" s="37"/>
      <c r="AA38" s="72" t="s">
        <v>275</v>
      </c>
      <c r="AG38" s="72"/>
      <c r="AH38" s="72"/>
      <c r="AI38" s="102"/>
      <c r="AJ38" s="72"/>
      <c r="AK38" s="72"/>
      <c r="AL38" s="72"/>
      <c r="AM38" s="72"/>
      <c r="AN38" s="72"/>
      <c r="AO38" s="72"/>
      <c r="AQ38" s="72"/>
      <c r="AS38" s="72"/>
    </row>
    <row r="39" spans="1:46" ht="13.8" x14ac:dyDescent="0.25">
      <c r="A39" s="72"/>
      <c r="B39" s="37" t="str">
        <f t="shared" si="3"/>
        <v>INDFBTSTMCOABCO_ST</v>
      </c>
      <c r="C39" s="37" t="str">
        <f t="shared" si="3"/>
        <v>Steam Boiler FBT Lignite_N_ST</v>
      </c>
      <c r="D39" s="72" t="s">
        <v>430</v>
      </c>
      <c r="E39" s="72" t="s">
        <v>285</v>
      </c>
      <c r="F39" s="94">
        <f>G39</f>
        <v>2018</v>
      </c>
      <c r="G39" s="72">
        <v>2018</v>
      </c>
      <c r="H39" s="140">
        <f>O35</f>
        <v>1.4285714285714286</v>
      </c>
      <c r="I39" s="95">
        <v>585.16800000000001</v>
      </c>
      <c r="J39" s="95">
        <f t="shared" si="2"/>
        <v>59.918400000000005</v>
      </c>
      <c r="K39" s="141">
        <v>30</v>
      </c>
      <c r="L39" s="141">
        <v>31.536000000000001</v>
      </c>
      <c r="M39" s="141">
        <v>0.8</v>
      </c>
      <c r="O39" s="142">
        <v>1.4285714285714286</v>
      </c>
      <c r="R39" s="37"/>
      <c r="S39" s="37" t="str">
        <f>"INDFBTSTM"&amp;RIGHT(Commodities!$D$349,3)&amp;"_"&amp;AA39</f>
        <v>INDFBTSTMHTH_AD</v>
      </c>
      <c r="T39" s="37" t="str">
        <f>"Steam Boiler FBT Heat"&amp;"_"&amp;$S$5&amp;"_"&amp;AA39</f>
        <v>Steam Boiler FBT Heat_N_AD</v>
      </c>
      <c r="U39" s="37" t="s">
        <v>206</v>
      </c>
      <c r="V39" s="37" t="s">
        <v>224</v>
      </c>
      <c r="W39" s="37"/>
      <c r="X39" s="37"/>
      <c r="Y39" s="37"/>
      <c r="AA39" s="72" t="s">
        <v>276</v>
      </c>
      <c r="AG39" s="72"/>
      <c r="AH39" s="72"/>
      <c r="AI39" s="102"/>
      <c r="AJ39" s="72"/>
      <c r="AK39" s="72"/>
      <c r="AL39" s="72"/>
      <c r="AM39" s="72"/>
      <c r="AN39" s="72"/>
      <c r="AO39" s="72"/>
      <c r="AQ39" s="72"/>
      <c r="AS39" s="72"/>
    </row>
    <row r="40" spans="1:46" ht="13.8" x14ac:dyDescent="0.25">
      <c r="A40" s="72"/>
      <c r="B40" s="37" t="str">
        <f t="shared" si="3"/>
        <v>INDFBTSTMCOABCO_IM</v>
      </c>
      <c r="C40" s="37" t="str">
        <f t="shared" si="3"/>
        <v>Steam Boiler FBT Lignite_N_IM</v>
      </c>
      <c r="D40" s="72" t="str">
        <f>D39</f>
        <v>INDCOABCO</v>
      </c>
      <c r="E40" s="72" t="str">
        <f>E39</f>
        <v>INDFBTSTM</v>
      </c>
      <c r="F40" s="94">
        <f t="shared" si="4"/>
        <v>2025</v>
      </c>
      <c r="G40" s="72">
        <f>G39+7</f>
        <v>2025</v>
      </c>
      <c r="H40" s="140">
        <f>H39*0.95</f>
        <v>1.3571428571428572</v>
      </c>
      <c r="I40" s="95">
        <v>834.85620559148049</v>
      </c>
      <c r="J40" s="95">
        <f t="shared" si="2"/>
        <v>59.918400000000005</v>
      </c>
      <c r="K40" s="141">
        <v>30</v>
      </c>
      <c r="L40" s="141">
        <v>31.536000000000001</v>
      </c>
      <c r="M40" s="141">
        <v>0.8</v>
      </c>
      <c r="O40" s="142">
        <v>1.25</v>
      </c>
      <c r="R40" s="37"/>
      <c r="S40" s="37" t="str">
        <f>"INDFBTSTM"&amp;RIGHT(Commodities!$D$51,6)&amp;"_"&amp;AA40</f>
        <v>INDFBTSTMBIOBGS_ST</v>
      </c>
      <c r="T40" s="37" t="str">
        <f>"Steam Boiler FBT Biogas"&amp;"_"&amp;$S$5&amp;"_"&amp;AA40</f>
        <v>Steam Boiler FBT Biogas_N_ST</v>
      </c>
      <c r="U40" s="37" t="s">
        <v>206</v>
      </c>
      <c r="V40" s="37" t="s">
        <v>224</v>
      </c>
      <c r="W40" s="37"/>
      <c r="X40" s="37"/>
      <c r="Y40" s="37"/>
      <c r="AA40" s="72" t="s">
        <v>274</v>
      </c>
      <c r="AG40" s="72"/>
      <c r="AH40" s="72"/>
      <c r="AI40" s="10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41" spans="1:46" ht="13.8" x14ac:dyDescent="0.25">
      <c r="A41" s="72"/>
      <c r="B41" s="98" t="str">
        <f t="shared" si="3"/>
        <v>INDFBTSTMCOABCO_AD</v>
      </c>
      <c r="C41" s="98" t="str">
        <f t="shared" si="3"/>
        <v>Steam Boiler FBT Lignite_N_AD</v>
      </c>
      <c r="D41" s="98" t="str">
        <f>D40</f>
        <v>INDCOABCO</v>
      </c>
      <c r="E41" s="98" t="str">
        <f>E39</f>
        <v>INDFBTSTM</v>
      </c>
      <c r="F41" s="99">
        <f t="shared" si="4"/>
        <v>2035</v>
      </c>
      <c r="G41" s="98">
        <f>G40+10</f>
        <v>2035</v>
      </c>
      <c r="H41" s="143">
        <f>H39*0.85</f>
        <v>1.2142857142857142</v>
      </c>
      <c r="I41" s="144">
        <v>1071.9765872589473</v>
      </c>
      <c r="J41" s="144">
        <f t="shared" si="2"/>
        <v>59.918400000000005</v>
      </c>
      <c r="K41" s="145">
        <v>30</v>
      </c>
      <c r="L41" s="145">
        <v>31.536000000000001</v>
      </c>
      <c r="M41" s="145">
        <v>0.8</v>
      </c>
      <c r="O41" s="142">
        <v>1.4285714285714286</v>
      </c>
      <c r="R41" s="37"/>
      <c r="S41" s="37" t="str">
        <f>"INDFBTSTM"&amp;RIGHT(Commodities!$D$51,6)&amp;"_"&amp;AA41</f>
        <v>INDFBTSTMBIOBGS_IM</v>
      </c>
      <c r="T41" s="37" t="str">
        <f>"Steam Boiler FBT Biogas"&amp;"_"&amp;$S$5&amp;"_"&amp;AA41</f>
        <v>Steam Boiler FBT Biogas_N_IM</v>
      </c>
      <c r="U41" s="37" t="s">
        <v>206</v>
      </c>
      <c r="V41" s="37" t="s">
        <v>224</v>
      </c>
      <c r="W41" s="37"/>
      <c r="X41" s="37"/>
      <c r="Y41" s="37"/>
      <c r="AA41" s="72" t="s">
        <v>275</v>
      </c>
      <c r="AG41" s="72"/>
      <c r="AH41" s="72"/>
      <c r="AI41" s="10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</row>
    <row r="42" spans="1:46" ht="13.8" x14ac:dyDescent="0.25">
      <c r="A42" s="72"/>
      <c r="B42" s="37" t="str">
        <f t="shared" si="3"/>
        <v>INDFBTSTMOILDSL_ST</v>
      </c>
      <c r="C42" s="37" t="str">
        <f t="shared" si="3"/>
        <v>Steam Boiler FBT Diesel_N_ST</v>
      </c>
      <c r="D42" s="72" t="s">
        <v>150</v>
      </c>
      <c r="E42" s="72" t="s">
        <v>285</v>
      </c>
      <c r="F42" s="94">
        <f>G42</f>
        <v>2018</v>
      </c>
      <c r="G42" s="72">
        <v>2018</v>
      </c>
      <c r="H42" s="140">
        <f>O36</f>
        <v>1.2820512820512819</v>
      </c>
      <c r="I42" s="95">
        <v>219.17176470588223</v>
      </c>
      <c r="J42" s="95">
        <f t="shared" ref="J42:J47" si="5">12.6144*(1/0.9)</f>
        <v>14.016</v>
      </c>
      <c r="K42" s="141">
        <v>30</v>
      </c>
      <c r="L42" s="141">
        <v>31.536000000000001</v>
      </c>
      <c r="M42" s="141">
        <v>0.8</v>
      </c>
      <c r="O42" s="142">
        <v>1.2</v>
      </c>
      <c r="R42" s="37"/>
      <c r="S42" s="37" t="str">
        <f>"INDFBTSTM"&amp;RIGHT(Commodities!$D$51,6)&amp;"_"&amp;AA42</f>
        <v>INDFBTSTMBIOBGS_AD</v>
      </c>
      <c r="T42" s="37" t="str">
        <f>"Steam Boiler FBT Biogas"&amp;"_"&amp;$S$5&amp;"_"&amp;AA42</f>
        <v>Steam Boiler FBT Biogas_N_AD</v>
      </c>
      <c r="U42" s="37" t="s">
        <v>206</v>
      </c>
      <c r="V42" s="37" t="s">
        <v>224</v>
      </c>
      <c r="W42" s="37"/>
      <c r="X42" s="37"/>
      <c r="Y42" s="37"/>
      <c r="AA42" s="72" t="s">
        <v>276</v>
      </c>
      <c r="AG42" s="72"/>
      <c r="AH42" s="72"/>
      <c r="AI42" s="10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</row>
    <row r="43" spans="1:46" ht="13.8" x14ac:dyDescent="0.25">
      <c r="A43" s="72"/>
      <c r="B43" s="37" t="str">
        <f t="shared" si="3"/>
        <v>INDFBTSTMOILDSL_IM</v>
      </c>
      <c r="C43" s="37" t="str">
        <f t="shared" si="3"/>
        <v>Steam Boiler FBT Diesel_N_IM</v>
      </c>
      <c r="D43" s="72" t="str">
        <f>D42</f>
        <v>INDOILDSL</v>
      </c>
      <c r="E43" s="72" t="str">
        <f>E42</f>
        <v>INDFBTSTM</v>
      </c>
      <c r="F43" s="94">
        <f t="shared" si="4"/>
        <v>2025</v>
      </c>
      <c r="G43" s="72">
        <f>G42+7</f>
        <v>2025</v>
      </c>
      <c r="H43" s="140">
        <f>H42*0.95</f>
        <v>1.2179487179487178</v>
      </c>
      <c r="I43" s="95">
        <v>312.69124055850898</v>
      </c>
      <c r="J43" s="95">
        <f t="shared" si="5"/>
        <v>14.016</v>
      </c>
      <c r="K43" s="141">
        <v>30</v>
      </c>
      <c r="L43" s="141">
        <v>31.536000000000001</v>
      </c>
      <c r="M43" s="141">
        <v>0.8</v>
      </c>
      <c r="R43" s="37"/>
      <c r="S43" s="37" t="str">
        <f>"INDFBTSTM"&amp;RIGHT(Commodities!$D$341,3)&amp;"_"&amp;AA43</f>
        <v>INDFBTSTMELC_ST</v>
      </c>
      <c r="T43" s="37" t="str">
        <f>"Steam Boiler FBT Electricity"&amp;"_"&amp;$S$5&amp;"_"&amp;AA43</f>
        <v>Steam Boiler FBT Electricity_N_ST</v>
      </c>
      <c r="U43" s="37" t="s">
        <v>206</v>
      </c>
      <c r="V43" s="37" t="s">
        <v>224</v>
      </c>
      <c r="W43" s="37" t="s">
        <v>42</v>
      </c>
      <c r="X43" s="37"/>
      <c r="Y43" s="37"/>
      <c r="AA43" s="72" t="s">
        <v>274</v>
      </c>
      <c r="AG43" s="72"/>
      <c r="AH43" s="72"/>
      <c r="AI43" s="102"/>
      <c r="AJ43" s="72"/>
      <c r="AK43" s="72"/>
      <c r="AL43" s="72"/>
      <c r="AM43" s="72"/>
      <c r="AN43" s="72"/>
      <c r="AO43" s="72"/>
      <c r="AQ43" s="72"/>
      <c r="AS43" s="72"/>
      <c r="AT43" s="72"/>
    </row>
    <row r="44" spans="1:46" ht="13.8" x14ac:dyDescent="0.25">
      <c r="A44" s="72"/>
      <c r="B44" s="98" t="str">
        <f t="shared" si="3"/>
        <v>INDFBTSTMOILDSL_AD</v>
      </c>
      <c r="C44" s="98" t="str">
        <f t="shared" si="3"/>
        <v>Steam Boiler FBT Diesel_N_AD</v>
      </c>
      <c r="D44" s="98" t="str">
        <f>D43</f>
        <v>INDOILDSL</v>
      </c>
      <c r="E44" s="98" t="str">
        <f>E42</f>
        <v>INDFBTSTM</v>
      </c>
      <c r="F44" s="99">
        <f t="shared" si="4"/>
        <v>2035</v>
      </c>
      <c r="G44" s="98">
        <f>G43+10</f>
        <v>2035</v>
      </c>
      <c r="H44" s="143">
        <f>H42*0.85</f>
        <v>1.0897435897435896</v>
      </c>
      <c r="I44" s="144">
        <v>401.50350045274632</v>
      </c>
      <c r="J44" s="144">
        <f t="shared" si="5"/>
        <v>14.016</v>
      </c>
      <c r="K44" s="145">
        <v>30</v>
      </c>
      <c r="L44" s="145">
        <v>31.536000000000001</v>
      </c>
      <c r="M44" s="145">
        <v>0.8</v>
      </c>
      <c r="R44" s="37"/>
      <c r="S44" s="37" t="str">
        <f>"INDFBTSTM"&amp;RIGHT(Commodities!$D$341,3)&amp;"_"&amp;AA44</f>
        <v>INDFBTSTMELC_IM</v>
      </c>
      <c r="T44" s="37" t="str">
        <f>"Steam Boiler FBT Electricity"&amp;"_"&amp;$S$5&amp;"_"&amp;AA44</f>
        <v>Steam Boiler FBT Electricity_N_IM</v>
      </c>
      <c r="U44" s="37" t="s">
        <v>206</v>
      </c>
      <c r="V44" s="37" t="s">
        <v>224</v>
      </c>
      <c r="W44" s="37" t="s">
        <v>42</v>
      </c>
      <c r="X44" s="37"/>
      <c r="Y44" s="37"/>
      <c r="AA44" s="72" t="s">
        <v>275</v>
      </c>
      <c r="AG44" s="72"/>
      <c r="AH44" s="72"/>
      <c r="AI44" s="102"/>
      <c r="AJ44" s="72"/>
      <c r="AK44" s="72"/>
      <c r="AL44" s="72"/>
      <c r="AM44" s="72"/>
      <c r="AN44" s="72"/>
      <c r="AO44" s="72"/>
      <c r="AQ44" s="72"/>
      <c r="AS44" s="72"/>
      <c r="AT44" s="72"/>
    </row>
    <row r="45" spans="1:46" ht="13.8" x14ac:dyDescent="0.25">
      <c r="A45" s="72"/>
      <c r="B45" s="37" t="str">
        <f t="shared" si="3"/>
        <v>INDFBTSTMOILHFO_ST</v>
      </c>
      <c r="C45" s="37" t="str">
        <f t="shared" si="3"/>
        <v>Steam Boiler FBT HFO_N_ST</v>
      </c>
      <c r="D45" s="72" t="s">
        <v>265</v>
      </c>
      <c r="E45" s="72" t="s">
        <v>285</v>
      </c>
      <c r="F45" s="94">
        <f>G45</f>
        <v>2018</v>
      </c>
      <c r="G45" s="72">
        <v>2018</v>
      </c>
      <c r="H45" s="140">
        <f>O37</f>
        <v>1.2820512820512819</v>
      </c>
      <c r="I45" s="95">
        <v>219.17176470588223</v>
      </c>
      <c r="J45" s="95">
        <f t="shared" si="5"/>
        <v>14.016</v>
      </c>
      <c r="K45" s="141">
        <v>30</v>
      </c>
      <c r="L45" s="141">
        <v>31.536000000000001</v>
      </c>
      <c r="M45" s="141">
        <v>0.8</v>
      </c>
      <c r="R45" s="98"/>
      <c r="S45" s="98" t="str">
        <f>"INDFBTSTM"&amp;RIGHT(Commodities!$D$341,3)&amp;"_"&amp;AA45</f>
        <v>INDFBTSTMELC_AD</v>
      </c>
      <c r="T45" s="98" t="str">
        <f>"Steam Boiler FBT Electricity"&amp;"_"&amp;$S$5&amp;"_"&amp;AA45</f>
        <v>Steam Boiler FBT Electricity_N_AD</v>
      </c>
      <c r="U45" s="98" t="s">
        <v>206</v>
      </c>
      <c r="V45" s="98" t="s">
        <v>224</v>
      </c>
      <c r="W45" s="98" t="s">
        <v>42</v>
      </c>
      <c r="X45" s="98"/>
      <c r="Y45" s="98"/>
      <c r="AA45" s="72" t="s">
        <v>276</v>
      </c>
      <c r="AG45" s="72"/>
      <c r="AH45" s="72"/>
      <c r="AI45" s="102"/>
      <c r="AJ45" s="72"/>
      <c r="AK45" s="72"/>
      <c r="AL45" s="72"/>
      <c r="AM45" s="72"/>
      <c r="AN45" s="72"/>
      <c r="AO45" s="72"/>
      <c r="AQ45" s="72"/>
      <c r="AS45" s="72"/>
      <c r="AT45" s="72"/>
    </row>
    <row r="46" spans="1:46" ht="13.8" x14ac:dyDescent="0.25">
      <c r="A46" s="72"/>
      <c r="B46" s="37" t="str">
        <f t="shared" si="3"/>
        <v>INDFBTSTMOILHFO_IM</v>
      </c>
      <c r="C46" s="37" t="str">
        <f t="shared" si="3"/>
        <v>Steam Boiler FBT HFO_N_IM</v>
      </c>
      <c r="D46" s="72" t="str">
        <f>D45</f>
        <v>INDOILHFO</v>
      </c>
      <c r="E46" s="72" t="str">
        <f>E45</f>
        <v>INDFBTSTM</v>
      </c>
      <c r="F46" s="94">
        <f t="shared" si="4"/>
        <v>2025</v>
      </c>
      <c r="G46" s="72">
        <f>G45+7</f>
        <v>2025</v>
      </c>
      <c r="H46" s="140">
        <f>H45*0.95</f>
        <v>1.2179487179487178</v>
      </c>
      <c r="I46" s="95">
        <v>312.69124055850898</v>
      </c>
      <c r="J46" s="95">
        <f t="shared" si="5"/>
        <v>14.016</v>
      </c>
      <c r="K46" s="141">
        <v>30</v>
      </c>
      <c r="L46" s="141">
        <v>31.536000000000001</v>
      </c>
      <c r="M46" s="141">
        <v>0.8</v>
      </c>
      <c r="R46" s="37"/>
      <c r="S46" s="37" t="str">
        <f>"INDFBTHPR"&amp;RIGHT(Commodities!$D$7,6)&amp;"_"&amp;AA46</f>
        <v>INDFBTHPRCOASUB_ST</v>
      </c>
      <c r="T46" s="37" t="str">
        <f>"Process Heat FBT Sub-bituminous"&amp;"_"&amp;$S$5&amp;"_"&amp;AA46</f>
        <v>Process Heat FBT Sub-bituminous_N_ST</v>
      </c>
      <c r="U46" s="37" t="s">
        <v>206</v>
      </c>
      <c r="V46" s="37" t="s">
        <v>293</v>
      </c>
      <c r="W46" s="37"/>
      <c r="X46" s="37"/>
      <c r="Y46" s="37"/>
      <c r="AA46" s="72" t="s">
        <v>274</v>
      </c>
      <c r="AG46" s="72"/>
      <c r="AH46" s="72"/>
      <c r="AI46" s="102"/>
      <c r="AJ46" s="72"/>
      <c r="AK46" s="72"/>
      <c r="AL46" s="72"/>
      <c r="AM46" s="72"/>
      <c r="AN46" s="72"/>
      <c r="AO46" s="72"/>
      <c r="AQ46" s="72"/>
      <c r="AS46" s="72"/>
      <c r="AT46" s="72"/>
    </row>
    <row r="47" spans="1:46" ht="13.8" x14ac:dyDescent="0.25">
      <c r="A47" s="72"/>
      <c r="B47" s="98" t="str">
        <f t="shared" si="3"/>
        <v>INDFBTSTMOILHFO_AD</v>
      </c>
      <c r="C47" s="98" t="str">
        <f t="shared" si="3"/>
        <v>Steam Boiler FBT HFO_N_AD</v>
      </c>
      <c r="D47" s="98" t="str">
        <f>D46</f>
        <v>INDOILHFO</v>
      </c>
      <c r="E47" s="98" t="str">
        <f>E45</f>
        <v>INDFBTSTM</v>
      </c>
      <c r="F47" s="99">
        <f t="shared" si="4"/>
        <v>2035</v>
      </c>
      <c r="G47" s="98">
        <f>G46+10</f>
        <v>2035</v>
      </c>
      <c r="H47" s="143">
        <f>H45*0.85</f>
        <v>1.0897435897435896</v>
      </c>
      <c r="I47" s="144">
        <v>401.50350045274632</v>
      </c>
      <c r="J47" s="144">
        <f t="shared" si="5"/>
        <v>14.016</v>
      </c>
      <c r="K47" s="145">
        <v>30</v>
      </c>
      <c r="L47" s="145">
        <v>31.536000000000001</v>
      </c>
      <c r="M47" s="145">
        <v>0.8</v>
      </c>
      <c r="R47" s="37"/>
      <c r="S47" s="37" t="str">
        <f>"INDFBTHPR"&amp;RIGHT(Commodities!$D$7,6)&amp;"_"&amp;AA47</f>
        <v>INDFBTHPRCOASUB_IM</v>
      </c>
      <c r="T47" s="37" t="str">
        <f>"Process Heat FBT Sub-bituminous"&amp;"_"&amp;$S$5&amp;"_"&amp;AA47</f>
        <v>Process Heat FBT Sub-bituminous_N_IM</v>
      </c>
      <c r="U47" s="37" t="s">
        <v>206</v>
      </c>
      <c r="V47" s="37" t="s">
        <v>293</v>
      </c>
      <c r="W47" s="37"/>
      <c r="X47" s="37"/>
      <c r="Y47" s="37"/>
      <c r="AA47" s="72" t="s">
        <v>275</v>
      </c>
      <c r="AG47" s="72"/>
      <c r="AH47" s="72"/>
      <c r="AI47" s="102"/>
      <c r="AJ47" s="72"/>
      <c r="AK47" s="72"/>
      <c r="AL47" s="72"/>
      <c r="AM47" s="72"/>
      <c r="AN47" s="72"/>
      <c r="AO47" s="72"/>
      <c r="AQ47" s="72"/>
      <c r="AS47" s="72"/>
      <c r="AT47" s="72"/>
    </row>
    <row r="48" spans="1:46" ht="13.8" x14ac:dyDescent="0.25">
      <c r="A48" s="72"/>
      <c r="B48" s="37" t="str">
        <f t="shared" si="3"/>
        <v>INDFBTSTMOILPCK_ST</v>
      </c>
      <c r="C48" s="37" t="str">
        <f t="shared" si="3"/>
        <v>Steam Boiler FBT PetCoke_N_ST</v>
      </c>
      <c r="D48" s="72" t="s">
        <v>160</v>
      </c>
      <c r="E48" s="72" t="s">
        <v>285</v>
      </c>
      <c r="F48" s="94">
        <f>G48</f>
        <v>2018</v>
      </c>
      <c r="G48" s="72">
        <v>2018</v>
      </c>
      <c r="H48" s="140">
        <f>O38</f>
        <v>1.4285714285714286</v>
      </c>
      <c r="I48" s="95">
        <v>585.16800000000001</v>
      </c>
      <c r="J48" s="95">
        <f>53.92656*(1/0.9)</f>
        <v>59.918400000000005</v>
      </c>
      <c r="K48" s="141">
        <v>30</v>
      </c>
      <c r="L48" s="141">
        <v>31.536000000000001</v>
      </c>
      <c r="M48" s="141">
        <v>0.8</v>
      </c>
      <c r="R48" s="37"/>
      <c r="S48" s="37" t="str">
        <f>"INDFBTHPR"&amp;RIGHT(Commodities!$D$7,6)&amp;"_"&amp;AA48</f>
        <v>INDFBTHPRCOASUB_AD</v>
      </c>
      <c r="T48" s="37" t="str">
        <f>"Process Heat FBT Sub-bituminous"&amp;"_"&amp;$S$5&amp;"_"&amp;AA48</f>
        <v>Process Heat FBT Sub-bituminous_N_AD</v>
      </c>
      <c r="U48" s="37" t="s">
        <v>206</v>
      </c>
      <c r="V48" s="37" t="s">
        <v>293</v>
      </c>
      <c r="W48" s="37"/>
      <c r="X48" s="37"/>
      <c r="Y48" s="37"/>
      <c r="AA48" s="72" t="s">
        <v>276</v>
      </c>
      <c r="AG48" s="72"/>
      <c r="AH48" s="72"/>
      <c r="AI48" s="102"/>
      <c r="AJ48" s="72"/>
      <c r="AK48" s="72"/>
      <c r="AL48" s="72"/>
      <c r="AM48" s="72"/>
      <c r="AN48" s="72"/>
      <c r="AO48" s="72"/>
      <c r="AQ48" s="72"/>
      <c r="AS48" s="72"/>
      <c r="AT48" s="72"/>
    </row>
    <row r="49" spans="1:46" ht="13.8" x14ac:dyDescent="0.25">
      <c r="A49" s="72"/>
      <c r="B49" s="37" t="str">
        <f t="shared" si="3"/>
        <v>INDFBTSTMOILPCK_IM</v>
      </c>
      <c r="C49" s="37" t="str">
        <f t="shared" si="3"/>
        <v>Steam Boiler FBT PetCoke_N_IM</v>
      </c>
      <c r="D49" s="72" t="str">
        <f>D48</f>
        <v>INDOILPCK</v>
      </c>
      <c r="E49" s="72" t="str">
        <f>E48</f>
        <v>INDFBTSTM</v>
      </c>
      <c r="F49" s="94">
        <f t="shared" si="4"/>
        <v>2025</v>
      </c>
      <c r="G49" s="72">
        <f>G48+7</f>
        <v>2025</v>
      </c>
      <c r="H49" s="140">
        <f>H48*0.95</f>
        <v>1.3571428571428572</v>
      </c>
      <c r="I49" s="95">
        <v>834.85620559148049</v>
      </c>
      <c r="J49" s="95">
        <f>53.92656*(1/0.9)</f>
        <v>59.918400000000005</v>
      </c>
      <c r="K49" s="141">
        <v>30</v>
      </c>
      <c r="L49" s="141">
        <v>31.536000000000001</v>
      </c>
      <c r="M49" s="141">
        <v>0.8</v>
      </c>
      <c r="R49" s="37"/>
      <c r="S49" s="37" t="str">
        <f>"INDFBTHPR"&amp;RIGHT(Commodities!$D$9,6)&amp;"_"&amp;AA49</f>
        <v>INDFBTHPRCOABIC_ST</v>
      </c>
      <c r="T49" s="37" t="str">
        <f>"Process Heat FBT Bituminous"&amp;"_"&amp;$S$5&amp;"_"&amp;AA49</f>
        <v>Process Heat FBT Bituminous_N_ST</v>
      </c>
      <c r="U49" s="37" t="s">
        <v>206</v>
      </c>
      <c r="V49" s="37" t="s">
        <v>293</v>
      </c>
      <c r="W49" s="37"/>
      <c r="X49" s="37"/>
      <c r="Y49" s="37"/>
      <c r="AA49" s="72" t="s">
        <v>274</v>
      </c>
      <c r="AG49" s="72"/>
      <c r="AH49" s="72"/>
      <c r="AI49" s="10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</row>
    <row r="50" spans="1:46" ht="13.8" x14ac:dyDescent="0.25">
      <c r="A50" s="72"/>
      <c r="B50" s="98" t="str">
        <f t="shared" si="3"/>
        <v>INDFBTSTMOILPCK_AD</v>
      </c>
      <c r="C50" s="98" t="str">
        <f t="shared" si="3"/>
        <v>Steam Boiler FBT PetCoke_N_AD</v>
      </c>
      <c r="D50" s="98" t="str">
        <f>D49</f>
        <v>INDOILPCK</v>
      </c>
      <c r="E50" s="98" t="str">
        <f>E48</f>
        <v>INDFBTSTM</v>
      </c>
      <c r="F50" s="99">
        <f t="shared" si="4"/>
        <v>2035</v>
      </c>
      <c r="G50" s="98">
        <f>G49+10</f>
        <v>2035</v>
      </c>
      <c r="H50" s="143">
        <f>H48*0.85</f>
        <v>1.2142857142857142</v>
      </c>
      <c r="I50" s="144">
        <v>1071.9765872589473</v>
      </c>
      <c r="J50" s="144">
        <f>53.92656*(1/0.9)</f>
        <v>59.918400000000005</v>
      </c>
      <c r="K50" s="145">
        <v>30</v>
      </c>
      <c r="L50" s="145">
        <v>31.536000000000001</v>
      </c>
      <c r="M50" s="145">
        <v>0.8</v>
      </c>
      <c r="R50" s="37"/>
      <c r="S50" s="37" t="str">
        <f>"INDFBTHPR"&amp;RIGHT(Commodities!$D$9,6)&amp;"_"&amp;AA50</f>
        <v>INDFBTHPRCOABIC_IM</v>
      </c>
      <c r="T50" s="37" t="str">
        <f>"Process Heat FBT Bituminous"&amp;"_"&amp;$S$5&amp;"_"&amp;AA50</f>
        <v>Process Heat FBT Bituminous_N_IM</v>
      </c>
      <c r="U50" s="37" t="s">
        <v>206</v>
      </c>
      <c r="V50" s="37" t="s">
        <v>293</v>
      </c>
      <c r="W50" s="37"/>
      <c r="X50" s="37"/>
      <c r="Y50" s="37"/>
      <c r="AA50" s="72" t="s">
        <v>275</v>
      </c>
      <c r="AG50" s="72"/>
      <c r="AH50" s="72"/>
      <c r="AI50" s="10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</row>
    <row r="51" spans="1:46" ht="13.8" x14ac:dyDescent="0.25">
      <c r="A51" s="72"/>
      <c r="B51" s="37" t="str">
        <f t="shared" si="3"/>
        <v>INDFBTSTMOILOTH_ST</v>
      </c>
      <c r="C51" s="37" t="str">
        <f t="shared" si="3"/>
        <v>Steam Boiler FBT Other Oil Products_N_ST</v>
      </c>
      <c r="D51" s="72" t="s">
        <v>162</v>
      </c>
      <c r="E51" s="72" t="s">
        <v>285</v>
      </c>
      <c r="F51" s="94">
        <f>G51</f>
        <v>2018</v>
      </c>
      <c r="G51" s="72">
        <v>2018</v>
      </c>
      <c r="H51" s="140">
        <f>O39</f>
        <v>1.4285714285714286</v>
      </c>
      <c r="I51" s="95">
        <v>219.17176470588223</v>
      </c>
      <c r="J51" s="95">
        <f t="shared" ref="J51:J56" si="6">12.6144*(1/0.9)</f>
        <v>14.016</v>
      </c>
      <c r="K51" s="141">
        <v>30</v>
      </c>
      <c r="L51" s="141">
        <v>31.536000000000001</v>
      </c>
      <c r="M51" s="141">
        <v>0.8</v>
      </c>
      <c r="R51" s="37"/>
      <c r="S51" s="37" t="str">
        <f>"INDFBTHPR"&amp;RIGHT(Commodities!$D$9,6)&amp;"_"&amp;AA51</f>
        <v>INDFBTHPRCOABIC_AD</v>
      </c>
      <c r="T51" s="37" t="str">
        <f>"Process Heat FBT Bituminous"&amp;"_"&amp;$S$5&amp;"_"&amp;AA51</f>
        <v>Process Heat FBT Bituminous_N_AD</v>
      </c>
      <c r="U51" s="37" t="s">
        <v>206</v>
      </c>
      <c r="V51" s="37" t="s">
        <v>293</v>
      </c>
      <c r="W51" s="37"/>
      <c r="X51" s="37"/>
      <c r="Y51" s="37"/>
      <c r="AA51" s="72" t="s">
        <v>276</v>
      </c>
      <c r="AG51" s="72"/>
      <c r="AH51" s="72"/>
      <c r="AI51" s="10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</row>
    <row r="52" spans="1:46" ht="13.8" x14ac:dyDescent="0.25">
      <c r="A52" s="72"/>
      <c r="B52" s="37" t="str">
        <f t="shared" si="3"/>
        <v>INDFBTSTMOILOTH_IM</v>
      </c>
      <c r="C52" s="37" t="str">
        <f t="shared" si="3"/>
        <v>Steam Boiler FBT Other Oil Products_N_IM</v>
      </c>
      <c r="D52" s="72" t="str">
        <f>D51</f>
        <v>INDOILOTH</v>
      </c>
      <c r="E52" s="72" t="str">
        <f>E51</f>
        <v>INDFBTSTM</v>
      </c>
      <c r="F52" s="94">
        <f t="shared" si="4"/>
        <v>2025</v>
      </c>
      <c r="G52" s="72">
        <f>G51+7</f>
        <v>2025</v>
      </c>
      <c r="H52" s="140">
        <f>H51*0.95</f>
        <v>1.3571428571428572</v>
      </c>
      <c r="I52" s="95">
        <v>312.69124055850898</v>
      </c>
      <c r="J52" s="95">
        <f t="shared" si="6"/>
        <v>14.016</v>
      </c>
      <c r="K52" s="141">
        <v>30</v>
      </c>
      <c r="L52" s="141">
        <v>31.536000000000001</v>
      </c>
      <c r="M52" s="141">
        <v>0.8</v>
      </c>
      <c r="R52" s="37"/>
      <c r="S52" s="37" t="str">
        <f>"INDFBTHPR"&amp;RIGHT(Commodities!$D$10,6)&amp;"_"&amp;AA52</f>
        <v>INDFBTHPRCOABCO_ST</v>
      </c>
      <c r="T52" s="37" t="str">
        <f>"Process Heat FBT Lignite"&amp;"_"&amp;$S$5&amp;"_"&amp;AA52</f>
        <v>Process Heat FBT Lignite_N_ST</v>
      </c>
      <c r="U52" s="37" t="s">
        <v>206</v>
      </c>
      <c r="V52" s="37" t="s">
        <v>293</v>
      </c>
      <c r="W52" s="37"/>
      <c r="X52" s="37"/>
      <c r="Y52" s="37"/>
      <c r="AA52" s="72" t="s">
        <v>274</v>
      </c>
      <c r="AG52" s="72"/>
      <c r="AH52" s="72"/>
      <c r="AI52" s="102"/>
      <c r="AJ52" s="72"/>
      <c r="AK52" s="72"/>
      <c r="AL52" s="72"/>
      <c r="AM52" s="72"/>
      <c r="AN52" s="72"/>
      <c r="AO52" s="72"/>
      <c r="AQ52" s="72"/>
      <c r="AS52" s="72"/>
      <c r="AT52" s="72"/>
    </row>
    <row r="53" spans="1:46" ht="13.8" x14ac:dyDescent="0.25">
      <c r="A53" s="72"/>
      <c r="B53" s="98" t="str">
        <f t="shared" si="3"/>
        <v>INDFBTSTMOILOTH_AD</v>
      </c>
      <c r="C53" s="98" t="str">
        <f t="shared" si="3"/>
        <v>Steam Boiler FBT Other Oil Products_N_AD</v>
      </c>
      <c r="D53" s="98" t="str">
        <f>D52</f>
        <v>INDOILOTH</v>
      </c>
      <c r="E53" s="98" t="str">
        <f>E51</f>
        <v>INDFBTSTM</v>
      </c>
      <c r="F53" s="99">
        <f t="shared" si="4"/>
        <v>2035</v>
      </c>
      <c r="G53" s="98">
        <f>G52+10</f>
        <v>2035</v>
      </c>
      <c r="H53" s="143">
        <f>H51*0.85</f>
        <v>1.2142857142857142</v>
      </c>
      <c r="I53" s="144">
        <v>401.50350045274632</v>
      </c>
      <c r="J53" s="144">
        <f t="shared" si="6"/>
        <v>14.016</v>
      </c>
      <c r="K53" s="145">
        <v>30</v>
      </c>
      <c r="L53" s="145">
        <v>31.536000000000001</v>
      </c>
      <c r="M53" s="145">
        <v>0.8</v>
      </c>
      <c r="R53" s="37"/>
      <c r="S53" s="37" t="str">
        <f>"INDFBTHPR"&amp;RIGHT(Commodities!$D$10,6)&amp;"_"&amp;AA53</f>
        <v>INDFBTHPRCOABCO_IM</v>
      </c>
      <c r="T53" s="37" t="str">
        <f>"Process Heat FBT Lignite"&amp;"_"&amp;$S$5&amp;"_"&amp;AA53</f>
        <v>Process Heat FBT Lignite_N_IM</v>
      </c>
      <c r="U53" s="37" t="s">
        <v>206</v>
      </c>
      <c r="V53" s="37" t="s">
        <v>293</v>
      </c>
      <c r="W53" s="37"/>
      <c r="X53" s="37"/>
      <c r="Y53" s="37"/>
      <c r="AA53" s="72" t="s">
        <v>275</v>
      </c>
      <c r="AG53" s="72"/>
      <c r="AH53" s="72"/>
      <c r="AI53" s="102"/>
      <c r="AJ53" s="72"/>
      <c r="AK53" s="72"/>
      <c r="AL53" s="72"/>
      <c r="AM53" s="72"/>
      <c r="AN53" s="72"/>
      <c r="AO53" s="72"/>
      <c r="AQ53" s="72"/>
      <c r="AS53" s="72"/>
      <c r="AT53" s="72"/>
    </row>
    <row r="54" spans="1:46" ht="13.8" x14ac:dyDescent="0.25">
      <c r="A54" s="72"/>
      <c r="B54" s="37" t="str">
        <f t="shared" si="3"/>
        <v>INDFBTSTMGASNAT_ST</v>
      </c>
      <c r="C54" s="37" t="str">
        <f t="shared" si="3"/>
        <v>Steam Boiler FBT N. Gas_N_ST</v>
      </c>
      <c r="D54" s="72" t="s">
        <v>164</v>
      </c>
      <c r="E54" s="72" t="s">
        <v>285</v>
      </c>
      <c r="F54" s="94">
        <f>G54</f>
        <v>2018</v>
      </c>
      <c r="G54" s="72">
        <v>2018</v>
      </c>
      <c r="H54" s="140">
        <f>O40</f>
        <v>1.25</v>
      </c>
      <c r="I54" s="95">
        <f>148.816941176471*1.5</f>
        <v>223.22541176470651</v>
      </c>
      <c r="J54" s="95">
        <f t="shared" si="6"/>
        <v>14.016</v>
      </c>
      <c r="K54" s="141">
        <v>30</v>
      </c>
      <c r="L54" s="141">
        <v>31.536000000000001</v>
      </c>
      <c r="M54" s="141">
        <v>0.8</v>
      </c>
      <c r="R54" s="37"/>
      <c r="S54" s="37" t="str">
        <f>"INDFBTHPR"&amp;RIGHT(Commodities!$D$10,6)&amp;"_"&amp;AA54</f>
        <v>INDFBTHPRCOABCO_AD</v>
      </c>
      <c r="T54" s="37" t="str">
        <f>"Process Heat FBT Lignite"&amp;"_"&amp;$S$5&amp;"_"&amp;AA54</f>
        <v>Process Heat FBT Lignite_N_AD</v>
      </c>
      <c r="U54" s="37" t="s">
        <v>206</v>
      </c>
      <c r="V54" s="37" t="s">
        <v>293</v>
      </c>
      <c r="W54" s="37"/>
      <c r="X54" s="37"/>
      <c r="Y54" s="37"/>
      <c r="AA54" s="72" t="s">
        <v>276</v>
      </c>
      <c r="AG54" s="72"/>
      <c r="AH54" s="72"/>
      <c r="AI54" s="102"/>
      <c r="AJ54" s="72"/>
      <c r="AK54" s="72"/>
      <c r="AL54" s="72"/>
      <c r="AM54" s="72"/>
      <c r="AN54" s="72"/>
      <c r="AO54" s="72"/>
      <c r="AQ54" s="72"/>
      <c r="AS54" s="72"/>
      <c r="AT54" s="72"/>
    </row>
    <row r="55" spans="1:46" ht="13.8" x14ac:dyDescent="0.25">
      <c r="A55" s="72"/>
      <c r="B55" s="37" t="str">
        <f t="shared" si="3"/>
        <v>INDFBTSTMGASNAT_IM</v>
      </c>
      <c r="C55" s="37" t="str">
        <f t="shared" si="3"/>
        <v>Steam Boiler FBT N. Gas_N_IM</v>
      </c>
      <c r="D55" s="72" t="str">
        <f>D54</f>
        <v>INDGASNAT</v>
      </c>
      <c r="E55" s="72" t="str">
        <f>E54</f>
        <v>INDFBTSTM</v>
      </c>
      <c r="F55" s="94">
        <f t="shared" si="4"/>
        <v>2025</v>
      </c>
      <c r="G55" s="72">
        <f>G54+7</f>
        <v>2025</v>
      </c>
      <c r="H55" s="140">
        <f>H54*0.95</f>
        <v>1.1875</v>
      </c>
      <c r="I55" s="95">
        <f>212.316372115904*1.5</f>
        <v>318.474558173856</v>
      </c>
      <c r="J55" s="95">
        <f t="shared" si="6"/>
        <v>14.016</v>
      </c>
      <c r="K55" s="141">
        <v>30</v>
      </c>
      <c r="L55" s="141">
        <v>31.536000000000001</v>
      </c>
      <c r="M55" s="141">
        <v>0.8</v>
      </c>
      <c r="R55" s="37"/>
      <c r="S55" s="37" t="str">
        <f>"INDFBTHPR"&amp;RIGHT(Commodities!$D$18,6)&amp;"_"&amp;AA55</f>
        <v>INDFBTHPROILDSL_ST</v>
      </c>
      <c r="T55" s="37" t="str">
        <f>"Process Heat FBT Diesel"&amp;"_"&amp;$S$5&amp;"_"&amp;AA55</f>
        <v>Process Heat FBT Diesel_N_ST</v>
      </c>
      <c r="U55" s="37" t="s">
        <v>206</v>
      </c>
      <c r="V55" s="37" t="s">
        <v>293</v>
      </c>
      <c r="W55" s="37"/>
      <c r="X55" s="37"/>
      <c r="Y55" s="37"/>
      <c r="AA55" s="72" t="s">
        <v>274</v>
      </c>
      <c r="AG55" s="72"/>
      <c r="AH55" s="72"/>
      <c r="AI55" s="102"/>
      <c r="AJ55" s="72"/>
      <c r="AK55" s="72"/>
      <c r="AL55" s="72"/>
      <c r="AM55" s="72"/>
      <c r="AN55" s="72"/>
      <c r="AO55" s="72"/>
      <c r="AQ55" s="72"/>
      <c r="AS55" s="72"/>
      <c r="AT55" s="72"/>
    </row>
    <row r="56" spans="1:46" ht="13.8" x14ac:dyDescent="0.25">
      <c r="A56" s="72"/>
      <c r="B56" s="98" t="str">
        <f t="shared" si="3"/>
        <v>INDFBTSTMGASNAT_AD</v>
      </c>
      <c r="C56" s="98" t="str">
        <f t="shared" si="3"/>
        <v>Steam Boiler FBT N. Gas_N_AD</v>
      </c>
      <c r="D56" s="98" t="str">
        <f>D55</f>
        <v>INDGASNAT</v>
      </c>
      <c r="E56" s="98" t="str">
        <f>E54</f>
        <v>INDFBTSTM</v>
      </c>
      <c r="F56" s="99">
        <f t="shared" si="4"/>
        <v>2035</v>
      </c>
      <c r="G56" s="98">
        <f>G55+10</f>
        <v>2035</v>
      </c>
      <c r="H56" s="143">
        <f>H54*0.85</f>
        <v>1.0625</v>
      </c>
      <c r="I56" s="144">
        <f>272.619618175753*1.75</f>
        <v>477.08433180756771</v>
      </c>
      <c r="J56" s="144">
        <f t="shared" si="6"/>
        <v>14.016</v>
      </c>
      <c r="K56" s="145">
        <v>30</v>
      </c>
      <c r="L56" s="145">
        <v>31.536000000000001</v>
      </c>
      <c r="M56" s="145">
        <v>0.8</v>
      </c>
      <c r="R56" s="37"/>
      <c r="S56" s="37" t="str">
        <f>"INDFBTHPR"&amp;RIGHT(Commodities!$D$18,6)&amp;"_"&amp;AA56</f>
        <v>INDFBTHPROILDSL_IM</v>
      </c>
      <c r="T56" s="37" t="str">
        <f>"Process Heat FBT Diesel"&amp;"_"&amp;$S$5&amp;"_"&amp;AA56</f>
        <v>Process Heat FBT Diesel_N_IM</v>
      </c>
      <c r="U56" s="37" t="s">
        <v>206</v>
      </c>
      <c r="V56" s="37" t="s">
        <v>293</v>
      </c>
      <c r="W56" s="37"/>
      <c r="X56" s="37"/>
      <c r="Y56" s="37"/>
      <c r="AA56" s="72" t="s">
        <v>275</v>
      </c>
      <c r="AG56" s="72"/>
      <c r="AH56" s="72"/>
      <c r="AI56" s="102"/>
      <c r="AJ56" s="72"/>
      <c r="AK56" s="72"/>
      <c r="AL56" s="72"/>
      <c r="AM56" s="72"/>
      <c r="AN56" s="72"/>
      <c r="AO56" s="72"/>
      <c r="AQ56" s="72"/>
      <c r="AS56" s="72"/>
      <c r="AT56" s="72"/>
    </row>
    <row r="57" spans="1:46" ht="13.8" x14ac:dyDescent="0.25">
      <c r="A57" s="72"/>
      <c r="B57" s="37" t="str">
        <f t="shared" si="3"/>
        <v>INDFBTSTMBIOLOG_ST</v>
      </c>
      <c r="C57" s="37" t="str">
        <f t="shared" si="3"/>
        <v>Steam Boiler FBT Biomass_N_ST</v>
      </c>
      <c r="D57" s="72" t="s">
        <v>168</v>
      </c>
      <c r="E57" s="72" t="s">
        <v>285</v>
      </c>
      <c r="F57" s="94">
        <f>G57</f>
        <v>2018</v>
      </c>
      <c r="G57" s="72">
        <v>2018</v>
      </c>
      <c r="H57" s="140">
        <f>O41</f>
        <v>1.4285714285714286</v>
      </c>
      <c r="I57" s="95">
        <v>702.2016000000001</v>
      </c>
      <c r="J57" s="95">
        <f>53.92656*(1/0.9)</f>
        <v>59.918400000000005</v>
      </c>
      <c r="K57" s="141">
        <v>30</v>
      </c>
      <c r="L57" s="141">
        <v>31.536000000000001</v>
      </c>
      <c r="M57" s="141">
        <v>0.8</v>
      </c>
      <c r="R57" s="37"/>
      <c r="S57" s="37" t="str">
        <f>"INDFBTHPR"&amp;RIGHT(Commodities!$D$18,6)&amp;"_"&amp;AA57</f>
        <v>INDFBTHPROILDSL_AD</v>
      </c>
      <c r="T57" s="37" t="str">
        <f>"Process Heat FBT Diesel"&amp;"_"&amp;$S$5&amp;"_"&amp;AA57</f>
        <v>Process Heat FBT Diesel_N_AD</v>
      </c>
      <c r="U57" s="37" t="s">
        <v>206</v>
      </c>
      <c r="V57" s="37" t="s">
        <v>293</v>
      </c>
      <c r="W57" s="37"/>
      <c r="X57" s="37"/>
      <c r="Y57" s="37"/>
      <c r="AA57" s="72" t="s">
        <v>276</v>
      </c>
      <c r="AG57" s="72"/>
      <c r="AH57" s="72"/>
      <c r="AI57" s="102"/>
      <c r="AJ57" s="72"/>
      <c r="AK57" s="72"/>
      <c r="AL57" s="72"/>
      <c r="AM57" s="72"/>
      <c r="AN57" s="72"/>
      <c r="AO57" s="72"/>
      <c r="AQ57" s="72"/>
      <c r="AS57" s="72"/>
      <c r="AT57" s="72"/>
    </row>
    <row r="58" spans="1:46" ht="13.8" x14ac:dyDescent="0.25">
      <c r="A58" s="72"/>
      <c r="B58" s="37" t="str">
        <f t="shared" si="3"/>
        <v>INDFBTSTMBIOLOG_IM</v>
      </c>
      <c r="C58" s="37" t="str">
        <f t="shared" si="3"/>
        <v>Steam Boiler FBT Biomass_N_IM</v>
      </c>
      <c r="D58" s="72" t="str">
        <f>D57</f>
        <v>INDBIOLOG</v>
      </c>
      <c r="E58" s="72" t="str">
        <f>E57</f>
        <v>INDFBTSTM</v>
      </c>
      <c r="F58" s="94">
        <f t="shared" si="4"/>
        <v>2025</v>
      </c>
      <c r="G58" s="72">
        <f>G57+7</f>
        <v>2025</v>
      </c>
      <c r="H58" s="140">
        <f>H57*0.95</f>
        <v>1.3571428571428572</v>
      </c>
      <c r="I58" s="95">
        <v>1286.3719047107372</v>
      </c>
      <c r="J58" s="95">
        <f>53.92656*(1/0.9)</f>
        <v>59.918400000000005</v>
      </c>
      <c r="K58" s="141">
        <v>30</v>
      </c>
      <c r="L58" s="141">
        <v>31.536000000000001</v>
      </c>
      <c r="M58" s="141">
        <v>0.8</v>
      </c>
      <c r="R58" s="37"/>
      <c r="S58" s="37" t="str">
        <f>"INDFBTHPR"&amp;RIGHT(Commodities!$D$22,6)&amp;"_"&amp;AA58</f>
        <v>INDFBTHPROILHFO_ST</v>
      </c>
      <c r="T58" s="37" t="str">
        <f>"Process Heat FBT HFO"&amp;"_"&amp;$S$5&amp;"_"&amp;AA58</f>
        <v>Process Heat FBT HFO_N_ST</v>
      </c>
      <c r="U58" s="37" t="s">
        <v>206</v>
      </c>
      <c r="V58" s="37" t="s">
        <v>293</v>
      </c>
      <c r="W58" s="37"/>
      <c r="X58" s="37"/>
      <c r="Y58" s="37"/>
      <c r="AA58" s="72" t="s">
        <v>274</v>
      </c>
      <c r="AG58" s="72"/>
      <c r="AH58" s="72"/>
      <c r="AI58" s="102"/>
      <c r="AJ58" s="72"/>
      <c r="AK58" s="72"/>
      <c r="AL58" s="72"/>
      <c r="AM58" s="72"/>
      <c r="AN58" s="102"/>
      <c r="AO58" s="102"/>
      <c r="AP58" s="72"/>
      <c r="AQ58" s="72"/>
      <c r="AR58" s="72"/>
      <c r="AS58" s="72"/>
      <c r="AT58" s="72"/>
    </row>
    <row r="59" spans="1:46" ht="13.8" x14ac:dyDescent="0.25">
      <c r="A59" s="72"/>
      <c r="B59" s="98" t="str">
        <f t="shared" si="3"/>
        <v>INDFBTSTMBIOLOG_AD</v>
      </c>
      <c r="C59" s="98" t="str">
        <f t="shared" si="3"/>
        <v>Steam Boiler FBT Biomass_N_AD</v>
      </c>
      <c r="D59" s="98" t="str">
        <f>D58</f>
        <v>INDBIOLOG</v>
      </c>
      <c r="E59" s="98" t="str">
        <f>E57</f>
        <v>INDFBTSTM</v>
      </c>
      <c r="F59" s="99">
        <f t="shared" si="4"/>
        <v>2035</v>
      </c>
      <c r="G59" s="98">
        <f>G58+10</f>
        <v>2035</v>
      </c>
      <c r="H59" s="143">
        <f>H57*0.85</f>
        <v>1.2142857142857142</v>
      </c>
      <c r="I59" s="144">
        <v>2120.8687213276303</v>
      </c>
      <c r="J59" s="144">
        <f>53.92656*(1/0.9)</f>
        <v>59.918400000000005</v>
      </c>
      <c r="K59" s="145">
        <v>30</v>
      </c>
      <c r="L59" s="145">
        <v>31.536000000000001</v>
      </c>
      <c r="M59" s="145">
        <v>0.8</v>
      </c>
      <c r="R59" s="37"/>
      <c r="S59" s="37" t="str">
        <f>"INDFBTHPR"&amp;RIGHT(Commodities!$D$22,6)&amp;"_"&amp;AA59</f>
        <v>INDFBTHPROILHFO_IM</v>
      </c>
      <c r="T59" s="37" t="str">
        <f>"Process Heat FBT HFO"&amp;"_"&amp;$S$5&amp;"_"&amp;AA59</f>
        <v>Process Heat FBT HFO_N_IM</v>
      </c>
      <c r="U59" s="37" t="s">
        <v>206</v>
      </c>
      <c r="V59" s="37" t="s">
        <v>293</v>
      </c>
      <c r="W59" s="37"/>
      <c r="X59" s="37"/>
      <c r="Y59" s="37"/>
      <c r="AA59" s="72" t="s">
        <v>275</v>
      </c>
      <c r="AG59" s="72"/>
      <c r="AH59" s="72"/>
      <c r="AI59" s="102"/>
      <c r="AJ59" s="72"/>
      <c r="AK59" s="72"/>
      <c r="AL59" s="72"/>
      <c r="AM59" s="72"/>
      <c r="AN59" s="102"/>
      <c r="AO59" s="102"/>
      <c r="AP59" s="72"/>
      <c r="AQ59" s="72"/>
      <c r="AR59" s="72"/>
      <c r="AS59" s="72"/>
      <c r="AT59" s="72"/>
    </row>
    <row r="60" spans="1:46" ht="13.8" x14ac:dyDescent="0.25">
      <c r="A60" s="72"/>
      <c r="B60" s="37" t="str">
        <f t="shared" si="3"/>
        <v>INDFBTSTMHTH_ST</v>
      </c>
      <c r="C60" s="37" t="str">
        <f t="shared" si="3"/>
        <v>Steam Boiler FBT Heat_N_ST</v>
      </c>
      <c r="D60" s="72" t="s">
        <v>1015</v>
      </c>
      <c r="E60" s="72" t="s">
        <v>285</v>
      </c>
      <c r="F60" s="94">
        <f>G60</f>
        <v>2018</v>
      </c>
      <c r="G60" s="72">
        <v>2018</v>
      </c>
      <c r="H60" s="140">
        <f>O42</f>
        <v>1.2</v>
      </c>
      <c r="I60" s="95">
        <v>148.81694117647112</v>
      </c>
      <c r="J60" s="95">
        <f t="shared" ref="J60:J65" si="7">12.6144*(1/0.9)</f>
        <v>14.016</v>
      </c>
      <c r="K60" s="141">
        <v>30</v>
      </c>
      <c r="L60" s="141">
        <v>31.536000000000001</v>
      </c>
      <c r="M60" s="141">
        <v>0.8</v>
      </c>
      <c r="R60" s="37"/>
      <c r="S60" s="37" t="str">
        <f>"INDFBTHPR"&amp;RIGHT(Commodities!$D$22,6)&amp;"_"&amp;AA60</f>
        <v>INDFBTHPROILHFO_AD</v>
      </c>
      <c r="T60" s="37" t="str">
        <f>"Process Heat FBT HFO"&amp;"_"&amp;$S$5&amp;"_"&amp;AA60</f>
        <v>Process Heat FBT HFO_N_AD</v>
      </c>
      <c r="U60" s="37" t="s">
        <v>206</v>
      </c>
      <c r="V60" s="37" t="s">
        <v>293</v>
      </c>
      <c r="W60" s="37"/>
      <c r="X60" s="37"/>
      <c r="Y60" s="37"/>
      <c r="AA60" s="72" t="s">
        <v>276</v>
      </c>
      <c r="AG60" s="72"/>
      <c r="AH60" s="72"/>
      <c r="AI60" s="102"/>
      <c r="AJ60" s="72"/>
      <c r="AK60" s="72"/>
      <c r="AL60" s="72"/>
      <c r="AM60" s="72"/>
      <c r="AN60" s="102"/>
      <c r="AO60" s="102"/>
      <c r="AP60" s="72"/>
      <c r="AQ60" s="72"/>
      <c r="AR60" s="72"/>
      <c r="AS60" s="72"/>
      <c r="AT60" s="72"/>
    </row>
    <row r="61" spans="1:46" ht="13.8" x14ac:dyDescent="0.25">
      <c r="A61" s="72"/>
      <c r="B61" s="37" t="str">
        <f t="shared" si="3"/>
        <v>INDFBTSTMHTH_IM</v>
      </c>
      <c r="C61" s="37" t="str">
        <f t="shared" si="3"/>
        <v>Steam Boiler FBT Heat_N_IM</v>
      </c>
      <c r="D61" s="72" t="str">
        <f>D60</f>
        <v>INDFBTHTH</v>
      </c>
      <c r="E61" s="72" t="str">
        <f>E60</f>
        <v>INDFBTSTM</v>
      </c>
      <c r="F61" s="94">
        <f t="shared" si="4"/>
        <v>2025</v>
      </c>
      <c r="G61" s="72">
        <f>G60+7</f>
        <v>2025</v>
      </c>
      <c r="H61" s="140">
        <f>H60*0.95</f>
        <v>1.1399999999999999</v>
      </c>
      <c r="I61" s="95">
        <v>212.31637211590385</v>
      </c>
      <c r="J61" s="95">
        <f t="shared" si="7"/>
        <v>14.016</v>
      </c>
      <c r="K61" s="141">
        <v>30</v>
      </c>
      <c r="L61" s="141">
        <v>31.536000000000001</v>
      </c>
      <c r="M61" s="141">
        <v>0.8</v>
      </c>
      <c r="R61" s="37"/>
      <c r="S61" s="37" t="str">
        <f>"INDFBTHPR"&amp;RIGHT(Commodities!$D$27,6)&amp;"_"&amp;AA61</f>
        <v>INDFBTHPROILPCK_ST</v>
      </c>
      <c r="T61" s="37" t="str">
        <f>"Process Heat FBT PetCoke"&amp;"_"&amp;$S$5&amp;"_"&amp;AA61</f>
        <v>Process Heat FBT PetCoke_N_ST</v>
      </c>
      <c r="U61" s="37" t="s">
        <v>206</v>
      </c>
      <c r="V61" s="37" t="s">
        <v>293</v>
      </c>
      <c r="W61" s="37"/>
      <c r="X61" s="37"/>
      <c r="Y61" s="37"/>
      <c r="AA61" s="72" t="s">
        <v>274</v>
      </c>
      <c r="AG61" s="72"/>
      <c r="AH61" s="72"/>
      <c r="AI61" s="102"/>
      <c r="AJ61" s="72"/>
      <c r="AK61" s="72"/>
      <c r="AL61" s="72"/>
      <c r="AM61" s="72"/>
      <c r="AN61" s="102"/>
      <c r="AO61" s="102"/>
      <c r="AQ61" s="72"/>
      <c r="AR61" s="72"/>
      <c r="AS61" s="72"/>
      <c r="AT61" s="72"/>
    </row>
    <row r="62" spans="1:46" ht="13.8" x14ac:dyDescent="0.25">
      <c r="A62" s="72"/>
      <c r="B62" s="98" t="str">
        <f>S39</f>
        <v>INDFBTSTMHTH_AD</v>
      </c>
      <c r="C62" s="98" t="str">
        <f t="shared" si="3"/>
        <v>Steam Boiler FBT Heat_N_AD</v>
      </c>
      <c r="D62" s="98" t="str">
        <f>D61</f>
        <v>INDFBTHTH</v>
      </c>
      <c r="E62" s="98" t="str">
        <f>E60</f>
        <v>INDFBTSTM</v>
      </c>
      <c r="F62" s="99">
        <f t="shared" si="4"/>
        <v>2035</v>
      </c>
      <c r="G62" s="98">
        <f>G61+10</f>
        <v>2035</v>
      </c>
      <c r="H62" s="143">
        <f>H60*0.85</f>
        <v>1.02</v>
      </c>
      <c r="I62" s="144">
        <v>272.61961817575303</v>
      </c>
      <c r="J62" s="144">
        <f t="shared" si="7"/>
        <v>14.016</v>
      </c>
      <c r="K62" s="145">
        <v>30</v>
      </c>
      <c r="L62" s="145">
        <v>31.536000000000001</v>
      </c>
      <c r="M62" s="145">
        <v>0.8</v>
      </c>
      <c r="R62" s="37"/>
      <c r="S62" s="37" t="str">
        <f>"INDFBTHPR"&amp;RIGHT(Commodities!$D$27,6)&amp;"_"&amp;AA62</f>
        <v>INDFBTHPROILPCK_IM</v>
      </c>
      <c r="T62" s="37" t="str">
        <f>"Process Heat FBT PetCoke"&amp;"_"&amp;$S$5&amp;"_"&amp;AA62</f>
        <v>Process Heat FBT PetCoke_N_IM</v>
      </c>
      <c r="U62" s="37" t="s">
        <v>206</v>
      </c>
      <c r="V62" s="37" t="s">
        <v>293</v>
      </c>
      <c r="W62" s="37"/>
      <c r="X62" s="37"/>
      <c r="Y62" s="37"/>
      <c r="AA62" s="72" t="s">
        <v>275</v>
      </c>
      <c r="AG62" s="72"/>
      <c r="AH62" s="72"/>
      <c r="AI62" s="102"/>
      <c r="AJ62" s="72"/>
      <c r="AK62" s="72"/>
      <c r="AL62" s="72"/>
      <c r="AM62" s="72"/>
      <c r="AN62" s="102"/>
      <c r="AO62" s="102"/>
      <c r="AQ62" s="72"/>
      <c r="AR62" s="72"/>
      <c r="AS62" s="72"/>
      <c r="AT62" s="72"/>
    </row>
    <row r="63" spans="1:46" ht="13.8" x14ac:dyDescent="0.25">
      <c r="A63" s="72"/>
      <c r="B63" s="37" t="str">
        <f t="shared" ref="B63:B64" si="8">S40</f>
        <v>INDFBTSTMBIOBGS_ST</v>
      </c>
      <c r="C63" s="37" t="str">
        <f t="shared" ref="C63:C64" si="9">T40</f>
        <v>Steam Boiler FBT Biogas_N_ST</v>
      </c>
      <c r="D63" s="72" t="str">
        <f>Commodities!$D$145</f>
        <v>INDBIOBGS</v>
      </c>
      <c r="E63" s="72" t="s">
        <v>285</v>
      </c>
      <c r="F63" s="94">
        <f>G63</f>
        <v>2018</v>
      </c>
      <c r="G63" s="72">
        <v>2018</v>
      </c>
      <c r="H63" s="140">
        <f>H54</f>
        <v>1.25</v>
      </c>
      <c r="I63" s="95">
        <v>148.81694117647112</v>
      </c>
      <c r="J63" s="95">
        <f t="shared" si="7"/>
        <v>14.016</v>
      </c>
      <c r="K63" s="141">
        <v>30</v>
      </c>
      <c r="L63" s="141">
        <v>31.536000000000001</v>
      </c>
      <c r="M63" s="141">
        <v>0.8</v>
      </c>
      <c r="R63" s="37"/>
      <c r="S63" s="37" t="str">
        <f>"INDFBTHPR"&amp;RIGHT(Commodities!$D$27,6)&amp;"_"&amp;AA63</f>
        <v>INDFBTHPROILPCK_AD</v>
      </c>
      <c r="T63" s="37" t="str">
        <f>"Process Heat FBT PetCoke"&amp;"_"&amp;$S$5&amp;"_"&amp;AA63</f>
        <v>Process Heat FBT PetCoke_N_AD</v>
      </c>
      <c r="U63" s="37" t="s">
        <v>206</v>
      </c>
      <c r="V63" s="37" t="s">
        <v>293</v>
      </c>
      <c r="W63" s="37"/>
      <c r="X63" s="37"/>
      <c r="Y63" s="37"/>
      <c r="AA63" s="72" t="s">
        <v>276</v>
      </c>
      <c r="AG63" s="72"/>
      <c r="AH63" s="72"/>
      <c r="AI63" s="102"/>
      <c r="AJ63" s="72"/>
      <c r="AK63" s="72"/>
      <c r="AL63" s="72"/>
      <c r="AM63" s="72"/>
      <c r="AN63" s="102"/>
      <c r="AO63" s="102"/>
      <c r="AQ63" s="72"/>
      <c r="AR63" s="72"/>
      <c r="AS63" s="72"/>
      <c r="AT63" s="72"/>
    </row>
    <row r="64" spans="1:46" ht="13.8" x14ac:dyDescent="0.25">
      <c r="A64" s="72"/>
      <c r="B64" s="37" t="str">
        <f t="shared" si="8"/>
        <v>INDFBTSTMBIOBGS_IM</v>
      </c>
      <c r="C64" s="37" t="str">
        <f t="shared" si="9"/>
        <v>Steam Boiler FBT Biogas_N_IM</v>
      </c>
      <c r="D64" s="72" t="str">
        <f>D63</f>
        <v>INDBIOBGS</v>
      </c>
      <c r="E64" s="72" t="str">
        <f>E63</f>
        <v>INDFBTSTM</v>
      </c>
      <c r="F64" s="94">
        <f t="shared" ref="F64:F65" si="10">G64</f>
        <v>2025</v>
      </c>
      <c r="G64" s="72">
        <f>G63+7</f>
        <v>2025</v>
      </c>
      <c r="H64" s="140">
        <f>H55</f>
        <v>1.1875</v>
      </c>
      <c r="I64" s="95">
        <v>212.31637211590385</v>
      </c>
      <c r="J64" s="95">
        <f t="shared" si="7"/>
        <v>14.016</v>
      </c>
      <c r="K64" s="141">
        <v>30</v>
      </c>
      <c r="L64" s="141">
        <v>31.536000000000001</v>
      </c>
      <c r="M64" s="141">
        <v>0.8</v>
      </c>
      <c r="R64" s="37"/>
      <c r="S64" s="37" t="str">
        <f>"INDFBTHPR"&amp;RIGHT(Commodities!$D$30,6)&amp;"_"&amp;AA64</f>
        <v>INDFBTHPROILOTH_ST</v>
      </c>
      <c r="T64" s="37" t="str">
        <f>"Process Heat FBT Other Oil Products"&amp;"_"&amp;$S$5&amp;"_"&amp;AA64</f>
        <v>Process Heat FBT Other Oil Products_N_ST</v>
      </c>
      <c r="U64" s="37" t="s">
        <v>206</v>
      </c>
      <c r="V64" s="37" t="s">
        <v>293</v>
      </c>
      <c r="W64" s="37"/>
      <c r="X64" s="37"/>
      <c r="Y64" s="37"/>
      <c r="AA64" s="72" t="s">
        <v>274</v>
      </c>
      <c r="AG64" s="72"/>
      <c r="AH64" s="72"/>
      <c r="AI64" s="102"/>
      <c r="AJ64" s="72"/>
      <c r="AK64" s="72"/>
      <c r="AL64" s="72"/>
      <c r="AM64" s="72"/>
      <c r="AN64" s="102"/>
      <c r="AO64" s="102"/>
      <c r="AQ64" s="72"/>
      <c r="AR64" s="72"/>
    </row>
    <row r="65" spans="1:44" ht="13.8" x14ac:dyDescent="0.25">
      <c r="A65" s="72"/>
      <c r="B65" s="98" t="str">
        <f>S42</f>
        <v>INDFBTSTMBIOBGS_AD</v>
      </c>
      <c r="C65" s="98" t="str">
        <f>T42</f>
        <v>Steam Boiler FBT Biogas_N_AD</v>
      </c>
      <c r="D65" s="98" t="str">
        <f>D64</f>
        <v>INDBIOBGS</v>
      </c>
      <c r="E65" s="98" t="str">
        <f>E63</f>
        <v>INDFBTSTM</v>
      </c>
      <c r="F65" s="99">
        <f t="shared" si="10"/>
        <v>2035</v>
      </c>
      <c r="G65" s="98">
        <f>G64+10</f>
        <v>2035</v>
      </c>
      <c r="H65" s="146">
        <f>H56</f>
        <v>1.0625</v>
      </c>
      <c r="I65" s="144">
        <v>272.61961817575303</v>
      </c>
      <c r="J65" s="144">
        <f t="shared" si="7"/>
        <v>14.016</v>
      </c>
      <c r="K65" s="145">
        <v>30</v>
      </c>
      <c r="L65" s="145">
        <v>31.536000000000001</v>
      </c>
      <c r="M65" s="145">
        <v>0.8</v>
      </c>
      <c r="R65" s="37"/>
      <c r="S65" s="37" t="str">
        <f>"INDFBTHPR"&amp;RIGHT(Commodities!$D$30,6)&amp;"_"&amp;AA65</f>
        <v>INDFBTHPROILOTH_IM</v>
      </c>
      <c r="T65" s="37" t="str">
        <f>"Process Heat FBT Other Oil Products"&amp;"_"&amp;$S$5&amp;"_"&amp;AA65</f>
        <v>Process Heat FBT Other Oil Products_N_IM</v>
      </c>
      <c r="U65" s="37" t="s">
        <v>206</v>
      </c>
      <c r="V65" s="37" t="s">
        <v>293</v>
      </c>
      <c r="W65" s="37"/>
      <c r="X65" s="37"/>
      <c r="Y65" s="37"/>
      <c r="AA65" s="72" t="s">
        <v>275</v>
      </c>
      <c r="AG65" s="72"/>
      <c r="AH65" s="72"/>
      <c r="AI65" s="102"/>
      <c r="AJ65" s="72"/>
      <c r="AK65" s="72"/>
      <c r="AL65" s="72"/>
      <c r="AM65" s="72"/>
      <c r="AN65" s="102"/>
      <c r="AO65" s="102"/>
      <c r="AQ65" s="72"/>
      <c r="AR65" s="72"/>
    </row>
    <row r="66" spans="1:44" ht="13.8" x14ac:dyDescent="0.25">
      <c r="A66" s="72"/>
      <c r="B66" s="37" t="str">
        <f t="shared" ref="B66:C68" si="11">S43</f>
        <v>INDFBTSTMELC_ST</v>
      </c>
      <c r="C66" s="37" t="str">
        <f t="shared" si="11"/>
        <v>Steam Boiler FBT Electricity_N_ST</v>
      </c>
      <c r="D66" s="72" t="str">
        <f>Commodities!D341</f>
        <v>INDELC</v>
      </c>
      <c r="E66" s="72" t="s">
        <v>285</v>
      </c>
      <c r="F66" s="94">
        <f>G66</f>
        <v>2018</v>
      </c>
      <c r="G66" s="72">
        <v>2018</v>
      </c>
      <c r="H66" s="140">
        <v>1.1000000000000001</v>
      </c>
      <c r="I66" s="95">
        <v>833.33333333333337</v>
      </c>
      <c r="J66" s="95">
        <v>30</v>
      </c>
      <c r="K66" s="141">
        <v>30</v>
      </c>
      <c r="L66" s="141">
        <v>31.536000000000001</v>
      </c>
      <c r="M66" s="141">
        <v>0.8</v>
      </c>
      <c r="R66" s="37"/>
      <c r="S66" s="37" t="str">
        <f>"INDFBTHPR"&amp;RIGHT(Commodities!$D$30,6)&amp;"_"&amp;AA66</f>
        <v>INDFBTHPROILOTH_AD</v>
      </c>
      <c r="T66" s="37" t="str">
        <f>"Process Heat FBT Other Oil Products"&amp;"_"&amp;$S$5&amp;"_"&amp;AA66</f>
        <v>Process Heat FBT Other Oil Products_N_AD</v>
      </c>
      <c r="U66" s="37" t="s">
        <v>206</v>
      </c>
      <c r="V66" s="37" t="s">
        <v>293</v>
      </c>
      <c r="W66" s="37"/>
      <c r="X66" s="37"/>
      <c r="Y66" s="37"/>
      <c r="AA66" s="72" t="s">
        <v>276</v>
      </c>
      <c r="AG66" s="72"/>
      <c r="AH66" s="72"/>
      <c r="AI66" s="102"/>
      <c r="AJ66" s="72"/>
      <c r="AK66" s="72"/>
      <c r="AL66" s="72"/>
      <c r="AM66" s="72"/>
      <c r="AN66" s="102"/>
      <c r="AO66" s="102"/>
      <c r="AQ66" s="72"/>
      <c r="AR66" s="72"/>
    </row>
    <row r="67" spans="1:44" ht="13.8" x14ac:dyDescent="0.25">
      <c r="A67" s="72"/>
      <c r="B67" s="37" t="str">
        <f t="shared" si="11"/>
        <v>INDFBTSTMELC_IM</v>
      </c>
      <c r="C67" s="37" t="str">
        <f t="shared" si="11"/>
        <v>Steam Boiler FBT Electricity_N_IM</v>
      </c>
      <c r="D67" s="72" t="str">
        <f>D66</f>
        <v>INDELC</v>
      </c>
      <c r="E67" s="72" t="str">
        <f>E66</f>
        <v>INDFBTSTM</v>
      </c>
      <c r="F67" s="94">
        <f t="shared" ref="F67:F68" si="12">G67</f>
        <v>2025</v>
      </c>
      <c r="G67" s="72">
        <f>G66+7</f>
        <v>2025</v>
      </c>
      <c r="H67" s="140">
        <f>H66*0.95</f>
        <v>1.0449999999999999</v>
      </c>
      <c r="I67" s="95">
        <v>1188.9124228590201</v>
      </c>
      <c r="J67" s="95">
        <v>30</v>
      </c>
      <c r="K67" s="141">
        <v>30</v>
      </c>
      <c r="L67" s="141">
        <v>31.536000000000001</v>
      </c>
      <c r="M67" s="141">
        <v>0.8</v>
      </c>
      <c r="R67" s="37"/>
      <c r="S67" s="37" t="str">
        <f>"INDFBTHPR"&amp;RIGHT(Commodities!$D$33,6)&amp;"_"&amp;AA67</f>
        <v>INDFBTHPRGASNAT_ST</v>
      </c>
      <c r="T67" s="37" t="str">
        <f>"Process Heat FBT N. Gas"&amp;"_"&amp;$S$5&amp;"_"&amp;AA67</f>
        <v>Process Heat FBT N. Gas_N_ST</v>
      </c>
      <c r="U67" s="37" t="s">
        <v>206</v>
      </c>
      <c r="V67" s="37" t="s">
        <v>293</v>
      </c>
      <c r="W67" s="37"/>
      <c r="X67" s="37"/>
      <c r="Y67" s="37"/>
      <c r="AA67" s="72" t="s">
        <v>274</v>
      </c>
      <c r="AG67" s="72"/>
      <c r="AH67" s="72"/>
      <c r="AI67" s="102"/>
      <c r="AJ67" s="72"/>
      <c r="AK67" s="72"/>
      <c r="AL67" s="72"/>
      <c r="AM67" s="72"/>
      <c r="AN67" s="102"/>
      <c r="AO67" s="102"/>
      <c r="AQ67" s="72"/>
      <c r="AR67" s="72"/>
    </row>
    <row r="68" spans="1:44" ht="13.8" x14ac:dyDescent="0.25">
      <c r="A68" s="72"/>
      <c r="B68" s="98" t="str">
        <f t="shared" si="11"/>
        <v>INDFBTSTMELC_AD</v>
      </c>
      <c r="C68" s="98" t="str">
        <f t="shared" si="11"/>
        <v>Steam Boiler FBT Electricity_N_AD</v>
      </c>
      <c r="D68" s="98" t="str">
        <f>D67</f>
        <v>INDELC</v>
      </c>
      <c r="E68" s="98" t="str">
        <f>E66</f>
        <v>INDFBTSTM</v>
      </c>
      <c r="F68" s="99">
        <f t="shared" si="12"/>
        <v>2035</v>
      </c>
      <c r="G68" s="98">
        <f>G67+10</f>
        <v>2035</v>
      </c>
      <c r="H68" s="143">
        <f>H66*0.92</f>
        <v>1.0120000000000002</v>
      </c>
      <c r="I68" s="144">
        <v>1526.5937691667855</v>
      </c>
      <c r="J68" s="144">
        <v>30</v>
      </c>
      <c r="K68" s="145">
        <v>30</v>
      </c>
      <c r="L68" s="145">
        <v>31.536000000000001</v>
      </c>
      <c r="M68" s="145">
        <v>0.8</v>
      </c>
      <c r="R68" s="37"/>
      <c r="S68" s="37" t="str">
        <f>"INDFBTHPR"&amp;RIGHT(Commodities!$D$33,6)&amp;"_"&amp;AA68</f>
        <v>INDFBTHPRGASNAT_IM</v>
      </c>
      <c r="T68" s="37" t="str">
        <f>"Process Heat FBT N. Gas"&amp;"_"&amp;$S$5&amp;"_"&amp;AA68</f>
        <v>Process Heat FBT N. Gas_N_IM</v>
      </c>
      <c r="U68" s="37" t="s">
        <v>206</v>
      </c>
      <c r="V68" s="37" t="s">
        <v>293</v>
      </c>
      <c r="W68" s="37"/>
      <c r="X68" s="37"/>
      <c r="Y68" s="37"/>
      <c r="AA68" s="72" t="s">
        <v>275</v>
      </c>
      <c r="AG68" s="72"/>
      <c r="AH68" s="72"/>
      <c r="AI68" s="102"/>
      <c r="AJ68" s="72"/>
      <c r="AK68" s="72"/>
      <c r="AL68" s="72"/>
      <c r="AM68" s="72"/>
      <c r="AN68" s="102"/>
      <c r="AO68" s="102"/>
      <c r="AQ68" s="72"/>
      <c r="AR68" s="72"/>
    </row>
    <row r="69" spans="1:44" ht="13.8" x14ac:dyDescent="0.25">
      <c r="B69" s="37"/>
      <c r="R69" s="37"/>
      <c r="S69" s="37" t="str">
        <f>"INDFBTHPR"&amp;RIGHT(Commodities!$D$33,6)&amp;"_"&amp;AA69</f>
        <v>INDFBTHPRGASNAT_AD</v>
      </c>
      <c r="T69" s="37" t="str">
        <f>"Process Heat FBT N. Gas"&amp;"_"&amp;$S$5&amp;"_"&amp;AA69</f>
        <v>Process Heat FBT N. Gas_N_AD</v>
      </c>
      <c r="U69" s="37" t="s">
        <v>206</v>
      </c>
      <c r="V69" s="37" t="s">
        <v>293</v>
      </c>
      <c r="W69" s="37"/>
      <c r="X69" s="37"/>
      <c r="Y69" s="37"/>
      <c r="AA69" s="72" t="s">
        <v>276</v>
      </c>
      <c r="AG69" s="72"/>
      <c r="AH69" s="72"/>
      <c r="AI69" s="102"/>
      <c r="AJ69" s="72"/>
      <c r="AK69" s="72"/>
      <c r="AL69" s="72"/>
      <c r="AM69" s="72"/>
      <c r="AN69" s="102"/>
      <c r="AO69" s="102"/>
      <c r="AQ69" s="72"/>
      <c r="AR69" s="72"/>
    </row>
    <row r="70" spans="1:44" ht="18" customHeight="1" x14ac:dyDescent="0.25">
      <c r="R70" s="37"/>
      <c r="S70" s="37" t="str">
        <f>"INDFBTHPR"&amp;RIGHT(Commodities!$D$35,6)&amp;"_"&amp;AA70</f>
        <v>INDFBTHPRBIOLOG_ST</v>
      </c>
      <c r="T70" s="37" t="str">
        <f>"Process Heat FBT Biomass"&amp;"_"&amp;$S$5&amp;"_"&amp;AA70</f>
        <v>Process Heat FBT Biomass_N_ST</v>
      </c>
      <c r="U70" s="37" t="s">
        <v>206</v>
      </c>
      <c r="V70" s="37" t="s">
        <v>293</v>
      </c>
      <c r="W70" s="37"/>
      <c r="X70" s="37"/>
      <c r="Y70" s="37"/>
      <c r="AA70" s="72" t="s">
        <v>274</v>
      </c>
      <c r="AG70" s="72"/>
      <c r="AH70" s="72"/>
      <c r="AI70" s="102"/>
      <c r="AJ70" s="72"/>
      <c r="AK70" s="72"/>
      <c r="AL70" s="72"/>
      <c r="AM70" s="72"/>
      <c r="AN70" s="102"/>
      <c r="AO70" s="102"/>
      <c r="AQ70" s="72"/>
      <c r="AR70" s="72"/>
    </row>
    <row r="71" spans="1:44" ht="13.8" x14ac:dyDescent="0.25">
      <c r="B71" s="37"/>
      <c r="C71" s="37"/>
      <c r="D71" s="37"/>
      <c r="E71" s="136" t="s">
        <v>295</v>
      </c>
      <c r="F71" s="137" t="s">
        <v>0</v>
      </c>
      <c r="G71" s="138" t="s">
        <v>295</v>
      </c>
      <c r="H71" s="138" t="s">
        <v>295</v>
      </c>
      <c r="I71" s="138" t="s">
        <v>295</v>
      </c>
      <c r="J71" s="37"/>
      <c r="K71" s="37"/>
      <c r="L71" s="72"/>
      <c r="M71" s="72"/>
      <c r="R71" s="37"/>
      <c r="S71" s="37" t="str">
        <f>"INDFBTHPR"&amp;RIGHT(Commodities!$D$35,6)&amp;"_"&amp;AA71</f>
        <v>INDFBTHPRBIOLOG_IM</v>
      </c>
      <c r="T71" s="37" t="str">
        <f>"Process Heat FBT Biomass"&amp;"_"&amp;$S$5&amp;"_"&amp;AA71</f>
        <v>Process Heat FBT Biomass_N_IM</v>
      </c>
      <c r="U71" s="37" t="s">
        <v>206</v>
      </c>
      <c r="V71" s="37" t="s">
        <v>293</v>
      </c>
      <c r="W71" s="37"/>
      <c r="X71" s="37"/>
      <c r="Y71" s="37"/>
      <c r="AA71" s="72" t="s">
        <v>275</v>
      </c>
      <c r="AG71" s="72"/>
      <c r="AH71" s="72"/>
      <c r="AI71" s="102"/>
      <c r="AJ71" s="72"/>
      <c r="AK71" s="72"/>
      <c r="AL71" s="72"/>
      <c r="AM71" s="72"/>
      <c r="AN71" s="102"/>
      <c r="AO71" s="102"/>
      <c r="AQ71" s="72"/>
      <c r="AR71" s="72"/>
    </row>
    <row r="72" spans="1:44" ht="13.8" x14ac:dyDescent="0.25">
      <c r="B72" s="45" t="s">
        <v>1</v>
      </c>
      <c r="C72" s="45" t="s">
        <v>227</v>
      </c>
      <c r="D72" s="45" t="s">
        <v>3</v>
      </c>
      <c r="E72" s="45" t="s">
        <v>4</v>
      </c>
      <c r="F72" s="46" t="s">
        <v>233</v>
      </c>
      <c r="G72" s="45" t="s">
        <v>14</v>
      </c>
      <c r="H72" s="139" t="s">
        <v>250</v>
      </c>
      <c r="I72" s="79" t="s">
        <v>36</v>
      </c>
      <c r="J72" s="49" t="s">
        <v>5</v>
      </c>
      <c r="K72" s="49" t="s">
        <v>48</v>
      </c>
      <c r="L72" s="46" t="s">
        <v>297</v>
      </c>
      <c r="R72" s="37"/>
      <c r="S72" s="37" t="str">
        <f>"INDFBTHPR"&amp;RIGHT(Commodities!$D$35,6)&amp;"_"&amp;AA72</f>
        <v>INDFBTHPRBIOLOG_AD</v>
      </c>
      <c r="T72" s="37" t="str">
        <f>"Process Heat FBT Biomass"&amp;"_"&amp;$S$5&amp;"_"&amp;AA72</f>
        <v>Process Heat FBT Biomass_N_AD</v>
      </c>
      <c r="U72" s="37" t="s">
        <v>206</v>
      </c>
      <c r="V72" s="37" t="s">
        <v>293</v>
      </c>
      <c r="W72" s="37"/>
      <c r="X72" s="37"/>
      <c r="Y72" s="37"/>
      <c r="AA72" s="72" t="s">
        <v>276</v>
      </c>
      <c r="AG72" s="72"/>
      <c r="AH72" s="72"/>
      <c r="AI72" s="102"/>
      <c r="AJ72" s="72"/>
      <c r="AK72" s="72"/>
      <c r="AL72" s="72"/>
      <c r="AM72" s="72"/>
      <c r="AN72" s="102"/>
      <c r="AO72" s="102"/>
      <c r="AQ72" s="72"/>
      <c r="AR72" s="72"/>
    </row>
    <row r="73" spans="1:44" ht="14.4" thickBot="1" x14ac:dyDescent="0.3">
      <c r="B73" s="54" t="s">
        <v>280</v>
      </c>
      <c r="C73" s="54" t="s">
        <v>28</v>
      </c>
      <c r="D73" s="54" t="s">
        <v>32</v>
      </c>
      <c r="E73" s="54" t="s">
        <v>33</v>
      </c>
      <c r="F73" s="54"/>
      <c r="G73" s="84" t="s">
        <v>35</v>
      </c>
      <c r="H73" s="84"/>
      <c r="I73" s="84" t="s">
        <v>37</v>
      </c>
      <c r="J73" s="54" t="s">
        <v>38</v>
      </c>
      <c r="K73" s="54" t="s">
        <v>218</v>
      </c>
      <c r="L73" s="54"/>
      <c r="R73" s="37"/>
      <c r="S73" s="37" t="str">
        <f>"INDFBTHPR"&amp;RIGHT(Commodities!$D$349,3)&amp;"_"&amp;AA73</f>
        <v>INDFBTHPRHTH_ST</v>
      </c>
      <c r="T73" s="37" t="str">
        <f>"Process Heat FBT Heat"&amp;"_"&amp;$S$5&amp;"_"&amp;AA73</f>
        <v>Process Heat FBT Heat_N_ST</v>
      </c>
      <c r="U73" s="37" t="s">
        <v>206</v>
      </c>
      <c r="V73" s="37" t="s">
        <v>293</v>
      </c>
      <c r="W73" s="37"/>
      <c r="X73" s="37"/>
      <c r="Y73" s="37"/>
      <c r="AA73" s="72" t="s">
        <v>274</v>
      </c>
      <c r="AG73" s="72"/>
      <c r="AH73" s="72"/>
      <c r="AI73" s="102"/>
      <c r="AJ73" s="72"/>
      <c r="AK73" s="72"/>
      <c r="AL73" s="72"/>
      <c r="AM73" s="72"/>
      <c r="AN73" s="102"/>
      <c r="AO73" s="102"/>
      <c r="AQ73" s="72"/>
      <c r="AR73" s="72"/>
    </row>
    <row r="74" spans="1:44" ht="13.8" x14ac:dyDescent="0.25">
      <c r="B74" s="89" t="s">
        <v>281</v>
      </c>
      <c r="C74" s="90"/>
      <c r="D74" s="90"/>
      <c r="E74" s="90"/>
      <c r="F74" s="90"/>
      <c r="G74" s="90"/>
      <c r="H74" s="90"/>
      <c r="I74" s="90" t="s">
        <v>448</v>
      </c>
      <c r="J74" s="90" t="s">
        <v>448</v>
      </c>
      <c r="K74" s="90" t="s">
        <v>40</v>
      </c>
      <c r="L74" s="90"/>
      <c r="R74" s="37"/>
      <c r="S74" s="37" t="str">
        <f>"INDFBTHPR"&amp;RIGHT(Commodities!$D$349,3)&amp;"_"&amp;AA74</f>
        <v>INDFBTHPRHTH_IM</v>
      </c>
      <c r="T74" s="37" t="str">
        <f>"Process Heat FBT Heat"&amp;"_"&amp;$S$5&amp;"_"&amp;AA74</f>
        <v>Process Heat FBT Heat_N_IM</v>
      </c>
      <c r="U74" s="37" t="s">
        <v>206</v>
      </c>
      <c r="V74" s="37" t="s">
        <v>293</v>
      </c>
      <c r="W74" s="37"/>
      <c r="X74" s="37"/>
      <c r="Y74" s="37"/>
      <c r="AA74" s="72" t="s">
        <v>275</v>
      </c>
      <c r="AG74" s="72"/>
      <c r="AH74" s="72"/>
      <c r="AI74" s="102"/>
      <c r="AJ74" s="72"/>
      <c r="AK74" s="72"/>
      <c r="AL74" s="72"/>
      <c r="AM74" s="72"/>
      <c r="AN74" s="102"/>
      <c r="AO74" s="102"/>
      <c r="AQ74" s="72"/>
      <c r="AR74" s="72"/>
    </row>
    <row r="75" spans="1:44" ht="13.8" x14ac:dyDescent="0.25">
      <c r="B75" s="37" t="str">
        <f>S46</f>
        <v>INDFBTHPRCOASUB_ST</v>
      </c>
      <c r="C75" s="37" t="str">
        <f>T46</f>
        <v>Process Heat FBT Sub-bituminous_N_ST</v>
      </c>
      <c r="D75" s="72" t="s">
        <v>426</v>
      </c>
      <c r="E75" s="72" t="s">
        <v>266</v>
      </c>
      <c r="F75" s="94">
        <f>G75</f>
        <v>2018</v>
      </c>
      <c r="G75" s="72">
        <v>2018</v>
      </c>
      <c r="H75" s="140">
        <f>O75</f>
        <v>1.4285714285714286</v>
      </c>
      <c r="I75" s="95">
        <f>(728.4816*(1/0.9))*(1/25)</f>
        <v>32.376959999999997</v>
      </c>
      <c r="J75" s="147">
        <f>I75*0.1</f>
        <v>3.2376959999999997</v>
      </c>
      <c r="K75" s="141">
        <v>30</v>
      </c>
      <c r="L75" s="141">
        <v>0.8</v>
      </c>
      <c r="O75" s="142">
        <v>1.4285714285714286</v>
      </c>
      <c r="R75" s="37"/>
      <c r="S75" s="37" t="str">
        <f>"INDFBTHPR"&amp;RIGHT(Commodities!$D$349,3)&amp;"_"&amp;AA75</f>
        <v>INDFBTHPRHTH_AD</v>
      </c>
      <c r="T75" s="37" t="str">
        <f>"Process Heat FBT Heat"&amp;"_"&amp;$S$5&amp;"_"&amp;AA75</f>
        <v>Process Heat FBT Heat_N_AD</v>
      </c>
      <c r="U75" s="37" t="s">
        <v>206</v>
      </c>
      <c r="V75" s="37" t="s">
        <v>293</v>
      </c>
      <c r="W75" s="37"/>
      <c r="X75" s="37"/>
      <c r="Y75" s="37"/>
      <c r="AA75" s="72" t="s">
        <v>276</v>
      </c>
      <c r="AG75" s="72"/>
      <c r="AH75" s="72"/>
      <c r="AI75" s="102"/>
      <c r="AJ75" s="72"/>
      <c r="AK75" s="72"/>
      <c r="AL75" s="72"/>
      <c r="AM75" s="72"/>
      <c r="AN75" s="102"/>
      <c r="AO75" s="102"/>
      <c r="AQ75" s="72"/>
      <c r="AR75" s="72"/>
    </row>
    <row r="76" spans="1:44" ht="13.8" x14ac:dyDescent="0.25">
      <c r="B76" s="37" t="str">
        <f t="shared" ref="B76:C106" si="13">S47</f>
        <v>INDFBTHPRCOASUB_IM</v>
      </c>
      <c r="C76" s="37" t="str">
        <f t="shared" si="13"/>
        <v>Process Heat FBT Sub-bituminous_N_IM</v>
      </c>
      <c r="D76" s="72" t="str">
        <f>D75</f>
        <v>INDCOASUB</v>
      </c>
      <c r="E76" s="72" t="str">
        <f>E75</f>
        <v>INDFBTHPR</v>
      </c>
      <c r="F76" s="94">
        <f t="shared" ref="F76:F107" si="14">G76</f>
        <v>2025</v>
      </c>
      <c r="G76" s="72">
        <f>G75+7</f>
        <v>2025</v>
      </c>
      <c r="H76" s="140">
        <f>H75*0.95</f>
        <v>1.3571428571428572</v>
      </c>
      <c r="I76" s="147">
        <f>I75*I35/I34</f>
        <v>41.572839555082332</v>
      </c>
      <c r="J76" s="147">
        <f t="shared" ref="J76:J110" si="15">I76*0.1</f>
        <v>4.157283955508233</v>
      </c>
      <c r="K76" s="141">
        <v>30</v>
      </c>
      <c r="L76" s="141">
        <v>0.8</v>
      </c>
      <c r="O76" s="142">
        <v>1.4285714285714286</v>
      </c>
      <c r="R76" s="37"/>
      <c r="S76" s="37" t="str">
        <f>"INDFBTHPR"&amp;RIGHT(Commodities!$D$341,3)&amp;"_"&amp;AA76</f>
        <v>INDFBTHPRELC_ST</v>
      </c>
      <c r="T76" s="37" t="str">
        <f>"Process Heat FBT Electricity"&amp;"_"&amp;$S$5&amp;"_"&amp;AA76</f>
        <v>Process Heat FBT Electricity_N_ST</v>
      </c>
      <c r="U76" s="37" t="s">
        <v>206</v>
      </c>
      <c r="V76" s="37" t="s">
        <v>293</v>
      </c>
      <c r="W76" s="37" t="s">
        <v>42</v>
      </c>
      <c r="X76" s="37"/>
      <c r="Y76" s="37"/>
      <c r="AA76" s="72" t="s">
        <v>274</v>
      </c>
      <c r="AG76" s="72"/>
      <c r="AH76" s="72"/>
      <c r="AI76" s="102"/>
      <c r="AJ76" s="72"/>
      <c r="AK76" s="72"/>
      <c r="AL76" s="72"/>
      <c r="AM76" s="72"/>
      <c r="AN76" s="102"/>
      <c r="AO76" s="102"/>
      <c r="AQ76" s="72"/>
      <c r="AR76" s="72"/>
    </row>
    <row r="77" spans="1:44" ht="13.8" x14ac:dyDescent="0.25">
      <c r="B77" s="98" t="str">
        <f t="shared" si="13"/>
        <v>INDFBTHPRCOASUB_AD</v>
      </c>
      <c r="C77" s="98" t="str">
        <f t="shared" si="13"/>
        <v>Process Heat FBT Sub-bituminous_N_AD</v>
      </c>
      <c r="D77" s="98" t="str">
        <f>D76</f>
        <v>INDCOASUB</v>
      </c>
      <c r="E77" s="98" t="str">
        <f>E75</f>
        <v>INDFBTHPR</v>
      </c>
      <c r="F77" s="99">
        <f t="shared" si="14"/>
        <v>2035</v>
      </c>
      <c r="G77" s="98">
        <f>G76+10</f>
        <v>2035</v>
      </c>
      <c r="H77" s="143">
        <f>H75*0.85</f>
        <v>1.2142857142857142</v>
      </c>
      <c r="I77" s="148">
        <f>I75*I35/I33</f>
        <v>59.31175848067469</v>
      </c>
      <c r="J77" s="148">
        <f t="shared" si="15"/>
        <v>5.9311758480674692</v>
      </c>
      <c r="K77" s="145">
        <v>30</v>
      </c>
      <c r="L77" s="145">
        <v>0.8</v>
      </c>
      <c r="O77" s="142">
        <v>1.4285714285714286</v>
      </c>
      <c r="R77" s="37"/>
      <c r="S77" s="37" t="str">
        <f>"INDFBTHPR"&amp;RIGHT(Commodities!$D$341,3)&amp;"_"&amp;AA77</f>
        <v>INDFBTHPRELC_IM</v>
      </c>
      <c r="T77" s="37" t="str">
        <f>"Process Heat FBT Electricity"&amp;"_"&amp;$S$5&amp;"_"&amp;AA77</f>
        <v>Process Heat FBT Electricity_N_IM</v>
      </c>
      <c r="U77" s="37" t="s">
        <v>206</v>
      </c>
      <c r="V77" s="37" t="s">
        <v>293</v>
      </c>
      <c r="W77" s="37" t="s">
        <v>42</v>
      </c>
      <c r="X77" s="37"/>
      <c r="Y77" s="37"/>
      <c r="AA77" s="72" t="s">
        <v>275</v>
      </c>
      <c r="AG77" s="72"/>
      <c r="AH77" s="72"/>
      <c r="AI77" s="102"/>
      <c r="AJ77" s="72"/>
      <c r="AK77" s="72"/>
      <c r="AL77" s="72"/>
      <c r="AM77" s="72"/>
      <c r="AN77" s="102"/>
      <c r="AO77" s="102"/>
      <c r="AQ77" s="72"/>
      <c r="AR77" s="72"/>
    </row>
    <row r="78" spans="1:44" ht="13.8" x14ac:dyDescent="0.25">
      <c r="B78" s="37" t="str">
        <f t="shared" si="13"/>
        <v>INDFBTHPRCOABIC_ST</v>
      </c>
      <c r="C78" s="37" t="str">
        <f t="shared" si="13"/>
        <v>Process Heat FBT Bituminous_N_ST</v>
      </c>
      <c r="D78" s="72" t="s">
        <v>141</v>
      </c>
      <c r="E78" s="72" t="s">
        <v>266</v>
      </c>
      <c r="F78" s="94">
        <f>G78</f>
        <v>2018</v>
      </c>
      <c r="G78" s="72">
        <v>2018</v>
      </c>
      <c r="H78" s="140">
        <f>O76</f>
        <v>1.4285714285714286</v>
      </c>
      <c r="I78" s="95">
        <f>(728.4816*(1/0.9))*(1/25)</f>
        <v>32.376959999999997</v>
      </c>
      <c r="J78" s="147">
        <f t="shared" si="15"/>
        <v>3.2376959999999997</v>
      </c>
      <c r="K78" s="141">
        <v>30</v>
      </c>
      <c r="L78" s="141">
        <v>0.8</v>
      </c>
      <c r="O78" s="142">
        <v>1.2820512820512819</v>
      </c>
      <c r="R78" s="98"/>
      <c r="S78" s="98" t="str">
        <f>"INDFBTHPR"&amp;RIGHT(Commodities!$D$341,3)&amp;"_"&amp;AA78</f>
        <v>INDFBTHPRELC_AD</v>
      </c>
      <c r="T78" s="98" t="str">
        <f>"Process Heat FBT Electricity"&amp;"_"&amp;$S$5&amp;"_"&amp;AA78</f>
        <v>Process Heat FBT Electricity_N_AD</v>
      </c>
      <c r="U78" s="98" t="s">
        <v>206</v>
      </c>
      <c r="V78" s="98" t="s">
        <v>293</v>
      </c>
      <c r="W78" s="98" t="s">
        <v>42</v>
      </c>
      <c r="X78" s="98"/>
      <c r="Y78" s="98"/>
      <c r="AA78" s="72" t="s">
        <v>276</v>
      </c>
      <c r="AG78" s="72"/>
      <c r="AH78" s="72"/>
      <c r="AI78" s="102"/>
      <c r="AJ78" s="72"/>
      <c r="AK78" s="72"/>
      <c r="AL78" s="72"/>
      <c r="AM78" s="72"/>
      <c r="AN78" s="102"/>
      <c r="AO78" s="102"/>
      <c r="AQ78" s="72"/>
      <c r="AR78" s="72"/>
    </row>
    <row r="79" spans="1:44" ht="13.8" x14ac:dyDescent="0.25">
      <c r="B79" s="37" t="str">
        <f t="shared" si="13"/>
        <v>INDFBTHPRCOABIC_IM</v>
      </c>
      <c r="C79" s="37" t="str">
        <f t="shared" si="13"/>
        <v>Process Heat FBT Bituminous_N_IM</v>
      </c>
      <c r="D79" s="72" t="str">
        <f>D78</f>
        <v>INDCOABIC</v>
      </c>
      <c r="E79" s="72" t="str">
        <f>E78</f>
        <v>INDFBTHPR</v>
      </c>
      <c r="F79" s="94">
        <f t="shared" si="14"/>
        <v>2025</v>
      </c>
      <c r="G79" s="72">
        <f>G78+7</f>
        <v>2025</v>
      </c>
      <c r="H79" s="140">
        <f>H78*0.95</f>
        <v>1.3571428571428572</v>
      </c>
      <c r="I79" s="147">
        <f>I78*I38/I37</f>
        <v>41.572839555082332</v>
      </c>
      <c r="J79" s="147">
        <f t="shared" si="15"/>
        <v>4.157283955508233</v>
      </c>
      <c r="K79" s="141">
        <v>30</v>
      </c>
      <c r="L79" s="141">
        <v>0.8</v>
      </c>
      <c r="O79" s="142">
        <v>1.2820512820512819</v>
      </c>
      <c r="R79" s="37"/>
      <c r="S79" s="37" t="str">
        <f>"INDFBTHPR"&amp;RIGHT(Commodities!$D$51,6)&amp;"_"&amp;AA79</f>
        <v>INDFBTHPRBIOBGS_ST</v>
      </c>
      <c r="T79" s="37" t="str">
        <f>"Process Heat FBT Biogas"&amp;"_"&amp;$S$5&amp;"_"&amp;AA79</f>
        <v>Process Heat FBT Biogas_N_ST</v>
      </c>
      <c r="U79" s="37" t="s">
        <v>206</v>
      </c>
      <c r="V79" s="37" t="s">
        <v>293</v>
      </c>
      <c r="W79" s="37"/>
      <c r="X79" s="37"/>
      <c r="Y79" s="37"/>
      <c r="AA79" s="72" t="s">
        <v>274</v>
      </c>
      <c r="AG79" s="72"/>
      <c r="AH79" s="72"/>
      <c r="AI79" s="102"/>
      <c r="AJ79" s="72"/>
      <c r="AK79" s="72"/>
      <c r="AL79" s="72"/>
      <c r="AM79" s="72"/>
      <c r="AN79" s="102"/>
      <c r="AO79" s="102"/>
      <c r="AQ79" s="72"/>
      <c r="AR79" s="72"/>
    </row>
    <row r="80" spans="1:44" ht="13.8" x14ac:dyDescent="0.25">
      <c r="B80" s="98" t="str">
        <f t="shared" si="13"/>
        <v>INDFBTHPRCOABIC_AD</v>
      </c>
      <c r="C80" s="98" t="str">
        <f t="shared" si="13"/>
        <v>Process Heat FBT Bituminous_N_AD</v>
      </c>
      <c r="D80" s="98" t="str">
        <f>D79</f>
        <v>INDCOABIC</v>
      </c>
      <c r="E80" s="98" t="str">
        <f>E78</f>
        <v>INDFBTHPR</v>
      </c>
      <c r="F80" s="99">
        <f t="shared" si="14"/>
        <v>2035</v>
      </c>
      <c r="G80" s="98">
        <f>G79+10</f>
        <v>2035</v>
      </c>
      <c r="H80" s="143">
        <f>H78*0.85</f>
        <v>1.2142857142857142</v>
      </c>
      <c r="I80" s="148">
        <f>I78*I38/I36</f>
        <v>59.31175848067469</v>
      </c>
      <c r="J80" s="148">
        <f t="shared" si="15"/>
        <v>5.9311758480674692</v>
      </c>
      <c r="K80" s="145">
        <v>30</v>
      </c>
      <c r="L80" s="145">
        <v>0.8</v>
      </c>
      <c r="O80" s="142">
        <v>1.4285714285714286</v>
      </c>
      <c r="R80" s="37"/>
      <c r="S80" s="37" t="str">
        <f>"INDFBTHPR"&amp;RIGHT(Commodities!$D$51,6)&amp;"_"&amp;AA80</f>
        <v>INDFBTHPRBIOBGS_IM</v>
      </c>
      <c r="T80" s="37" t="str">
        <f>"Process Heat FBT Biogas"&amp;"_"&amp;$S$5&amp;"_"&amp;AA80</f>
        <v>Process Heat FBT Biogas_N_IM</v>
      </c>
      <c r="U80" s="37" t="s">
        <v>206</v>
      </c>
      <c r="V80" s="37" t="s">
        <v>293</v>
      </c>
      <c r="W80" s="37"/>
      <c r="X80" s="37"/>
      <c r="Y80" s="37"/>
      <c r="AA80" s="72" t="s">
        <v>275</v>
      </c>
      <c r="AG80" s="72"/>
      <c r="AH80" s="72"/>
      <c r="AI80" s="102"/>
      <c r="AJ80" s="72"/>
      <c r="AK80" s="72"/>
      <c r="AL80" s="72"/>
      <c r="AM80" s="72"/>
      <c r="AN80" s="102"/>
      <c r="AO80" s="102"/>
      <c r="AQ80" s="72"/>
      <c r="AR80" s="72"/>
    </row>
    <row r="81" spans="2:44" ht="13.8" x14ac:dyDescent="0.25">
      <c r="B81" s="37" t="str">
        <f t="shared" si="13"/>
        <v>INDFBTHPRCOABCO_ST</v>
      </c>
      <c r="C81" s="37" t="str">
        <f t="shared" si="13"/>
        <v>Process Heat FBT Lignite_N_ST</v>
      </c>
      <c r="D81" s="72" t="s">
        <v>430</v>
      </c>
      <c r="E81" s="72" t="s">
        <v>266</v>
      </c>
      <c r="F81" s="94">
        <f>G81</f>
        <v>2018</v>
      </c>
      <c r="G81" s="72">
        <v>2018</v>
      </c>
      <c r="H81" s="140">
        <f>O77</f>
        <v>1.4285714285714286</v>
      </c>
      <c r="I81" s="95">
        <f>(728.4816*(1/0.9))*(1/25)</f>
        <v>32.376959999999997</v>
      </c>
      <c r="J81" s="147">
        <f t="shared" si="15"/>
        <v>3.2376959999999997</v>
      </c>
      <c r="K81" s="141">
        <v>30</v>
      </c>
      <c r="L81" s="141">
        <v>0.8</v>
      </c>
      <c r="O81" s="142">
        <v>1.2820512820512819</v>
      </c>
      <c r="R81" s="98"/>
      <c r="S81" s="98" t="str">
        <f>"INDFBTHPR"&amp;RIGHT(Commodities!$D$51,6)&amp;"_"&amp;AA81</f>
        <v>INDFBTHPRBIOBGS_AD</v>
      </c>
      <c r="T81" s="98" t="str">
        <f>"Process Heat FBT Biogas"&amp;"_"&amp;$S$5&amp;"_"&amp;AA81</f>
        <v>Process Heat FBT Biogas_N_AD</v>
      </c>
      <c r="U81" s="98" t="s">
        <v>206</v>
      </c>
      <c r="V81" s="98" t="s">
        <v>293</v>
      </c>
      <c r="W81" s="98"/>
      <c r="X81" s="98"/>
      <c r="Y81" s="98"/>
      <c r="AA81" s="72" t="s">
        <v>276</v>
      </c>
      <c r="AG81" s="72"/>
      <c r="AH81" s="72"/>
      <c r="AI81" s="102"/>
      <c r="AJ81" s="72"/>
      <c r="AK81" s="72"/>
      <c r="AL81" s="72"/>
      <c r="AM81" s="72"/>
      <c r="AN81" s="102"/>
      <c r="AO81" s="102"/>
      <c r="AQ81" s="72"/>
      <c r="AR81" s="72"/>
    </row>
    <row r="82" spans="2:44" ht="13.8" x14ac:dyDescent="0.25">
      <c r="B82" s="37" t="str">
        <f t="shared" si="13"/>
        <v>INDFBTHPRCOABCO_IM</v>
      </c>
      <c r="C82" s="37" t="str">
        <f t="shared" si="13"/>
        <v>Process Heat FBT Lignite_N_IM</v>
      </c>
      <c r="D82" s="72" t="str">
        <f>D81</f>
        <v>INDCOABCO</v>
      </c>
      <c r="E82" s="72" t="str">
        <f>E81</f>
        <v>INDFBTHPR</v>
      </c>
      <c r="F82" s="94">
        <f t="shared" si="14"/>
        <v>2025</v>
      </c>
      <c r="G82" s="72">
        <f>G81+7</f>
        <v>2025</v>
      </c>
      <c r="H82" s="140">
        <f>H81*0.95</f>
        <v>1.3571428571428572</v>
      </c>
      <c r="I82" s="147">
        <f>I81*I41/I40</f>
        <v>41.572839555082332</v>
      </c>
      <c r="J82" s="147">
        <f t="shared" si="15"/>
        <v>4.157283955508233</v>
      </c>
      <c r="K82" s="141">
        <v>30</v>
      </c>
      <c r="L82" s="141">
        <v>0.8</v>
      </c>
      <c r="O82" s="142">
        <v>1.25</v>
      </c>
      <c r="R82" s="37"/>
      <c r="S82" s="37" t="str">
        <f>"INDFBTMCD"&amp;RIGHT(Commodities!$D$18,6)&amp;"_"&amp;AA82</f>
        <v>INDFBTMCDOILDSL_ST</v>
      </c>
      <c r="T82" s="37" t="str">
        <f>"Machine Drive FBT Diesel"&amp;"_"&amp;$S$5&amp;"_"&amp;AA82</f>
        <v>Machine Drive FBT Diesel_N_ST</v>
      </c>
      <c r="U82" s="37" t="s">
        <v>206</v>
      </c>
      <c r="V82" s="37" t="s">
        <v>293</v>
      </c>
      <c r="W82" s="37"/>
      <c r="X82" s="37"/>
      <c r="Y82" s="37"/>
      <c r="AA82" s="72" t="s">
        <v>274</v>
      </c>
      <c r="AG82" s="72"/>
      <c r="AH82" s="72"/>
      <c r="AI82" s="102"/>
      <c r="AJ82" s="72"/>
      <c r="AK82" s="72"/>
      <c r="AL82" s="72"/>
      <c r="AM82" s="72"/>
      <c r="AN82" s="102"/>
      <c r="AO82" s="102"/>
      <c r="AQ82" s="72"/>
      <c r="AR82" s="72"/>
    </row>
    <row r="83" spans="2:44" ht="13.8" x14ac:dyDescent="0.25">
      <c r="B83" s="98" t="str">
        <f t="shared" si="13"/>
        <v>INDFBTHPRCOABCO_AD</v>
      </c>
      <c r="C83" s="98" t="str">
        <f t="shared" si="13"/>
        <v>Process Heat FBT Lignite_N_AD</v>
      </c>
      <c r="D83" s="98" t="str">
        <f>D82</f>
        <v>INDCOABCO</v>
      </c>
      <c r="E83" s="98" t="str">
        <f>E81</f>
        <v>INDFBTHPR</v>
      </c>
      <c r="F83" s="99">
        <f t="shared" si="14"/>
        <v>2035</v>
      </c>
      <c r="G83" s="98">
        <f>G82+10</f>
        <v>2035</v>
      </c>
      <c r="H83" s="143">
        <f>H81*0.85</f>
        <v>1.2142857142857142</v>
      </c>
      <c r="I83" s="148">
        <f>I81*I41/I39</f>
        <v>59.31175848067469</v>
      </c>
      <c r="J83" s="148">
        <f t="shared" si="15"/>
        <v>5.9311758480674692</v>
      </c>
      <c r="K83" s="145">
        <v>30</v>
      </c>
      <c r="L83" s="145">
        <v>0.8</v>
      </c>
      <c r="O83" s="142">
        <v>1.4285714285714286</v>
      </c>
      <c r="R83" s="37"/>
      <c r="S83" s="37" t="str">
        <f>"INDFBTMCD"&amp;RIGHT(Commodities!$D$18,6)&amp;"_"&amp;AA83</f>
        <v>INDFBTMCDOILDSL_IM</v>
      </c>
      <c r="T83" s="37" t="str">
        <f>"Machine Drive FBT Diesel"&amp;"_"&amp;$S$5&amp;"_"&amp;AA83</f>
        <v>Machine Drive FBT Diesel_N_IM</v>
      </c>
      <c r="U83" s="37" t="s">
        <v>206</v>
      </c>
      <c r="V83" s="37" t="s">
        <v>293</v>
      </c>
      <c r="W83" s="37"/>
      <c r="X83" s="37"/>
      <c r="Y83" s="37"/>
      <c r="AA83" s="72" t="s">
        <v>275</v>
      </c>
      <c r="AG83" s="72"/>
      <c r="AH83" s="72"/>
      <c r="AI83" s="102"/>
      <c r="AJ83" s="72"/>
      <c r="AK83" s="72"/>
      <c r="AL83" s="72"/>
      <c r="AM83" s="72"/>
      <c r="AN83" s="102"/>
      <c r="AO83" s="102"/>
      <c r="AQ83" s="72"/>
      <c r="AR83" s="72"/>
    </row>
    <row r="84" spans="2:44" ht="13.8" x14ac:dyDescent="0.25">
      <c r="B84" s="37" t="str">
        <f t="shared" si="13"/>
        <v>INDFBTHPROILDSL_ST</v>
      </c>
      <c r="C84" s="37" t="str">
        <f t="shared" si="13"/>
        <v>Process Heat FBT Diesel_N_ST</v>
      </c>
      <c r="D84" s="72" t="s">
        <v>150</v>
      </c>
      <c r="E84" s="72" t="s">
        <v>266</v>
      </c>
      <c r="F84" s="94">
        <f>G84</f>
        <v>2018</v>
      </c>
      <c r="G84" s="72">
        <v>2018</v>
      </c>
      <c r="H84" s="140">
        <f>O78</f>
        <v>1.2820512820512819</v>
      </c>
      <c r="I84" s="95">
        <f>(315.36*(1/0.9))*(1/25)</f>
        <v>14.016000000000002</v>
      </c>
      <c r="J84" s="147">
        <f t="shared" si="15"/>
        <v>1.4016000000000002</v>
      </c>
      <c r="K84" s="141">
        <v>30</v>
      </c>
      <c r="L84" s="141">
        <v>0.8</v>
      </c>
      <c r="O84" s="142">
        <v>1.2</v>
      </c>
      <c r="R84" s="37"/>
      <c r="S84" s="37" t="str">
        <f>"INDFBTMCD"&amp;RIGHT(Commodities!$D$18,6)&amp;"_"&amp;AA84</f>
        <v>INDFBTMCDOILDSL_AD</v>
      </c>
      <c r="T84" s="37" t="str">
        <f>"Machine Drive FBT Diesel"&amp;"_"&amp;$S$5&amp;"_"&amp;AA84</f>
        <v>Machine Drive FBT Diesel_N_AD</v>
      </c>
      <c r="U84" s="37" t="s">
        <v>206</v>
      </c>
      <c r="V84" s="37" t="s">
        <v>293</v>
      </c>
      <c r="W84" s="37"/>
      <c r="X84" s="37"/>
      <c r="Y84" s="37"/>
      <c r="AA84" s="72" t="s">
        <v>276</v>
      </c>
      <c r="AG84" s="72"/>
      <c r="AH84" s="72"/>
      <c r="AI84" s="102"/>
      <c r="AJ84" s="72"/>
      <c r="AK84" s="72"/>
      <c r="AL84" s="72"/>
      <c r="AM84" s="72"/>
      <c r="AN84" s="102"/>
      <c r="AO84" s="102"/>
      <c r="AQ84" s="72"/>
      <c r="AR84" s="72"/>
    </row>
    <row r="85" spans="2:44" ht="13.8" x14ac:dyDescent="0.25">
      <c r="B85" s="37" t="str">
        <f t="shared" si="13"/>
        <v>INDFBTHPROILDSL_IM</v>
      </c>
      <c r="C85" s="37" t="str">
        <f t="shared" si="13"/>
        <v>Process Heat FBT Diesel_N_IM</v>
      </c>
      <c r="D85" s="72" t="str">
        <f>D84</f>
        <v>INDOILDSL</v>
      </c>
      <c r="E85" s="72" t="str">
        <f>E84</f>
        <v>INDFBTHPR</v>
      </c>
      <c r="F85" s="94">
        <f t="shared" si="14"/>
        <v>2025</v>
      </c>
      <c r="G85" s="72">
        <f>G84+7</f>
        <v>2025</v>
      </c>
      <c r="H85" s="140">
        <f>H84*0.95</f>
        <v>1.2179487179487178</v>
      </c>
      <c r="I85" s="147">
        <f>I84*I44/I43</f>
        <v>17.996900240295389</v>
      </c>
      <c r="J85" s="147">
        <f t="shared" si="15"/>
        <v>1.799690024029539</v>
      </c>
      <c r="K85" s="141">
        <v>30</v>
      </c>
      <c r="L85" s="141">
        <v>0.8</v>
      </c>
      <c r="O85" s="142">
        <v>1.1000000000000001</v>
      </c>
      <c r="R85" s="37"/>
      <c r="S85" s="37" t="str">
        <f>"INDFBTMCD"&amp;RIGHT(Commodities!$D$33,6)&amp;"_"&amp;AA85</f>
        <v>INDFBTMCDGASNAT_ST</v>
      </c>
      <c r="T85" s="37" t="str">
        <f>"Machine Drive FBT N. Gas"&amp;"_"&amp;$S$5&amp;"_"&amp;AA85</f>
        <v>Machine Drive FBT N. Gas_N_ST</v>
      </c>
      <c r="U85" s="37" t="s">
        <v>206</v>
      </c>
      <c r="V85" s="37" t="s">
        <v>293</v>
      </c>
      <c r="W85" s="37"/>
      <c r="X85" s="37"/>
      <c r="Y85" s="37"/>
      <c r="AA85" s="72" t="s">
        <v>274</v>
      </c>
      <c r="AG85" s="72"/>
      <c r="AH85" s="72"/>
      <c r="AI85" s="102"/>
      <c r="AJ85" s="72"/>
      <c r="AK85" s="72"/>
      <c r="AL85" s="72"/>
      <c r="AM85" s="72"/>
      <c r="AN85" s="102"/>
      <c r="AO85" s="102"/>
      <c r="AP85" s="72"/>
      <c r="AQ85" s="72"/>
      <c r="AR85" s="72"/>
    </row>
    <row r="86" spans="2:44" ht="13.8" x14ac:dyDescent="0.25">
      <c r="B86" s="98" t="str">
        <f t="shared" si="13"/>
        <v>INDFBTHPROILDSL_AD</v>
      </c>
      <c r="C86" s="98" t="str">
        <f t="shared" si="13"/>
        <v>Process Heat FBT Diesel_N_AD</v>
      </c>
      <c r="D86" s="98" t="str">
        <f>D85</f>
        <v>INDOILDSL</v>
      </c>
      <c r="E86" s="98" t="str">
        <f>E84</f>
        <v>INDFBTHPR</v>
      </c>
      <c r="F86" s="99">
        <f t="shared" si="14"/>
        <v>2035</v>
      </c>
      <c r="G86" s="98">
        <f>G85+10</f>
        <v>2035</v>
      </c>
      <c r="H86" s="143">
        <f>H84*0.85</f>
        <v>1.0897435897435896</v>
      </c>
      <c r="I86" s="148">
        <f>I84*I44/I42</f>
        <v>25.676085922370003</v>
      </c>
      <c r="J86" s="148">
        <f t="shared" si="15"/>
        <v>2.5676085922370007</v>
      </c>
      <c r="K86" s="145">
        <v>30</v>
      </c>
      <c r="L86" s="145">
        <v>0.8</v>
      </c>
      <c r="R86" s="37"/>
      <c r="S86" s="37" t="str">
        <f>"INDFBTMCD"&amp;RIGHT(Commodities!$D$33,6)&amp;"_"&amp;AA86</f>
        <v>INDFBTMCDGASNAT_IM</v>
      </c>
      <c r="T86" s="37" t="str">
        <f>"Machine Drive FBT N. Gas"&amp;"_"&amp;$S$5&amp;"_"&amp;AA86</f>
        <v>Machine Drive FBT N. Gas_N_IM</v>
      </c>
      <c r="U86" s="37" t="s">
        <v>206</v>
      </c>
      <c r="V86" s="37" t="s">
        <v>293</v>
      </c>
      <c r="W86" s="37"/>
      <c r="X86" s="37"/>
      <c r="Y86" s="37"/>
      <c r="AA86" s="72" t="s">
        <v>275</v>
      </c>
      <c r="AG86" s="72"/>
      <c r="AH86" s="72"/>
      <c r="AI86" s="102"/>
      <c r="AJ86" s="72"/>
      <c r="AK86" s="72"/>
      <c r="AL86" s="72"/>
      <c r="AM86" s="72"/>
      <c r="AN86" s="102"/>
      <c r="AO86" s="102"/>
      <c r="AQ86" s="72"/>
      <c r="AR86" s="72"/>
    </row>
    <row r="87" spans="2:44" ht="13.8" x14ac:dyDescent="0.25">
      <c r="B87" s="37" t="str">
        <f t="shared" si="13"/>
        <v>INDFBTHPROILHFO_ST</v>
      </c>
      <c r="C87" s="37" t="str">
        <f t="shared" si="13"/>
        <v>Process Heat FBT HFO_N_ST</v>
      </c>
      <c r="D87" s="72" t="s">
        <v>265</v>
      </c>
      <c r="E87" s="72" t="s">
        <v>266</v>
      </c>
      <c r="F87" s="94">
        <f>G87</f>
        <v>2018</v>
      </c>
      <c r="G87" s="72">
        <v>2018</v>
      </c>
      <c r="H87" s="140">
        <f>O79</f>
        <v>1.2820512820512819</v>
      </c>
      <c r="I87" s="95">
        <f>(378.432*(1/0.9))*(1/25)</f>
        <v>16.819200000000002</v>
      </c>
      <c r="J87" s="147">
        <f t="shared" si="15"/>
        <v>1.6819200000000003</v>
      </c>
      <c r="K87" s="141">
        <v>30</v>
      </c>
      <c r="L87" s="141">
        <v>0.8</v>
      </c>
      <c r="O87" s="102"/>
      <c r="R87" s="37"/>
      <c r="S87" s="37" t="str">
        <f>"INDFBTMCD"&amp;RIGHT(Commodities!$D$33,6)&amp;"_"&amp;AA87</f>
        <v>INDFBTMCDGASNAT_AD</v>
      </c>
      <c r="T87" s="37" t="str">
        <f>"Machine Drive FBT N. Gas"&amp;"_"&amp;$S$5&amp;"_"&amp;AA87</f>
        <v>Machine Drive FBT N. Gas_N_AD</v>
      </c>
      <c r="U87" s="37" t="s">
        <v>206</v>
      </c>
      <c r="V87" s="37" t="s">
        <v>293</v>
      </c>
      <c r="W87" s="37"/>
      <c r="X87" s="37"/>
      <c r="Y87" s="37"/>
      <c r="AA87" s="72" t="s">
        <v>276</v>
      </c>
      <c r="AG87" s="72"/>
      <c r="AH87" s="72"/>
      <c r="AI87" s="102"/>
      <c r="AJ87" s="72"/>
      <c r="AK87" s="72"/>
      <c r="AL87" s="72"/>
      <c r="AM87" s="72"/>
      <c r="AN87" s="102"/>
      <c r="AO87" s="102"/>
      <c r="AQ87" s="72"/>
      <c r="AR87" s="72"/>
    </row>
    <row r="88" spans="2:44" ht="13.8" x14ac:dyDescent="0.25">
      <c r="B88" s="37" t="str">
        <f t="shared" si="13"/>
        <v>INDFBTHPROILHFO_IM</v>
      </c>
      <c r="C88" s="37" t="str">
        <f t="shared" si="13"/>
        <v>Process Heat FBT HFO_N_IM</v>
      </c>
      <c r="D88" s="72" t="str">
        <f>D87</f>
        <v>INDOILHFO</v>
      </c>
      <c r="E88" s="72" t="str">
        <f>E87</f>
        <v>INDFBTHPR</v>
      </c>
      <c r="F88" s="94">
        <f t="shared" si="14"/>
        <v>2025</v>
      </c>
      <c r="G88" s="72">
        <f>G87+7</f>
        <v>2025</v>
      </c>
      <c r="H88" s="140">
        <f>H87*0.95</f>
        <v>1.2179487179487178</v>
      </c>
      <c r="I88" s="147">
        <f>I87*I47/I46</f>
        <v>21.596280288354468</v>
      </c>
      <c r="J88" s="147">
        <f t="shared" si="15"/>
        <v>2.159628028835447</v>
      </c>
      <c r="K88" s="141">
        <v>30</v>
      </c>
      <c r="L88" s="141">
        <v>0.8</v>
      </c>
      <c r="R88" s="37"/>
      <c r="S88" s="37" t="str">
        <f>"INDFBTMCD"&amp;RIGHT(Commodities!$D$341,3)&amp;"_"&amp;AA88</f>
        <v>INDFBTMCDELC_ST</v>
      </c>
      <c r="T88" s="37" t="str">
        <f>"Machine Drive FBT Electricity"&amp;"_"&amp;$S$5&amp;"_"&amp;AA88</f>
        <v>Machine Drive FBT Electricity_N_ST</v>
      </c>
      <c r="U88" s="37" t="s">
        <v>206</v>
      </c>
      <c r="V88" s="37" t="s">
        <v>293</v>
      </c>
      <c r="W88" s="37" t="s">
        <v>42</v>
      </c>
      <c r="X88" s="37"/>
      <c r="Y88" s="37"/>
      <c r="AA88" s="72" t="s">
        <v>274</v>
      </c>
      <c r="AG88" s="72"/>
      <c r="AH88" s="72"/>
      <c r="AI88" s="102"/>
    </row>
    <row r="89" spans="2:44" ht="13.8" x14ac:dyDescent="0.25">
      <c r="B89" s="98" t="str">
        <f t="shared" si="13"/>
        <v>INDFBTHPROILHFO_AD</v>
      </c>
      <c r="C89" s="98" t="str">
        <f t="shared" si="13"/>
        <v>Process Heat FBT HFO_N_AD</v>
      </c>
      <c r="D89" s="98" t="str">
        <f>D88</f>
        <v>INDOILHFO</v>
      </c>
      <c r="E89" s="98" t="str">
        <f>E87</f>
        <v>INDFBTHPR</v>
      </c>
      <c r="F89" s="99">
        <f t="shared" si="14"/>
        <v>2035</v>
      </c>
      <c r="G89" s="98">
        <f>G88+10</f>
        <v>2035</v>
      </c>
      <c r="H89" s="143">
        <f>H87*0.85</f>
        <v>1.0897435897435896</v>
      </c>
      <c r="I89" s="148">
        <f>I87*I47/I45</f>
        <v>30.811303106844004</v>
      </c>
      <c r="J89" s="148">
        <f t="shared" si="15"/>
        <v>3.0811303106844008</v>
      </c>
      <c r="K89" s="145">
        <v>30</v>
      </c>
      <c r="L89" s="145">
        <v>0.8</v>
      </c>
      <c r="R89" s="37"/>
      <c r="S89" s="37" t="str">
        <f>"INDFBTMCD"&amp;RIGHT(Commodities!$D$341,3)&amp;"_"&amp;AA89</f>
        <v>INDFBTMCDELC_IM</v>
      </c>
      <c r="T89" s="37" t="str">
        <f>"Machine Drive FBT Electricity"&amp;"_"&amp;$S$5&amp;"_"&amp;AA89</f>
        <v>Machine Drive FBT Electricity_N_IM</v>
      </c>
      <c r="U89" s="37" t="s">
        <v>206</v>
      </c>
      <c r="V89" s="37" t="s">
        <v>293</v>
      </c>
      <c r="W89" s="37" t="s">
        <v>42</v>
      </c>
      <c r="X89" s="37"/>
      <c r="Y89" s="37"/>
      <c r="AA89" s="72" t="s">
        <v>275</v>
      </c>
      <c r="AG89" s="72"/>
      <c r="AH89" s="72"/>
      <c r="AI89" s="102"/>
    </row>
    <row r="90" spans="2:44" ht="13.8" x14ac:dyDescent="0.25">
      <c r="B90" s="37" t="str">
        <f t="shared" si="13"/>
        <v>INDFBTHPROILPCK_ST</v>
      </c>
      <c r="C90" s="37" t="str">
        <f t="shared" si="13"/>
        <v>Process Heat FBT PetCoke_N_ST</v>
      </c>
      <c r="D90" s="72" t="s">
        <v>160</v>
      </c>
      <c r="E90" s="72" t="s">
        <v>266</v>
      </c>
      <c r="F90" s="94">
        <f>G90</f>
        <v>2018</v>
      </c>
      <c r="G90" s="72">
        <v>2018</v>
      </c>
      <c r="H90" s="140">
        <f>O80</f>
        <v>1.4285714285714286</v>
      </c>
      <c r="I90" s="95">
        <f>(728.4816*(1/0.9))*(1/25)</f>
        <v>32.376959999999997</v>
      </c>
      <c r="J90" s="147">
        <f t="shared" si="15"/>
        <v>3.2376959999999997</v>
      </c>
      <c r="K90" s="141">
        <v>30</v>
      </c>
      <c r="L90" s="141">
        <v>0.8</v>
      </c>
      <c r="O90" s="102"/>
      <c r="R90" s="98"/>
      <c r="S90" s="98" t="str">
        <f>"INDFBTMCD"&amp;RIGHT(Commodities!$D$341,3)&amp;"_"&amp;AA90</f>
        <v>INDFBTMCDELC_AD</v>
      </c>
      <c r="T90" s="98" t="str">
        <f>"Machine Drive FBT Electricity"&amp;"_"&amp;$S$5&amp;"_"&amp;AA90</f>
        <v>Machine Drive FBT Electricity_N_AD</v>
      </c>
      <c r="U90" s="98" t="s">
        <v>206</v>
      </c>
      <c r="V90" s="98" t="s">
        <v>293</v>
      </c>
      <c r="W90" s="98" t="s">
        <v>42</v>
      </c>
      <c r="X90" s="98"/>
      <c r="Y90" s="98"/>
      <c r="AA90" s="72" t="s">
        <v>276</v>
      </c>
      <c r="AG90" s="72"/>
      <c r="AH90" s="72"/>
      <c r="AI90" s="102"/>
    </row>
    <row r="91" spans="2:44" ht="13.8" x14ac:dyDescent="0.25">
      <c r="B91" s="37" t="str">
        <f t="shared" si="13"/>
        <v>INDFBTHPROILPCK_IM</v>
      </c>
      <c r="C91" s="37" t="str">
        <f t="shared" si="13"/>
        <v>Process Heat FBT PetCoke_N_IM</v>
      </c>
      <c r="D91" s="72" t="str">
        <f>D90</f>
        <v>INDOILPCK</v>
      </c>
      <c r="E91" s="72" t="str">
        <f>E90</f>
        <v>INDFBTHPR</v>
      </c>
      <c r="F91" s="94">
        <f t="shared" si="14"/>
        <v>2025</v>
      </c>
      <c r="G91" s="72">
        <f>G90+7</f>
        <v>2025</v>
      </c>
      <c r="H91" s="140">
        <f>H90*0.95</f>
        <v>1.3571428571428572</v>
      </c>
      <c r="I91" s="147">
        <f>I90*I50/I49</f>
        <v>41.572839555082332</v>
      </c>
      <c r="J91" s="147">
        <f t="shared" si="15"/>
        <v>4.157283955508233</v>
      </c>
      <c r="K91" s="141">
        <v>30</v>
      </c>
      <c r="L91" s="141">
        <v>0.8</v>
      </c>
      <c r="R91" s="37"/>
      <c r="S91" s="37" t="str">
        <f>"INDFBTOEN"&amp;RIGHT(Commodities!$D$341,6)&amp;"_"&amp;AA91</f>
        <v>INDFBTOENINDELC_ST</v>
      </c>
      <c r="T91" s="37" t="str">
        <f>"Other Energy FBT Electricity"&amp;"_"&amp;$S$5&amp;"_"&amp;AA91</f>
        <v>Other Energy FBT Electricity_N_ST</v>
      </c>
      <c r="U91" s="37" t="s">
        <v>206</v>
      </c>
      <c r="V91" s="37" t="s">
        <v>293</v>
      </c>
      <c r="W91" s="37" t="s">
        <v>42</v>
      </c>
      <c r="X91" s="37"/>
      <c r="Y91" s="37"/>
      <c r="AA91" s="72" t="s">
        <v>274</v>
      </c>
      <c r="AG91" s="72"/>
      <c r="AH91" s="72"/>
      <c r="AI91" s="102"/>
    </row>
    <row r="92" spans="2:44" ht="13.8" x14ac:dyDescent="0.25">
      <c r="B92" s="98" t="str">
        <f t="shared" si="13"/>
        <v>INDFBTHPROILPCK_AD</v>
      </c>
      <c r="C92" s="98" t="str">
        <f t="shared" si="13"/>
        <v>Process Heat FBT PetCoke_N_AD</v>
      </c>
      <c r="D92" s="98" t="str">
        <f>D91</f>
        <v>INDOILPCK</v>
      </c>
      <c r="E92" s="98" t="str">
        <f>E90</f>
        <v>INDFBTHPR</v>
      </c>
      <c r="F92" s="99">
        <f t="shared" si="14"/>
        <v>2035</v>
      </c>
      <c r="G92" s="98">
        <f>G91+10</f>
        <v>2035</v>
      </c>
      <c r="H92" s="143">
        <f>H90*0.85</f>
        <v>1.2142857142857142</v>
      </c>
      <c r="I92" s="148">
        <f>I90*I50/I48</f>
        <v>59.31175848067469</v>
      </c>
      <c r="J92" s="148">
        <f t="shared" si="15"/>
        <v>5.9311758480674692</v>
      </c>
      <c r="K92" s="145">
        <v>30</v>
      </c>
      <c r="L92" s="145">
        <v>0.8</v>
      </c>
      <c r="R92" s="37"/>
      <c r="S92" s="37" t="str">
        <f>"INDFBTOEN"&amp;RIGHT(Commodities!$D$341,6)&amp;"_"&amp;AA92</f>
        <v>INDFBTOENINDELC_IM</v>
      </c>
      <c r="T92" s="37" t="str">
        <f>"Other Energy FBT Electricity"&amp;"_"&amp;$S$5&amp;"_"&amp;AA92</f>
        <v>Other Energy FBT Electricity_N_IM</v>
      </c>
      <c r="U92" s="37" t="s">
        <v>206</v>
      </c>
      <c r="V92" s="37" t="s">
        <v>293</v>
      </c>
      <c r="W92" s="37" t="s">
        <v>42</v>
      </c>
      <c r="X92" s="37"/>
      <c r="Y92" s="37"/>
      <c r="AA92" s="72" t="s">
        <v>275</v>
      </c>
      <c r="AG92" s="72"/>
      <c r="AH92" s="72"/>
      <c r="AI92" s="102"/>
    </row>
    <row r="93" spans="2:44" ht="13.8" x14ac:dyDescent="0.25">
      <c r="B93" s="37" t="str">
        <f t="shared" si="13"/>
        <v>INDFBTHPROILOTH_ST</v>
      </c>
      <c r="C93" s="37" t="str">
        <f t="shared" si="13"/>
        <v>Process Heat FBT Other Oil Products_N_ST</v>
      </c>
      <c r="D93" s="72" t="s">
        <v>162</v>
      </c>
      <c r="E93" s="72" t="s">
        <v>266</v>
      </c>
      <c r="F93" s="94">
        <f>G93</f>
        <v>2018</v>
      </c>
      <c r="G93" s="72">
        <v>2018</v>
      </c>
      <c r="H93" s="140">
        <f>O81</f>
        <v>1.2820512820512819</v>
      </c>
      <c r="I93" s="95">
        <f>(378.432*(1/0.9))*(1/25)</f>
        <v>16.819200000000002</v>
      </c>
      <c r="J93" s="147">
        <f t="shared" si="15"/>
        <v>1.6819200000000003</v>
      </c>
      <c r="K93" s="141">
        <v>30</v>
      </c>
      <c r="L93" s="141">
        <v>0.8</v>
      </c>
      <c r="O93" s="102"/>
      <c r="R93" s="98"/>
      <c r="S93" s="98" t="str">
        <f>"INDFBTOEN"&amp;RIGHT(Commodities!$D$341,6)&amp;"_"&amp;AA93</f>
        <v>INDFBTOENINDELC_AD</v>
      </c>
      <c r="T93" s="98" t="str">
        <f>"Other Energy FBT Electricity"&amp;"_"&amp;$S$5&amp;"_"&amp;AA93</f>
        <v>Other Energy FBT Electricity_N_AD</v>
      </c>
      <c r="U93" s="98" t="s">
        <v>206</v>
      </c>
      <c r="V93" s="98" t="s">
        <v>293</v>
      </c>
      <c r="W93" s="98" t="s">
        <v>42</v>
      </c>
      <c r="X93" s="98"/>
      <c r="Y93" s="98"/>
      <c r="AA93" s="72" t="s">
        <v>276</v>
      </c>
      <c r="AM93" s="72"/>
      <c r="AN93" s="72"/>
      <c r="AO93" s="102"/>
    </row>
    <row r="94" spans="2:44" ht="13.8" x14ac:dyDescent="0.25">
      <c r="B94" s="37" t="str">
        <f t="shared" si="13"/>
        <v>INDFBTHPROILOTH_IM</v>
      </c>
      <c r="C94" s="37" t="str">
        <f t="shared" si="13"/>
        <v>Process Heat FBT Other Oil Products_N_IM</v>
      </c>
      <c r="D94" s="72" t="str">
        <f>D93</f>
        <v>INDOILOTH</v>
      </c>
      <c r="E94" s="72" t="str">
        <f>E93</f>
        <v>INDFBTHPR</v>
      </c>
      <c r="F94" s="94">
        <f t="shared" si="14"/>
        <v>2025</v>
      </c>
      <c r="G94" s="72">
        <f>G93+7</f>
        <v>2025</v>
      </c>
      <c r="H94" s="140">
        <f>H93*0.95</f>
        <v>1.2179487179487178</v>
      </c>
      <c r="I94" s="147">
        <f>I93*I53/I52</f>
        <v>21.596280288354468</v>
      </c>
      <c r="J94" s="147">
        <f t="shared" si="15"/>
        <v>2.159628028835447</v>
      </c>
      <c r="K94" s="141">
        <v>30</v>
      </c>
      <c r="L94" s="141">
        <v>0.8</v>
      </c>
      <c r="R94" s="37" t="s">
        <v>277</v>
      </c>
      <c r="S94" s="37" t="str">
        <f>"INDDEMFBT_N_"&amp;AA94</f>
        <v>INDDEMFBT_N_ST</v>
      </c>
      <c r="T94" s="37" t="str">
        <f>"FBT Industry Demand Technology_N_"&amp;AA94</f>
        <v>FBT Industry Demand Technology_N_ST</v>
      </c>
      <c r="U94" s="37" t="s">
        <v>206</v>
      </c>
      <c r="V94" s="37" t="s">
        <v>293</v>
      </c>
      <c r="W94" s="37"/>
      <c r="X94" s="37"/>
      <c r="Y94" s="37"/>
      <c r="AA94" s="72" t="s">
        <v>274</v>
      </c>
      <c r="AM94" s="72"/>
      <c r="AN94" s="72"/>
      <c r="AO94" s="102"/>
    </row>
    <row r="95" spans="2:44" ht="13.8" x14ac:dyDescent="0.25">
      <c r="B95" s="98" t="str">
        <f t="shared" si="13"/>
        <v>INDFBTHPROILOTH_AD</v>
      </c>
      <c r="C95" s="98" t="str">
        <f t="shared" si="13"/>
        <v>Process Heat FBT Other Oil Products_N_AD</v>
      </c>
      <c r="D95" s="98" t="str">
        <f>D94</f>
        <v>INDOILOTH</v>
      </c>
      <c r="E95" s="98" t="str">
        <f>E93</f>
        <v>INDFBTHPR</v>
      </c>
      <c r="F95" s="99">
        <f t="shared" si="14"/>
        <v>2035</v>
      </c>
      <c r="G95" s="98">
        <f>G94+10</f>
        <v>2035</v>
      </c>
      <c r="H95" s="143">
        <f>H93*0.85</f>
        <v>1.0897435897435896</v>
      </c>
      <c r="I95" s="148">
        <f>I93*I53/I51</f>
        <v>30.811303106844004</v>
      </c>
      <c r="J95" s="148">
        <f t="shared" si="15"/>
        <v>3.0811303106844008</v>
      </c>
      <c r="K95" s="145">
        <v>30</v>
      </c>
      <c r="L95" s="145">
        <v>0.8</v>
      </c>
      <c r="R95" s="37"/>
      <c r="S95" s="37" t="str">
        <f>"INDDEMFBT_N_"&amp;AA95</f>
        <v>INDDEMFBT_N_IM</v>
      </c>
      <c r="T95" s="37" t="str">
        <f>"FBT Industry Demand Technology_N_"&amp;AA95</f>
        <v>FBT Industry Demand Technology_N_IM</v>
      </c>
      <c r="U95" s="37" t="s">
        <v>206</v>
      </c>
      <c r="V95" s="37" t="s">
        <v>293</v>
      </c>
      <c r="W95" s="37"/>
      <c r="X95" s="37"/>
      <c r="Y95" s="37"/>
      <c r="AA95" s="72" t="s">
        <v>275</v>
      </c>
      <c r="AM95" s="72"/>
      <c r="AN95" s="72"/>
      <c r="AO95" s="102"/>
    </row>
    <row r="96" spans="2:44" ht="13.8" x14ac:dyDescent="0.25">
      <c r="B96" s="37" t="str">
        <f t="shared" si="13"/>
        <v>INDFBTHPRGASNAT_ST</v>
      </c>
      <c r="C96" s="37" t="str">
        <f t="shared" si="13"/>
        <v>Process Heat FBT N. Gas_N_ST</v>
      </c>
      <c r="D96" s="72" t="s">
        <v>164</v>
      </c>
      <c r="E96" s="72" t="s">
        <v>266</v>
      </c>
      <c r="F96" s="94">
        <f>G96</f>
        <v>2018</v>
      </c>
      <c r="G96" s="72">
        <v>2018</v>
      </c>
      <c r="H96" s="140">
        <f>O82</f>
        <v>1.25</v>
      </c>
      <c r="I96" s="95">
        <f>(208.1376*(1/0.9))*(1/25)*1.5</f>
        <v>13.87584</v>
      </c>
      <c r="J96" s="147">
        <f t="shared" si="15"/>
        <v>1.3875840000000002</v>
      </c>
      <c r="K96" s="141">
        <v>30</v>
      </c>
      <c r="L96" s="141">
        <v>0.8</v>
      </c>
      <c r="O96" s="102"/>
      <c r="R96" s="98"/>
      <c r="S96" s="98" t="str">
        <f>"INDDEMFBT_N_"&amp;AA96</f>
        <v>INDDEMFBT_N_AD</v>
      </c>
      <c r="T96" s="98" t="str">
        <f>"FBT Industry Demand Technology_N_"&amp;AA96</f>
        <v>FBT Industry Demand Technology_N_AD</v>
      </c>
      <c r="U96" s="98" t="s">
        <v>206</v>
      </c>
      <c r="V96" s="98" t="s">
        <v>293</v>
      </c>
      <c r="W96" s="98"/>
      <c r="X96" s="98"/>
      <c r="Y96" s="98"/>
      <c r="AA96" s="72" t="s">
        <v>276</v>
      </c>
      <c r="AC96" s="72"/>
      <c r="AM96" s="72"/>
      <c r="AN96" s="72"/>
      <c r="AO96" s="102"/>
    </row>
    <row r="97" spans="2:41" ht="13.8" x14ac:dyDescent="0.25">
      <c r="B97" s="37" t="str">
        <f t="shared" si="13"/>
        <v>INDFBTHPRGASNAT_IM</v>
      </c>
      <c r="C97" s="37" t="str">
        <f t="shared" si="13"/>
        <v>Process Heat FBT N. Gas_N_IM</v>
      </c>
      <c r="D97" s="72" t="str">
        <f>D96</f>
        <v>INDGASNAT</v>
      </c>
      <c r="E97" s="72" t="str">
        <f>E96</f>
        <v>INDFBTHPR</v>
      </c>
      <c r="F97" s="94">
        <f t="shared" si="14"/>
        <v>2025</v>
      </c>
      <c r="G97" s="72">
        <f>G96+7</f>
        <v>2025</v>
      </c>
      <c r="H97" s="140">
        <f>H96*0.95</f>
        <v>1.1875</v>
      </c>
      <c r="I97" s="147">
        <f>I96*I56/I55</f>
        <v>20.786419777541152</v>
      </c>
      <c r="J97" s="147">
        <f t="shared" si="15"/>
        <v>2.0786419777541152</v>
      </c>
      <c r="K97" s="141">
        <v>30</v>
      </c>
      <c r="L97" s="141">
        <v>0.8</v>
      </c>
      <c r="R97" s="37" t="s">
        <v>302</v>
      </c>
      <c r="S97" s="37" t="str">
        <f>"INDFBTCHPE"&amp;RIGHT(D124,6)&amp;"_"&amp;AA97</f>
        <v>INDFBTCHPEGASNAT_ST</v>
      </c>
      <c r="T97" s="37" t="str">
        <f>"Onsite CHP FBT N.Gas"&amp;"_"&amp;$S$7&amp;AA97</f>
        <v>Onsite CHP FBT N.Gas_ST</v>
      </c>
      <c r="U97" s="37" t="s">
        <v>206</v>
      </c>
      <c r="V97" s="37" t="s">
        <v>224</v>
      </c>
      <c r="W97" s="37" t="s">
        <v>42</v>
      </c>
      <c r="X97" s="37"/>
      <c r="Y97" s="37"/>
      <c r="AA97" s="72" t="s">
        <v>274</v>
      </c>
      <c r="AC97" s="150"/>
      <c r="AD97" s="150"/>
      <c r="AE97" s="150"/>
      <c r="AM97" s="72"/>
      <c r="AN97" s="72"/>
      <c r="AO97" s="102"/>
    </row>
    <row r="98" spans="2:41" ht="13.8" x14ac:dyDescent="0.25">
      <c r="B98" s="98" t="str">
        <f t="shared" si="13"/>
        <v>INDFBTHPRGASNAT_AD</v>
      </c>
      <c r="C98" s="98" t="str">
        <f t="shared" si="13"/>
        <v>Process Heat FBT N. Gas_N_AD</v>
      </c>
      <c r="D98" s="98" t="str">
        <f>D97</f>
        <v>INDGASNAT</v>
      </c>
      <c r="E98" s="98" t="str">
        <f>E96</f>
        <v>INDFBTHPR</v>
      </c>
      <c r="F98" s="99">
        <f t="shared" si="14"/>
        <v>2035</v>
      </c>
      <c r="G98" s="98">
        <f>G97+10</f>
        <v>2035</v>
      </c>
      <c r="H98" s="143">
        <f>H96*0.85</f>
        <v>1.0625</v>
      </c>
      <c r="I98" s="148">
        <f>I96*I56/I54</f>
        <v>29.655879240337367</v>
      </c>
      <c r="J98" s="148">
        <f t="shared" si="15"/>
        <v>2.9655879240337368</v>
      </c>
      <c r="K98" s="145">
        <v>30</v>
      </c>
      <c r="L98" s="145">
        <v>0.8</v>
      </c>
      <c r="R98" s="37"/>
      <c r="S98" s="37" t="str">
        <f>"INDFBTCHPE"&amp;RIGHT(D124,6)&amp;"_"&amp;AA98</f>
        <v>INDFBTCHPEGASNAT_IM</v>
      </c>
      <c r="T98" s="37" t="str">
        <f t="shared" ref="T98:T99" si="16">"Onsite CHP FBT N.Gas"&amp;"_"&amp;$S$7&amp;AA98</f>
        <v>Onsite CHP FBT N.Gas_IM</v>
      </c>
      <c r="U98" s="37" t="s">
        <v>206</v>
      </c>
      <c r="V98" s="37" t="s">
        <v>224</v>
      </c>
      <c r="W98" s="37" t="s">
        <v>42</v>
      </c>
      <c r="X98" s="37"/>
      <c r="Y98" s="37"/>
      <c r="AA98" s="72" t="s">
        <v>275</v>
      </c>
      <c r="AC98" s="152"/>
      <c r="AD98" s="152"/>
      <c r="AE98" s="152"/>
      <c r="AM98" s="72"/>
      <c r="AN98" s="72"/>
      <c r="AO98" s="102"/>
    </row>
    <row r="99" spans="2:41" ht="13.8" x14ac:dyDescent="0.25">
      <c r="B99" s="37" t="str">
        <f t="shared" si="13"/>
        <v>INDFBTHPRBIOLOG_ST</v>
      </c>
      <c r="C99" s="37" t="str">
        <f t="shared" si="13"/>
        <v>Process Heat FBT Biomass_N_ST</v>
      </c>
      <c r="D99" s="72" t="s">
        <v>168</v>
      </c>
      <c r="E99" s="72" t="s">
        <v>266</v>
      </c>
      <c r="F99" s="94">
        <f>G99</f>
        <v>2018</v>
      </c>
      <c r="G99" s="72">
        <v>2018</v>
      </c>
      <c r="H99" s="140">
        <f>O83</f>
        <v>1.4285714285714286</v>
      </c>
      <c r="I99" s="95">
        <f>(728.4816*(1/0.9))*(1/25)</f>
        <v>32.376959999999997</v>
      </c>
      <c r="J99" s="147">
        <f t="shared" si="15"/>
        <v>3.2376959999999997</v>
      </c>
      <c r="K99" s="141">
        <v>30</v>
      </c>
      <c r="L99" s="141">
        <v>0.8</v>
      </c>
      <c r="O99" s="102"/>
      <c r="R99" s="98"/>
      <c r="S99" s="98" t="str">
        <f>"INDFBTCHPE"&amp;RIGHT(D124,6)&amp;"_"&amp;AA99</f>
        <v>INDFBTCHPEGASNAT_AD</v>
      </c>
      <c r="T99" s="98" t="str">
        <f t="shared" si="16"/>
        <v>Onsite CHP FBT N.Gas_AD</v>
      </c>
      <c r="U99" s="98" t="s">
        <v>206</v>
      </c>
      <c r="V99" s="98" t="s">
        <v>224</v>
      </c>
      <c r="W99" s="98" t="s">
        <v>42</v>
      </c>
      <c r="X99" s="98"/>
      <c r="Y99" s="98"/>
      <c r="AA99" s="72" t="s">
        <v>276</v>
      </c>
      <c r="AB99" s="72"/>
      <c r="AC99" s="152"/>
      <c r="AD99" s="152"/>
      <c r="AE99" s="152"/>
      <c r="AM99" s="72"/>
      <c r="AN99" s="72"/>
      <c r="AO99" s="102"/>
    </row>
    <row r="100" spans="2:41" ht="13.8" x14ac:dyDescent="0.25">
      <c r="B100" s="37" t="str">
        <f t="shared" si="13"/>
        <v>INDFBTHPRBIOLOG_IM</v>
      </c>
      <c r="C100" s="37" t="str">
        <f t="shared" si="13"/>
        <v>Process Heat FBT Biomass_N_IM</v>
      </c>
      <c r="D100" s="72" t="str">
        <f>D99</f>
        <v>INDBIOLOG</v>
      </c>
      <c r="E100" s="72" t="str">
        <f>E99</f>
        <v>INDFBTHPR</v>
      </c>
      <c r="F100" s="94">
        <f t="shared" si="14"/>
        <v>2025</v>
      </c>
      <c r="G100" s="72">
        <f>G99+7</f>
        <v>2025</v>
      </c>
      <c r="H100" s="140">
        <f>H99*0.95</f>
        <v>1.3571428571428572</v>
      </c>
      <c r="I100" s="147">
        <f>I99*I59/I58</f>
        <v>53.380582632607201</v>
      </c>
      <c r="J100" s="147">
        <f t="shared" si="15"/>
        <v>5.3380582632607201</v>
      </c>
      <c r="K100" s="141">
        <v>30</v>
      </c>
      <c r="L100" s="141">
        <v>0.8</v>
      </c>
      <c r="X100" s="151"/>
      <c r="Y100" s="151"/>
      <c r="AB100" s="150"/>
      <c r="AD100" s="153"/>
      <c r="AE100" s="153"/>
      <c r="AM100" s="72"/>
      <c r="AN100" s="72"/>
      <c r="AO100" s="102"/>
    </row>
    <row r="101" spans="2:41" ht="13.8" x14ac:dyDescent="0.25">
      <c r="B101" s="98" t="str">
        <f t="shared" si="13"/>
        <v>INDFBTHPRBIOLOG_AD</v>
      </c>
      <c r="C101" s="98" t="str">
        <f t="shared" si="13"/>
        <v>Process Heat FBT Biomass_N_AD</v>
      </c>
      <c r="D101" s="98" t="str">
        <f>D100</f>
        <v>INDBIOLOG</v>
      </c>
      <c r="E101" s="98" t="str">
        <f>E99</f>
        <v>INDFBTHPR</v>
      </c>
      <c r="F101" s="99">
        <f t="shared" si="14"/>
        <v>2035</v>
      </c>
      <c r="G101" s="98">
        <f>G100+10</f>
        <v>2035</v>
      </c>
      <c r="H101" s="143">
        <f>H99*0.85</f>
        <v>1.2142857142857142</v>
      </c>
      <c r="I101" s="148">
        <f>I99*I59/I57</f>
        <v>97.788557809717062</v>
      </c>
      <c r="J101" s="148">
        <f t="shared" si="15"/>
        <v>9.7788557809717069</v>
      </c>
      <c r="K101" s="145">
        <v>30</v>
      </c>
      <c r="L101" s="145">
        <v>0.8</v>
      </c>
      <c r="X101" s="151"/>
      <c r="Y101" s="151"/>
      <c r="AB101" s="152"/>
      <c r="AD101" s="153"/>
      <c r="AE101" s="153"/>
      <c r="AM101" s="72"/>
      <c r="AN101" s="72"/>
      <c r="AO101" s="102"/>
    </row>
    <row r="102" spans="2:41" ht="13.8" x14ac:dyDescent="0.25">
      <c r="B102" s="37" t="str">
        <f t="shared" si="13"/>
        <v>INDFBTHPRHTH_ST</v>
      </c>
      <c r="C102" s="37" t="str">
        <f t="shared" si="13"/>
        <v>Process Heat FBT Heat_N_ST</v>
      </c>
      <c r="D102" s="72" t="s">
        <v>1015</v>
      </c>
      <c r="E102" s="72" t="s">
        <v>266</v>
      </c>
      <c r="F102" s="94">
        <f>G102</f>
        <v>2018</v>
      </c>
      <c r="G102" s="72">
        <v>2018</v>
      </c>
      <c r="H102" s="140">
        <f>O84</f>
        <v>1.2</v>
      </c>
      <c r="I102" s="95">
        <f>(473.04*(1/0.9))*(1/25)</f>
        <v>21.024000000000001</v>
      </c>
      <c r="J102" s="147">
        <f t="shared" si="15"/>
        <v>2.1024000000000003</v>
      </c>
      <c r="K102" s="141">
        <v>30</v>
      </c>
      <c r="L102" s="141">
        <v>0.8</v>
      </c>
      <c r="O102" s="102"/>
      <c r="AB102" s="152"/>
      <c r="AD102" s="153"/>
      <c r="AE102" s="153"/>
      <c r="AM102" s="72"/>
      <c r="AN102" s="72"/>
      <c r="AO102" s="102"/>
    </row>
    <row r="103" spans="2:41" ht="13.8" x14ac:dyDescent="0.25">
      <c r="B103" s="37" t="str">
        <f t="shared" si="13"/>
        <v>INDFBTHPRHTH_IM</v>
      </c>
      <c r="C103" s="37" t="str">
        <f t="shared" si="13"/>
        <v>Process Heat FBT Heat_N_IM</v>
      </c>
      <c r="D103" s="72" t="str">
        <f>D102</f>
        <v>INDFBTHTH</v>
      </c>
      <c r="E103" s="72" t="str">
        <f>E102</f>
        <v>INDFBTHPR</v>
      </c>
      <c r="F103" s="94">
        <f t="shared" si="14"/>
        <v>2025</v>
      </c>
      <c r="G103" s="72">
        <f>G102+7</f>
        <v>2025</v>
      </c>
      <c r="H103" s="140">
        <f>H102*0.95</f>
        <v>1.1399999999999999</v>
      </c>
      <c r="I103" s="147">
        <f>I102*I62/I61</f>
        <v>26.995350360443084</v>
      </c>
      <c r="J103" s="147">
        <f t="shared" si="15"/>
        <v>2.6995350360443084</v>
      </c>
      <c r="K103" s="141">
        <v>30</v>
      </c>
      <c r="L103" s="141">
        <v>0.8</v>
      </c>
      <c r="AD103" s="153"/>
      <c r="AE103" s="153"/>
      <c r="AM103" s="72"/>
      <c r="AN103" s="72"/>
      <c r="AO103" s="102"/>
    </row>
    <row r="104" spans="2:41" ht="13.8" x14ac:dyDescent="0.25">
      <c r="B104" s="98" t="str">
        <f t="shared" si="13"/>
        <v>INDFBTHPRHTH_AD</v>
      </c>
      <c r="C104" s="98" t="str">
        <f t="shared" si="13"/>
        <v>Process Heat FBT Heat_N_AD</v>
      </c>
      <c r="D104" s="98" t="str">
        <f>D103</f>
        <v>INDFBTHTH</v>
      </c>
      <c r="E104" s="98" t="str">
        <f>E102</f>
        <v>INDFBTHPR</v>
      </c>
      <c r="F104" s="99">
        <f t="shared" si="14"/>
        <v>2035</v>
      </c>
      <c r="G104" s="98">
        <f>G103+10</f>
        <v>2035</v>
      </c>
      <c r="H104" s="143">
        <f>H102*0.85</f>
        <v>1.02</v>
      </c>
      <c r="I104" s="148">
        <f>I102*I62/I60</f>
        <v>38.514128883555003</v>
      </c>
      <c r="J104" s="148">
        <f t="shared" si="15"/>
        <v>3.8514128883555006</v>
      </c>
      <c r="K104" s="145">
        <v>30</v>
      </c>
      <c r="L104" s="145">
        <v>0.8</v>
      </c>
      <c r="AD104" s="153"/>
      <c r="AE104" s="153"/>
      <c r="AM104" s="72"/>
      <c r="AN104" s="72"/>
      <c r="AO104" s="102"/>
    </row>
    <row r="105" spans="2:41" ht="13.8" x14ac:dyDescent="0.25">
      <c r="B105" s="37" t="str">
        <f t="shared" si="13"/>
        <v>INDFBTHPRELC_ST</v>
      </c>
      <c r="C105" s="37" t="str">
        <f t="shared" si="13"/>
        <v>Process Heat FBT Electricity_N_ST</v>
      </c>
      <c r="D105" s="72" t="str">
        <f>D66</f>
        <v>INDELC</v>
      </c>
      <c r="E105" s="72" t="s">
        <v>266</v>
      </c>
      <c r="F105" s="94">
        <f>G105</f>
        <v>2018</v>
      </c>
      <c r="G105" s="72">
        <v>2018</v>
      </c>
      <c r="H105" s="140">
        <f>O85</f>
        <v>1.1000000000000001</v>
      </c>
      <c r="I105" s="95">
        <f>(473.04*(1/0.9))*(1/25)</f>
        <v>21.024000000000001</v>
      </c>
      <c r="J105" s="147">
        <f t="shared" si="15"/>
        <v>2.1024000000000003</v>
      </c>
      <c r="K105" s="141">
        <v>30</v>
      </c>
      <c r="L105" s="141">
        <v>0.8</v>
      </c>
      <c r="O105" s="102"/>
      <c r="R105" s="72"/>
      <c r="S105" s="72"/>
      <c r="T105" s="154"/>
      <c r="U105" s="114"/>
      <c r="V105" s="114"/>
      <c r="W105" s="155"/>
      <c r="X105" s="155"/>
      <c r="Y105" s="155"/>
      <c r="Z105" s="72"/>
      <c r="AA105" s="72"/>
      <c r="AD105" s="153"/>
      <c r="AE105" s="153"/>
      <c r="AM105" s="72"/>
      <c r="AN105" s="72"/>
      <c r="AO105" s="102"/>
    </row>
    <row r="106" spans="2:41" ht="13.8" x14ac:dyDescent="0.25">
      <c r="B106" s="37" t="str">
        <f t="shared" si="13"/>
        <v>INDFBTHPRELC_IM</v>
      </c>
      <c r="C106" s="37" t="str">
        <f t="shared" si="13"/>
        <v>Process Heat FBT Electricity_N_IM</v>
      </c>
      <c r="D106" s="72" t="str">
        <f>D105</f>
        <v>INDELC</v>
      </c>
      <c r="E106" s="72" t="str">
        <f>E105</f>
        <v>INDFBTHPR</v>
      </c>
      <c r="F106" s="94">
        <f t="shared" si="14"/>
        <v>2025</v>
      </c>
      <c r="G106" s="72">
        <f>G105+7</f>
        <v>2025</v>
      </c>
      <c r="H106" s="140">
        <f>H105*0.95</f>
        <v>1.0449999999999999</v>
      </c>
      <c r="I106" s="147">
        <f>I105*I65/I64</f>
        <v>26.995350360443084</v>
      </c>
      <c r="J106" s="147">
        <f t="shared" si="15"/>
        <v>2.6995350360443084</v>
      </c>
      <c r="K106" s="141">
        <v>30</v>
      </c>
      <c r="L106" s="141">
        <v>0.8</v>
      </c>
      <c r="R106" s="156"/>
      <c r="S106" s="156"/>
      <c r="T106" s="156"/>
      <c r="U106" s="156"/>
      <c r="V106" s="157"/>
      <c r="W106" s="150"/>
      <c r="X106" s="158"/>
      <c r="Y106" s="150"/>
      <c r="Z106" s="150"/>
      <c r="AA106" s="150"/>
      <c r="AD106" s="153"/>
      <c r="AE106" s="153"/>
      <c r="AM106" s="72"/>
      <c r="AN106" s="72"/>
      <c r="AO106" s="102"/>
    </row>
    <row r="107" spans="2:41" ht="13.8" x14ac:dyDescent="0.25">
      <c r="B107" s="98" t="str">
        <f t="shared" ref="B107:C109" si="17">S78</f>
        <v>INDFBTHPRELC_AD</v>
      </c>
      <c r="C107" s="98" t="str">
        <f t="shared" si="17"/>
        <v>Process Heat FBT Electricity_N_AD</v>
      </c>
      <c r="D107" s="98" t="str">
        <f>D106</f>
        <v>INDELC</v>
      </c>
      <c r="E107" s="98" t="str">
        <f>E105</f>
        <v>INDFBTHPR</v>
      </c>
      <c r="F107" s="99">
        <f t="shared" si="14"/>
        <v>2035</v>
      </c>
      <c r="G107" s="98">
        <f>G106+10</f>
        <v>2035</v>
      </c>
      <c r="H107" s="143">
        <f>H105*0.92</f>
        <v>1.0120000000000002</v>
      </c>
      <c r="I107" s="148">
        <f>I105*I65/I63</f>
        <v>38.514128883555003</v>
      </c>
      <c r="J107" s="148">
        <f t="shared" si="15"/>
        <v>3.8514128883555006</v>
      </c>
      <c r="K107" s="145">
        <v>30</v>
      </c>
      <c r="L107" s="145">
        <v>0.8</v>
      </c>
      <c r="R107" s="152"/>
      <c r="S107" s="152"/>
      <c r="T107" s="152"/>
      <c r="U107" s="152"/>
      <c r="V107" s="101"/>
      <c r="W107" s="152"/>
      <c r="X107" s="152"/>
      <c r="Y107" s="152"/>
      <c r="Z107" s="152"/>
      <c r="AA107" s="152"/>
      <c r="AD107" s="153"/>
      <c r="AE107" s="153"/>
      <c r="AM107" s="72"/>
      <c r="AN107" s="72"/>
      <c r="AO107" s="102"/>
    </row>
    <row r="108" spans="2:41" ht="15" x14ac:dyDescent="0.25">
      <c r="B108" s="37" t="str">
        <f t="shared" si="17"/>
        <v>INDFBTHPRBIOBGS_ST</v>
      </c>
      <c r="C108" s="37" t="str">
        <f t="shared" si="17"/>
        <v>Process Heat FBT Biogas_N_ST</v>
      </c>
      <c r="D108" s="72" t="str">
        <f>Commodities!$D$145</f>
        <v>INDBIOBGS</v>
      </c>
      <c r="E108" s="72" t="s">
        <v>266</v>
      </c>
      <c r="F108" s="94">
        <f>G108</f>
        <v>2018</v>
      </c>
      <c r="G108" s="72">
        <v>2018</v>
      </c>
      <c r="H108" s="140">
        <f>H96</f>
        <v>1.25</v>
      </c>
      <c r="I108" s="95">
        <f>(208.1376*(1/0.9))*(1/25)</f>
        <v>9.2505600000000001</v>
      </c>
      <c r="J108" s="147">
        <f t="shared" si="15"/>
        <v>0.9250560000000001</v>
      </c>
      <c r="K108" s="141">
        <v>30</v>
      </c>
      <c r="L108" s="141">
        <v>0.8</v>
      </c>
      <c r="O108" s="102"/>
      <c r="R108" s="152"/>
      <c r="S108" s="152"/>
      <c r="T108" s="152"/>
      <c r="U108" s="152"/>
      <c r="V108" s="152"/>
      <c r="W108" s="152"/>
      <c r="X108" s="159"/>
      <c r="Y108" s="152"/>
      <c r="Z108" s="152"/>
      <c r="AA108" s="152"/>
      <c r="AD108" s="153"/>
      <c r="AE108" s="153"/>
      <c r="AM108" s="72"/>
      <c r="AN108" s="72"/>
      <c r="AO108" s="102"/>
    </row>
    <row r="109" spans="2:41" ht="13.8" x14ac:dyDescent="0.25">
      <c r="B109" s="37" t="str">
        <f t="shared" si="17"/>
        <v>INDFBTHPRBIOBGS_IM</v>
      </c>
      <c r="C109" s="37" t="str">
        <f t="shared" si="17"/>
        <v>Process Heat FBT Biogas_N_IM</v>
      </c>
      <c r="D109" s="72" t="str">
        <f>D108</f>
        <v>INDBIOBGS</v>
      </c>
      <c r="E109" s="72" t="str">
        <f>E108</f>
        <v>INDFBTHPR</v>
      </c>
      <c r="F109" s="94">
        <f t="shared" ref="F109:F110" si="18">G109</f>
        <v>2025</v>
      </c>
      <c r="G109" s="72">
        <f>G108+7</f>
        <v>2025</v>
      </c>
      <c r="H109" s="140">
        <f t="shared" ref="H109:H110" si="19">H97</f>
        <v>1.1875</v>
      </c>
      <c r="I109" s="147">
        <f>I108*I68/I67</f>
        <v>11.877954158594953</v>
      </c>
      <c r="J109" s="147">
        <f t="shared" si="15"/>
        <v>1.1877954158594954</v>
      </c>
      <c r="K109" s="141">
        <v>30</v>
      </c>
      <c r="L109" s="141">
        <v>0.8</v>
      </c>
      <c r="R109" s="72"/>
      <c r="S109" s="72"/>
      <c r="T109" s="72"/>
      <c r="U109" s="72"/>
      <c r="W109" s="96"/>
      <c r="X109" s="104"/>
      <c r="Z109" s="153"/>
      <c r="AD109" s="153"/>
      <c r="AE109" s="153"/>
      <c r="AM109" s="72"/>
      <c r="AN109" s="72"/>
      <c r="AO109" s="102"/>
    </row>
    <row r="110" spans="2:41" ht="13.8" x14ac:dyDescent="0.25">
      <c r="B110" s="98" t="str">
        <f>S81</f>
        <v>INDFBTHPRBIOBGS_AD</v>
      </c>
      <c r="C110" s="98" t="str">
        <f t="shared" ref="C110" si="20">T81</f>
        <v>Process Heat FBT Biogas_N_AD</v>
      </c>
      <c r="D110" s="98" t="str">
        <f>D109</f>
        <v>INDBIOBGS</v>
      </c>
      <c r="E110" s="98" t="str">
        <f>E108</f>
        <v>INDFBTHPR</v>
      </c>
      <c r="F110" s="99">
        <f t="shared" si="18"/>
        <v>2035</v>
      </c>
      <c r="G110" s="98">
        <f>G109+10</f>
        <v>2035</v>
      </c>
      <c r="H110" s="146">
        <f t="shared" si="19"/>
        <v>1.0625</v>
      </c>
      <c r="I110" s="148">
        <f>I108*I68/I66</f>
        <v>16.946216708764197</v>
      </c>
      <c r="J110" s="148">
        <f t="shared" si="15"/>
        <v>1.6946216708764199</v>
      </c>
      <c r="K110" s="145">
        <v>30</v>
      </c>
      <c r="L110" s="145">
        <v>0.8</v>
      </c>
      <c r="R110" s="72"/>
      <c r="S110" s="72"/>
      <c r="T110" s="72"/>
      <c r="U110" s="72"/>
      <c r="W110" s="96"/>
      <c r="AD110" s="153"/>
      <c r="AE110" s="153"/>
      <c r="AM110" s="72"/>
      <c r="AN110" s="72"/>
      <c r="AO110" s="102"/>
    </row>
    <row r="111" spans="2:41" ht="13.8" x14ac:dyDescent="0.25">
      <c r="B111" s="37"/>
      <c r="R111" s="72"/>
      <c r="S111" s="72"/>
      <c r="T111" s="72"/>
      <c r="U111" s="72"/>
      <c r="W111" s="96"/>
      <c r="AD111" s="153"/>
      <c r="AE111" s="153"/>
      <c r="AM111" s="72"/>
      <c r="AN111" s="72"/>
      <c r="AO111" s="102"/>
    </row>
    <row r="112" spans="2:41" ht="13.8" x14ac:dyDescent="0.25">
      <c r="R112" s="72"/>
      <c r="S112" s="72"/>
      <c r="T112" s="72"/>
      <c r="U112" s="72"/>
      <c r="W112" s="96"/>
      <c r="AD112" s="153"/>
      <c r="AE112" s="153"/>
      <c r="AM112" s="72"/>
      <c r="AN112" s="72"/>
      <c r="AO112" s="102"/>
    </row>
    <row r="113" spans="2:43" ht="13.8" x14ac:dyDescent="0.25">
      <c r="I113" s="35">
        <v>1.5</v>
      </c>
      <c r="R113" s="72"/>
      <c r="S113" s="72"/>
      <c r="T113" s="72"/>
      <c r="U113" s="72"/>
      <c r="W113" s="96"/>
      <c r="AD113" s="153"/>
      <c r="AE113" s="153"/>
      <c r="AM113" s="72"/>
      <c r="AN113" s="72"/>
      <c r="AO113" s="102"/>
    </row>
    <row r="114" spans="2:43" ht="13.8" x14ac:dyDescent="0.25">
      <c r="R114" s="72"/>
      <c r="S114" s="72"/>
      <c r="T114" s="72"/>
      <c r="U114" s="72"/>
      <c r="W114" s="96"/>
      <c r="AD114" s="153"/>
      <c r="AE114" s="153"/>
      <c r="AM114" s="72"/>
      <c r="AN114" s="72"/>
      <c r="AO114" s="102"/>
    </row>
    <row r="115" spans="2:43" ht="13.8" x14ac:dyDescent="0.25">
      <c r="B115" s="37"/>
      <c r="C115" s="37"/>
      <c r="D115" s="37"/>
      <c r="E115" s="136" t="s">
        <v>295</v>
      </c>
      <c r="F115" s="137" t="s">
        <v>0</v>
      </c>
      <c r="G115" s="138" t="s">
        <v>295</v>
      </c>
      <c r="H115" s="138" t="s">
        <v>295</v>
      </c>
      <c r="I115" s="138" t="s">
        <v>295</v>
      </c>
      <c r="J115" s="37"/>
      <c r="K115" s="37"/>
      <c r="L115" s="72"/>
      <c r="R115" s="72"/>
      <c r="S115" s="72"/>
      <c r="T115" s="72"/>
      <c r="U115" s="72"/>
      <c r="W115" s="96"/>
      <c r="AD115" s="153"/>
      <c r="AE115" s="153"/>
      <c r="AM115" s="72"/>
      <c r="AN115" s="72"/>
      <c r="AO115" s="102"/>
    </row>
    <row r="116" spans="2:43" ht="13.8" x14ac:dyDescent="0.25">
      <c r="B116" s="45" t="s">
        <v>1</v>
      </c>
      <c r="C116" s="45" t="s">
        <v>227</v>
      </c>
      <c r="D116" s="45" t="s">
        <v>3</v>
      </c>
      <c r="E116" s="45" t="s">
        <v>4</v>
      </c>
      <c r="F116" s="46" t="s">
        <v>233</v>
      </c>
      <c r="G116" s="45" t="s">
        <v>14</v>
      </c>
      <c r="H116" s="139" t="s">
        <v>250</v>
      </c>
      <c r="I116" s="79" t="s">
        <v>36</v>
      </c>
      <c r="J116" s="49" t="s">
        <v>5</v>
      </c>
      <c r="K116" s="49" t="s">
        <v>48</v>
      </c>
      <c r="L116" s="46" t="s">
        <v>297</v>
      </c>
      <c r="R116" s="72"/>
      <c r="S116" s="72"/>
      <c r="T116" s="72"/>
      <c r="U116" s="72"/>
      <c r="W116" s="96"/>
      <c r="AD116" s="153"/>
      <c r="AE116" s="153"/>
      <c r="AM116" s="72"/>
      <c r="AN116" s="72"/>
      <c r="AO116" s="102"/>
    </row>
    <row r="117" spans="2:43" ht="14.4" thickBot="1" x14ac:dyDescent="0.3">
      <c r="B117" s="54" t="s">
        <v>280</v>
      </c>
      <c r="C117" s="54" t="s">
        <v>28</v>
      </c>
      <c r="D117" s="54" t="s">
        <v>32</v>
      </c>
      <c r="E117" s="54" t="s">
        <v>33</v>
      </c>
      <c r="F117" s="54"/>
      <c r="G117" s="84" t="s">
        <v>35</v>
      </c>
      <c r="H117" s="84"/>
      <c r="I117" s="84" t="s">
        <v>37</v>
      </c>
      <c r="J117" s="54" t="s">
        <v>38</v>
      </c>
      <c r="K117" s="54" t="s">
        <v>218</v>
      </c>
      <c r="L117" s="54"/>
      <c r="R117" s="72"/>
      <c r="S117" s="72"/>
      <c r="T117" s="72"/>
      <c r="U117" s="72"/>
      <c r="W117" s="96"/>
      <c r="AD117" s="153"/>
      <c r="AE117" s="153"/>
      <c r="AM117" s="72"/>
      <c r="AN117" s="72"/>
      <c r="AO117" s="102"/>
    </row>
    <row r="118" spans="2:43" ht="13.8" x14ac:dyDescent="0.25">
      <c r="B118" s="89" t="s">
        <v>281</v>
      </c>
      <c r="C118" s="90"/>
      <c r="D118" s="90"/>
      <c r="E118" s="90"/>
      <c r="F118" s="90"/>
      <c r="G118" s="90"/>
      <c r="H118" s="90"/>
      <c r="I118" s="90" t="s">
        <v>448</v>
      </c>
      <c r="J118" s="90" t="s">
        <v>448</v>
      </c>
      <c r="K118" s="90" t="s">
        <v>40</v>
      </c>
      <c r="L118" s="90"/>
      <c r="R118" s="72"/>
      <c r="S118" s="72"/>
      <c r="T118" s="72"/>
      <c r="U118" s="72"/>
      <c r="AD118" s="153"/>
      <c r="AE118" s="153"/>
      <c r="AM118" s="72"/>
      <c r="AN118" s="72"/>
      <c r="AO118" s="102"/>
    </row>
    <row r="119" spans="2:43" ht="13.8" x14ac:dyDescent="0.25">
      <c r="B119" s="37" t="str">
        <f>S82</f>
        <v>INDFBTMCDOILDSL_ST</v>
      </c>
      <c r="C119" s="37" t="str">
        <f>T82</f>
        <v>Machine Drive FBT Diesel_N_ST</v>
      </c>
      <c r="D119" s="72" t="s">
        <v>150</v>
      </c>
      <c r="E119" s="72" t="s">
        <v>268</v>
      </c>
      <c r="F119" s="94">
        <f>G119</f>
        <v>2018</v>
      </c>
      <c r="G119" s="72">
        <v>2018</v>
      </c>
      <c r="H119" s="140">
        <f>O119</f>
        <v>2</v>
      </c>
      <c r="I119" s="97">
        <v>5.7777777777777786</v>
      </c>
      <c r="J119" s="97">
        <f t="shared" ref="J119:J127" si="21">(I119*0.1)*(1/0.9)</f>
        <v>0.64197530864197538</v>
      </c>
      <c r="K119" s="141">
        <v>20</v>
      </c>
      <c r="L119" s="141">
        <v>0.8</v>
      </c>
      <c r="O119" s="165">
        <v>2</v>
      </c>
      <c r="R119" s="72"/>
      <c r="S119" s="72"/>
      <c r="T119" s="72"/>
      <c r="U119" s="72"/>
      <c r="W119" s="96"/>
      <c r="X119" s="104"/>
      <c r="Z119" s="153"/>
      <c r="AA119" s="166"/>
      <c r="AD119" s="153"/>
      <c r="AE119" s="153"/>
      <c r="AM119" s="72"/>
      <c r="AN119" s="72"/>
      <c r="AO119" s="102"/>
    </row>
    <row r="120" spans="2:43" ht="13.8" x14ac:dyDescent="0.25">
      <c r="B120" s="37" t="str">
        <f t="shared" ref="B120:B124" si="22">S83</f>
        <v>INDFBTMCDOILDSL_IM</v>
      </c>
      <c r="C120" s="37" t="str">
        <f t="shared" ref="B120:C130" si="23">T83</f>
        <v>Machine Drive FBT Diesel_N_IM</v>
      </c>
      <c r="D120" s="72" t="str">
        <f>D119</f>
        <v>INDOILDSL</v>
      </c>
      <c r="E120" s="72" t="str">
        <f>E119</f>
        <v>INDFBTMCD</v>
      </c>
      <c r="F120" s="94">
        <f t="shared" ref="F120:F130" si="24">G120</f>
        <v>2025</v>
      </c>
      <c r="G120" s="72">
        <f>G119+7</f>
        <v>2025</v>
      </c>
      <c r="H120" s="140">
        <f>H119*0.9</f>
        <v>1.8</v>
      </c>
      <c r="I120" s="97">
        <v>8.2431261318225388</v>
      </c>
      <c r="J120" s="97">
        <f t="shared" si="21"/>
        <v>0.9159029035358377</v>
      </c>
      <c r="K120" s="141">
        <v>20</v>
      </c>
      <c r="L120" s="141">
        <v>0.8</v>
      </c>
      <c r="O120" s="165">
        <v>2</v>
      </c>
      <c r="R120" s="72"/>
      <c r="S120" s="72"/>
      <c r="T120" s="72"/>
      <c r="U120" s="72"/>
      <c r="W120" s="96"/>
      <c r="AD120" s="153"/>
      <c r="AE120" s="153"/>
      <c r="AM120" s="72"/>
      <c r="AN120" s="72"/>
      <c r="AO120" s="102"/>
    </row>
    <row r="121" spans="2:43" ht="13.8" x14ac:dyDescent="0.25">
      <c r="B121" s="98" t="str">
        <f t="shared" si="22"/>
        <v>INDFBTMCDOILDSL_AD</v>
      </c>
      <c r="C121" s="98" t="str">
        <f t="shared" si="23"/>
        <v>Machine Drive FBT Diesel_N_AD</v>
      </c>
      <c r="D121" s="98" t="str">
        <f>D120</f>
        <v>INDOILDSL</v>
      </c>
      <c r="E121" s="98" t="str">
        <f>E119</f>
        <v>INDFBTMCD</v>
      </c>
      <c r="F121" s="99">
        <f t="shared" si="24"/>
        <v>2035</v>
      </c>
      <c r="G121" s="98">
        <f>G120+10</f>
        <v>2035</v>
      </c>
      <c r="H121" s="143">
        <f>H119*0.75</f>
        <v>1.5</v>
      </c>
      <c r="I121" s="167">
        <v>10.584383466223045</v>
      </c>
      <c r="J121" s="167">
        <f t="shared" si="21"/>
        <v>1.1760426073581163</v>
      </c>
      <c r="K121" s="145">
        <v>20</v>
      </c>
      <c r="L121" s="145">
        <v>0.8</v>
      </c>
      <c r="O121" s="165">
        <v>1.1111111111111112</v>
      </c>
      <c r="R121" s="72"/>
      <c r="S121" s="72"/>
      <c r="T121" s="72"/>
      <c r="U121" s="72"/>
      <c r="W121" s="96"/>
      <c r="AD121" s="153"/>
      <c r="AE121" s="153"/>
      <c r="AM121" s="72"/>
      <c r="AN121" s="72"/>
      <c r="AO121" s="102"/>
    </row>
    <row r="122" spans="2:43" ht="13.8" x14ac:dyDescent="0.25">
      <c r="B122" s="37" t="str">
        <f t="shared" si="22"/>
        <v>INDFBTMCDGASNAT_ST</v>
      </c>
      <c r="C122" s="37" t="str">
        <f t="shared" si="23"/>
        <v>Machine Drive FBT N. Gas_N_ST</v>
      </c>
      <c r="D122" s="72" t="s">
        <v>164</v>
      </c>
      <c r="E122" s="72" t="s">
        <v>268</v>
      </c>
      <c r="F122" s="94">
        <f>G122</f>
        <v>2018</v>
      </c>
      <c r="G122" s="72">
        <v>2018</v>
      </c>
      <c r="H122" s="140">
        <f>O120</f>
        <v>2</v>
      </c>
      <c r="I122" s="97">
        <v>6.2222222222222214</v>
      </c>
      <c r="J122" s="97">
        <f t="shared" si="21"/>
        <v>0.6913580246913581</v>
      </c>
      <c r="K122" s="141">
        <v>20</v>
      </c>
      <c r="L122" s="141">
        <v>0.8</v>
      </c>
      <c r="O122" s="165">
        <v>1.25</v>
      </c>
      <c r="R122" s="72"/>
      <c r="S122" s="72"/>
      <c r="T122" s="72"/>
      <c r="U122" s="72"/>
      <c r="W122" s="96"/>
      <c r="AD122" s="153"/>
      <c r="AE122" s="153"/>
      <c r="AM122" s="72"/>
      <c r="AN122" s="72"/>
      <c r="AO122" s="102"/>
    </row>
    <row r="123" spans="2:43" ht="13.8" x14ac:dyDescent="0.25">
      <c r="B123" s="37" t="str">
        <f t="shared" si="22"/>
        <v>INDFBTMCDGASNAT_IM</v>
      </c>
      <c r="C123" s="37" t="str">
        <f t="shared" si="23"/>
        <v>Machine Drive FBT N. Gas_N_IM</v>
      </c>
      <c r="D123" s="72" t="str">
        <f>D122</f>
        <v>INDGASNAT</v>
      </c>
      <c r="E123" s="72" t="str">
        <f>E122</f>
        <v>INDFBTMCD</v>
      </c>
      <c r="F123" s="94">
        <f t="shared" si="24"/>
        <v>2025</v>
      </c>
      <c r="G123" s="72">
        <f>G122+7</f>
        <v>2025</v>
      </c>
      <c r="H123" s="140">
        <f>H122*0.9</f>
        <v>1.8</v>
      </c>
      <c r="I123" s="97">
        <v>8.8772127573473494</v>
      </c>
      <c r="J123" s="97">
        <f t="shared" si="21"/>
        <v>0.98635697303859449</v>
      </c>
      <c r="K123" s="141">
        <v>20</v>
      </c>
      <c r="L123" s="141">
        <v>0.8</v>
      </c>
      <c r="O123" s="165"/>
      <c r="R123" s="72"/>
      <c r="S123" s="72"/>
      <c r="T123" s="72"/>
      <c r="U123" s="72"/>
      <c r="W123" s="96"/>
      <c r="AD123" s="153"/>
      <c r="AE123" s="153"/>
      <c r="AM123" s="72"/>
      <c r="AN123" s="72"/>
      <c r="AO123" s="102"/>
    </row>
    <row r="124" spans="2:43" ht="13.8" x14ac:dyDescent="0.25">
      <c r="B124" s="98" t="str">
        <f t="shared" si="22"/>
        <v>INDFBTMCDGASNAT_AD</v>
      </c>
      <c r="C124" s="98" t="str">
        <f t="shared" si="23"/>
        <v>Machine Drive FBT N. Gas_N_AD</v>
      </c>
      <c r="D124" s="98" t="str">
        <f>D123</f>
        <v>INDGASNAT</v>
      </c>
      <c r="E124" s="98" t="str">
        <f>E122</f>
        <v>INDFBTMCD</v>
      </c>
      <c r="F124" s="99">
        <f t="shared" si="24"/>
        <v>2035</v>
      </c>
      <c r="G124" s="98">
        <f>G123+10</f>
        <v>2035</v>
      </c>
      <c r="H124" s="143">
        <f>H122*0.75</f>
        <v>1.5</v>
      </c>
      <c r="I124" s="167">
        <v>11.398566809778664</v>
      </c>
      <c r="J124" s="167">
        <f t="shared" si="21"/>
        <v>1.2665074233087406</v>
      </c>
      <c r="K124" s="145">
        <v>20</v>
      </c>
      <c r="L124" s="145">
        <v>0.8</v>
      </c>
      <c r="R124" s="72"/>
      <c r="S124" s="72"/>
      <c r="T124" s="72"/>
      <c r="U124" s="72"/>
      <c r="W124" s="96"/>
      <c r="AD124" s="153"/>
      <c r="AE124" s="153"/>
      <c r="AM124" s="72"/>
      <c r="AN124" s="72"/>
      <c r="AO124" s="102"/>
    </row>
    <row r="125" spans="2:43" ht="13.8" x14ac:dyDescent="0.25">
      <c r="B125" s="37" t="str">
        <f t="shared" si="23"/>
        <v>INDFBTMCDELC_ST</v>
      </c>
      <c r="C125" s="37" t="str">
        <f t="shared" si="23"/>
        <v>Machine Drive FBT Electricity_N_ST</v>
      </c>
      <c r="D125" s="72" t="str">
        <f>D105</f>
        <v>INDELC</v>
      </c>
      <c r="E125" s="72" t="s">
        <v>268</v>
      </c>
      <c r="F125" s="94">
        <f>G125</f>
        <v>2018</v>
      </c>
      <c r="G125" s="72">
        <v>2018</v>
      </c>
      <c r="H125" s="140">
        <f>O121</f>
        <v>1.1111111111111112</v>
      </c>
      <c r="I125" s="97">
        <v>4</v>
      </c>
      <c r="J125" s="97">
        <f t="shared" si="21"/>
        <v>0.44444444444444448</v>
      </c>
      <c r="K125" s="141">
        <v>20</v>
      </c>
      <c r="L125" s="141">
        <v>0.8</v>
      </c>
      <c r="N125" s="35">
        <v>1</v>
      </c>
      <c r="R125" s="72"/>
      <c r="S125" s="72"/>
      <c r="T125" s="72"/>
      <c r="U125" s="72"/>
      <c r="W125" s="96"/>
      <c r="AF125" s="153"/>
      <c r="AG125" s="153"/>
      <c r="AO125" s="72"/>
      <c r="AP125" s="72"/>
      <c r="AQ125" s="102"/>
    </row>
    <row r="126" spans="2:43" ht="13.8" x14ac:dyDescent="0.25">
      <c r="B126" s="37" t="str">
        <f t="shared" si="23"/>
        <v>INDFBTMCDELC_IM</v>
      </c>
      <c r="C126" s="37" t="str">
        <f t="shared" si="23"/>
        <v>Machine Drive FBT Electricity_N_IM</v>
      </c>
      <c r="D126" s="72" t="str">
        <f>D125</f>
        <v>INDELC</v>
      </c>
      <c r="E126" s="72" t="str">
        <f>E125</f>
        <v>INDFBTMCD</v>
      </c>
      <c r="F126" s="94">
        <f t="shared" si="24"/>
        <v>2025</v>
      </c>
      <c r="G126" s="72">
        <f>G125+7</f>
        <v>2025</v>
      </c>
      <c r="H126" s="140">
        <f>H125*0.95</f>
        <v>1.0555555555555556</v>
      </c>
      <c r="I126" s="97">
        <v>5.7067796297232967</v>
      </c>
      <c r="J126" s="97">
        <f t="shared" si="21"/>
        <v>0.63408662552481077</v>
      </c>
      <c r="K126" s="141">
        <v>20</v>
      </c>
      <c r="L126" s="141">
        <v>0.8</v>
      </c>
      <c r="R126" s="72"/>
      <c r="S126" s="72"/>
      <c r="T126" s="72"/>
      <c r="U126" s="72"/>
      <c r="W126" s="96"/>
      <c r="AF126" s="153"/>
      <c r="AG126" s="153"/>
      <c r="AO126" s="72"/>
      <c r="AP126" s="72"/>
      <c r="AQ126" s="102"/>
    </row>
    <row r="127" spans="2:43" ht="13.8" x14ac:dyDescent="0.25">
      <c r="B127" s="98" t="str">
        <f t="shared" si="23"/>
        <v>INDFBTMCDELC_AD</v>
      </c>
      <c r="C127" s="98" t="str">
        <f t="shared" si="23"/>
        <v>Machine Drive FBT Electricity_N_AD</v>
      </c>
      <c r="D127" s="98" t="str">
        <f>D126</f>
        <v>INDELC</v>
      </c>
      <c r="E127" s="98" t="str">
        <f>E125</f>
        <v>INDFBTMCD</v>
      </c>
      <c r="F127" s="99">
        <f t="shared" si="24"/>
        <v>2035</v>
      </c>
      <c r="G127" s="98">
        <f>G126+10</f>
        <v>2035</v>
      </c>
      <c r="H127" s="143">
        <f>H125*0.92</f>
        <v>1.0222222222222224</v>
      </c>
      <c r="I127" s="167">
        <v>7.3276500920005709</v>
      </c>
      <c r="J127" s="167">
        <f t="shared" si="21"/>
        <v>0.81418334355561905</v>
      </c>
      <c r="K127" s="145">
        <v>20</v>
      </c>
      <c r="L127" s="145">
        <v>0.8</v>
      </c>
      <c r="R127" s="72"/>
      <c r="S127" s="72"/>
      <c r="T127" s="72"/>
      <c r="U127" s="72"/>
      <c r="W127" s="96"/>
      <c r="AF127" s="153"/>
      <c r="AG127" s="153"/>
      <c r="AO127" s="72"/>
      <c r="AP127" s="72"/>
      <c r="AQ127" s="102"/>
    </row>
    <row r="128" spans="2:43" ht="13.8" x14ac:dyDescent="0.25">
      <c r="B128" s="37" t="str">
        <f t="shared" si="23"/>
        <v>INDFBTOENINDELC_ST</v>
      </c>
      <c r="C128" s="37" t="str">
        <f t="shared" si="23"/>
        <v>Other Energy FBT Electricity_N_ST</v>
      </c>
      <c r="D128" s="72" t="str">
        <f>D125</f>
        <v>INDELC</v>
      </c>
      <c r="E128" s="72" t="s">
        <v>270</v>
      </c>
      <c r="F128" s="94">
        <f>G128</f>
        <v>2018</v>
      </c>
      <c r="G128" s="72">
        <v>2018</v>
      </c>
      <c r="H128" s="140">
        <f>O122</f>
        <v>1.25</v>
      </c>
      <c r="I128" s="97">
        <v>0.02</v>
      </c>
      <c r="J128" s="97">
        <f>0.001*(1/0.9)</f>
        <v>1.1111111111111111E-3</v>
      </c>
      <c r="K128" s="141">
        <v>30</v>
      </c>
      <c r="L128" s="141">
        <v>0.8</v>
      </c>
      <c r="R128" s="72"/>
      <c r="S128" s="72"/>
      <c r="T128" s="72"/>
      <c r="U128" s="72"/>
      <c r="AF128" s="153"/>
      <c r="AG128" s="153"/>
      <c r="AO128" s="72"/>
      <c r="AP128" s="72"/>
      <c r="AQ128" s="102"/>
    </row>
    <row r="129" spans="2:43" ht="13.8" x14ac:dyDescent="0.25">
      <c r="B129" s="37" t="str">
        <f t="shared" si="23"/>
        <v>INDFBTOENINDELC_IM</v>
      </c>
      <c r="C129" s="37" t="str">
        <f t="shared" si="23"/>
        <v>Other Energy FBT Electricity_N_IM</v>
      </c>
      <c r="D129" s="72" t="str">
        <f>D128</f>
        <v>INDELC</v>
      </c>
      <c r="E129" s="72" t="str">
        <f>E128</f>
        <v>INDFBTOEN</v>
      </c>
      <c r="F129" s="94">
        <f t="shared" si="24"/>
        <v>2025</v>
      </c>
      <c r="G129" s="72">
        <f>G128+7</f>
        <v>2025</v>
      </c>
      <c r="H129" s="140">
        <f>H128*0.9</f>
        <v>1.125</v>
      </c>
      <c r="I129" s="97">
        <v>2.8533898148616482E-2</v>
      </c>
      <c r="J129" s="97">
        <f>0.001*(1/0.9)</f>
        <v>1.1111111111111111E-3</v>
      </c>
      <c r="K129" s="141">
        <v>30</v>
      </c>
      <c r="L129" s="141">
        <v>0.8</v>
      </c>
      <c r="R129" s="72"/>
      <c r="S129" s="72"/>
      <c r="T129" s="72"/>
      <c r="U129" s="72"/>
      <c r="W129" s="96"/>
      <c r="X129" s="72"/>
      <c r="Z129" s="153"/>
      <c r="AA129" s="166"/>
      <c r="AF129" s="153"/>
      <c r="AG129" s="153"/>
      <c r="AO129" s="72"/>
      <c r="AP129" s="72"/>
      <c r="AQ129" s="102"/>
    </row>
    <row r="130" spans="2:43" ht="13.8" x14ac:dyDescent="0.25">
      <c r="B130" s="98" t="str">
        <f t="shared" si="23"/>
        <v>INDFBTOENINDELC_AD</v>
      </c>
      <c r="C130" s="98" t="str">
        <f t="shared" si="23"/>
        <v>Other Energy FBT Electricity_N_AD</v>
      </c>
      <c r="D130" s="98" t="str">
        <f>D129</f>
        <v>INDELC</v>
      </c>
      <c r="E130" s="98" t="str">
        <f>E128</f>
        <v>INDFBTOEN</v>
      </c>
      <c r="F130" s="99">
        <f t="shared" si="24"/>
        <v>2035</v>
      </c>
      <c r="G130" s="98">
        <f>G129+10</f>
        <v>2035</v>
      </c>
      <c r="H130" s="143">
        <f>H128*0.85</f>
        <v>1.0625</v>
      </c>
      <c r="I130" s="167">
        <v>3.6638250460002852E-2</v>
      </c>
      <c r="J130" s="167">
        <f>0.001*(1/0.9)</f>
        <v>1.1111111111111111E-3</v>
      </c>
      <c r="K130" s="145">
        <v>30</v>
      </c>
      <c r="L130" s="145">
        <v>0.8</v>
      </c>
      <c r="R130" s="72"/>
      <c r="S130" s="72"/>
      <c r="T130" s="72"/>
      <c r="U130" s="72"/>
      <c r="W130" s="96"/>
      <c r="AO130" s="72"/>
      <c r="AP130" s="72"/>
      <c r="AQ130" s="102"/>
    </row>
    <row r="131" spans="2:43" ht="13.8" x14ac:dyDescent="0.25">
      <c r="B131" s="37"/>
      <c r="R131" s="72"/>
      <c r="S131" s="72"/>
      <c r="T131" s="72"/>
      <c r="U131" s="72"/>
      <c r="W131" s="96"/>
      <c r="AO131" s="72"/>
      <c r="AP131" s="72"/>
      <c r="AQ131" s="102"/>
    </row>
    <row r="132" spans="2:43" ht="13.8" x14ac:dyDescent="0.25">
      <c r="R132" s="72"/>
      <c r="S132" s="72"/>
      <c r="T132" s="72"/>
      <c r="U132" s="72"/>
      <c r="W132" s="96"/>
      <c r="AO132" s="72"/>
      <c r="AP132" s="72"/>
      <c r="AQ132" s="102"/>
    </row>
    <row r="133" spans="2:43" ht="13.8" x14ac:dyDescent="0.25">
      <c r="R133" s="72"/>
      <c r="S133" s="72"/>
      <c r="T133" s="72"/>
      <c r="U133" s="72"/>
      <c r="W133" s="96"/>
      <c r="AC133" s="72"/>
      <c r="AD133" s="72"/>
      <c r="AE133" s="72"/>
      <c r="AO133" s="72"/>
      <c r="AP133" s="72"/>
      <c r="AQ133" s="102"/>
    </row>
    <row r="134" spans="2:43" ht="13.8" x14ac:dyDescent="0.25">
      <c r="S134" s="72"/>
      <c r="T134" s="72"/>
      <c r="U134" s="72"/>
      <c r="V134" s="72"/>
      <c r="W134" s="72"/>
      <c r="Y134" s="96"/>
      <c r="AC134" s="150"/>
      <c r="AD134" s="150"/>
      <c r="AE134" s="150"/>
      <c r="AF134" s="150"/>
      <c r="AG134" s="150"/>
      <c r="AO134" s="72"/>
      <c r="AP134" s="72"/>
      <c r="AQ134" s="102"/>
    </row>
    <row r="135" spans="2:43" ht="13.8" x14ac:dyDescent="0.25">
      <c r="S135" s="72"/>
      <c r="T135" s="72"/>
      <c r="U135" s="72"/>
      <c r="V135" s="72"/>
      <c r="W135" s="72"/>
      <c r="Y135" s="96"/>
      <c r="AC135" s="152"/>
      <c r="AD135" s="152"/>
      <c r="AE135" s="152"/>
      <c r="AF135" s="152"/>
      <c r="AG135" s="152"/>
      <c r="AO135" s="72"/>
      <c r="AP135" s="72"/>
      <c r="AQ135" s="102"/>
    </row>
    <row r="136" spans="2:43" ht="13.8" x14ac:dyDescent="0.25">
      <c r="S136" s="72"/>
      <c r="T136" s="72"/>
      <c r="U136" s="72"/>
      <c r="V136" s="72"/>
      <c r="W136" s="72"/>
      <c r="Y136" s="96"/>
      <c r="AB136" s="72"/>
      <c r="AC136" s="152"/>
      <c r="AD136" s="152"/>
      <c r="AE136" s="152"/>
      <c r="AF136" s="152"/>
      <c r="AG136" s="152"/>
      <c r="AO136" s="72"/>
      <c r="AP136" s="72"/>
      <c r="AQ136" s="102"/>
    </row>
    <row r="137" spans="2:43" ht="13.8" x14ac:dyDescent="0.25">
      <c r="S137" s="72"/>
      <c r="T137" s="72"/>
      <c r="U137" s="72"/>
      <c r="V137" s="72"/>
      <c r="W137" s="72"/>
      <c r="Y137" s="96"/>
      <c r="AE137" s="151"/>
      <c r="AF137" s="151"/>
      <c r="AN137" s="72"/>
      <c r="AO137" s="72"/>
      <c r="AP137" s="102"/>
    </row>
    <row r="138" spans="2:43" ht="13.8" x14ac:dyDescent="0.25">
      <c r="B138" s="107" t="s">
        <v>302</v>
      </c>
      <c r="C138" s="36"/>
      <c r="D138" s="37"/>
      <c r="E138" s="37"/>
      <c r="F138" s="141"/>
      <c r="G138" s="141"/>
      <c r="H138" s="141"/>
      <c r="I138" s="293"/>
      <c r="J138" s="141"/>
      <c r="K138" s="141"/>
      <c r="S138" s="72"/>
      <c r="T138" s="72"/>
      <c r="U138" s="72"/>
      <c r="V138" s="72"/>
      <c r="W138" s="72"/>
      <c r="AB138" s="166"/>
      <c r="AE138" s="151"/>
      <c r="AF138" s="151"/>
      <c r="AN138" s="72"/>
      <c r="AO138" s="72"/>
      <c r="AP138" s="102"/>
    </row>
    <row r="139" spans="2:43" ht="13.8" x14ac:dyDescent="0.25">
      <c r="B139" s="37"/>
      <c r="C139" s="36"/>
      <c r="D139" s="37"/>
      <c r="E139" s="37"/>
      <c r="F139" s="141"/>
      <c r="G139" s="141"/>
      <c r="H139" s="141"/>
      <c r="I139" s="293"/>
      <c r="J139" s="141"/>
      <c r="K139" s="141"/>
      <c r="AB139" s="166"/>
      <c r="AE139" s="151"/>
      <c r="AF139" s="151"/>
      <c r="AN139" s="72"/>
      <c r="AO139" s="72"/>
      <c r="AP139" s="102"/>
    </row>
    <row r="140" spans="2:43" ht="13.8" x14ac:dyDescent="0.25">
      <c r="B140" s="36"/>
      <c r="C140" s="36"/>
      <c r="D140" s="36"/>
      <c r="E140" s="294"/>
      <c r="F140" s="137" t="s">
        <v>0</v>
      </c>
      <c r="G140" s="138" t="s">
        <v>295</v>
      </c>
      <c r="H140" s="138" t="s">
        <v>295</v>
      </c>
      <c r="I140" s="36"/>
      <c r="J140" s="36"/>
      <c r="K140" s="141"/>
      <c r="O140" s="35"/>
      <c r="AA140" s="150"/>
      <c r="AB140" s="166"/>
      <c r="AE140" s="151"/>
      <c r="AF140" s="151"/>
      <c r="AN140" s="72"/>
      <c r="AO140" s="72"/>
      <c r="AP140" s="102"/>
    </row>
    <row r="141" spans="2:43" ht="27.6" x14ac:dyDescent="0.25">
      <c r="B141" s="45" t="s">
        <v>1</v>
      </c>
      <c r="C141" s="45" t="s">
        <v>227</v>
      </c>
      <c r="D141" s="45" t="s">
        <v>3</v>
      </c>
      <c r="E141" s="45" t="s">
        <v>4</v>
      </c>
      <c r="F141" s="46" t="s">
        <v>233</v>
      </c>
      <c r="G141" s="45" t="s">
        <v>14</v>
      </c>
      <c r="H141" s="49" t="s">
        <v>16</v>
      </c>
      <c r="I141" s="49" t="s">
        <v>50</v>
      </c>
      <c r="J141" s="49" t="s">
        <v>46</v>
      </c>
      <c r="K141" s="49" t="s">
        <v>48</v>
      </c>
      <c r="L141" s="295" t="s">
        <v>47</v>
      </c>
      <c r="M141" s="295" t="s">
        <v>1053</v>
      </c>
      <c r="N141" s="79" t="s">
        <v>36</v>
      </c>
      <c r="O141" s="49" t="s">
        <v>5</v>
      </c>
      <c r="P141" s="49" t="s">
        <v>307</v>
      </c>
      <c r="Q141" s="205" t="s">
        <v>345</v>
      </c>
      <c r="AA141" s="152"/>
      <c r="AB141" s="166"/>
      <c r="AE141" s="151"/>
      <c r="AF141" s="151"/>
      <c r="AN141" s="72"/>
      <c r="AO141" s="72"/>
      <c r="AP141" s="102"/>
    </row>
    <row r="142" spans="2:43" ht="28.2" thickBot="1" x14ac:dyDescent="0.3">
      <c r="B142" s="54" t="s">
        <v>280</v>
      </c>
      <c r="C142" s="54" t="s">
        <v>28</v>
      </c>
      <c r="D142" s="54" t="s">
        <v>32</v>
      </c>
      <c r="E142" s="54" t="s">
        <v>33</v>
      </c>
      <c r="F142" s="55"/>
      <c r="G142" s="84" t="s">
        <v>35</v>
      </c>
      <c r="H142" s="54" t="s">
        <v>303</v>
      </c>
      <c r="I142" s="54"/>
      <c r="J142" s="54" t="s">
        <v>304</v>
      </c>
      <c r="K142" s="54" t="s">
        <v>305</v>
      </c>
      <c r="L142" s="54"/>
      <c r="M142" s="54"/>
      <c r="N142" s="84" t="s">
        <v>37</v>
      </c>
      <c r="O142" s="54" t="s">
        <v>38</v>
      </c>
      <c r="P142" s="54"/>
      <c r="Q142" s="207"/>
      <c r="R142" s="72"/>
      <c r="T142" s="72"/>
      <c r="U142" s="154"/>
      <c r="V142" s="114"/>
      <c r="W142" s="114"/>
      <c r="X142" s="155"/>
      <c r="Y142" s="155"/>
      <c r="Z142" s="155"/>
      <c r="AA142" s="152"/>
      <c r="AB142" s="166"/>
      <c r="AE142" s="151"/>
      <c r="AF142" s="151"/>
      <c r="AN142" s="72"/>
      <c r="AO142" s="72"/>
      <c r="AP142" s="102"/>
    </row>
    <row r="143" spans="2:43" ht="13.8" x14ac:dyDescent="0.25">
      <c r="B143" s="89" t="s">
        <v>281</v>
      </c>
      <c r="C143" s="89"/>
      <c r="D143" s="89"/>
      <c r="E143" s="89"/>
      <c r="F143" s="296"/>
      <c r="G143" s="90"/>
      <c r="H143" s="90" t="s">
        <v>306</v>
      </c>
      <c r="I143" s="90"/>
      <c r="J143" s="90" t="s">
        <v>306</v>
      </c>
      <c r="K143" s="90" t="s">
        <v>40</v>
      </c>
      <c r="L143" s="297"/>
      <c r="M143" s="297"/>
      <c r="N143" s="90" t="s">
        <v>450</v>
      </c>
      <c r="O143" s="90" t="s">
        <v>448</v>
      </c>
      <c r="P143" s="90"/>
      <c r="Q143" s="267"/>
      <c r="R143" s="156"/>
      <c r="T143" s="156"/>
      <c r="U143" s="156"/>
      <c r="V143" s="156"/>
      <c r="W143" s="157"/>
      <c r="X143" s="150"/>
      <c r="Y143" s="158"/>
      <c r="Z143" s="150"/>
      <c r="AB143" s="166"/>
      <c r="AE143" s="151"/>
      <c r="AF143" s="151"/>
      <c r="AN143" s="72"/>
      <c r="AO143" s="72"/>
      <c r="AP143" s="102"/>
    </row>
    <row r="144" spans="2:43" ht="13.8" x14ac:dyDescent="0.25">
      <c r="B144" s="127" t="str">
        <f>S97</f>
        <v>INDFBTCHPEGASNAT_ST</v>
      </c>
      <c r="C144" s="127" t="str">
        <f>T97</f>
        <v>Onsite CHP FBT N.Gas_ST</v>
      </c>
      <c r="D144" s="127" t="str">
        <f>Commodities!D133</f>
        <v>INDGASNAT</v>
      </c>
      <c r="E144" s="127"/>
      <c r="F144" s="298">
        <f>G144</f>
        <v>2025</v>
      </c>
      <c r="G144" s="299">
        <v>2025</v>
      </c>
      <c r="H144" s="125">
        <v>0.33</v>
      </c>
      <c r="I144" s="300">
        <f>31.536</f>
        <v>31.536000000000001</v>
      </c>
      <c r="J144" s="301">
        <v>0.75</v>
      </c>
      <c r="K144" s="125">
        <v>30</v>
      </c>
      <c r="L144" s="125">
        <v>1.5</v>
      </c>
      <c r="M144" s="125">
        <f>L144*0.6</f>
        <v>0.89999999999999991</v>
      </c>
      <c r="N144" s="300">
        <f>1200*(1/0.9)</f>
        <v>1333.3333333333335</v>
      </c>
      <c r="O144" s="126">
        <f>N144*0.025</f>
        <v>33.333333333333336</v>
      </c>
      <c r="P144" s="300">
        <v>1</v>
      </c>
      <c r="Q144" s="181">
        <v>0.17499999999999999</v>
      </c>
      <c r="S144" s="302">
        <f>1*I144*J144/H144</f>
        <v>71.672727272727272</v>
      </c>
      <c r="T144" s="303">
        <f>S144*(H144/(L144*Q144+1))</f>
        <v>18.734257425742573</v>
      </c>
      <c r="U144" s="304">
        <f>T144*L144</f>
        <v>28.101386138613861</v>
      </c>
      <c r="V144" s="305">
        <f>SUM(T144:U144)/S144</f>
        <v>0.65346534653465338</v>
      </c>
      <c r="W144" s="306">
        <f>T144/S144</f>
        <v>0.2613861386138614</v>
      </c>
      <c r="X144" s="150"/>
      <c r="Y144" s="152"/>
      <c r="Z144" s="152"/>
      <c r="AB144" s="166"/>
      <c r="AE144" s="151"/>
      <c r="AF144" s="151"/>
      <c r="AN144" s="72"/>
      <c r="AO144" s="72"/>
      <c r="AP144" s="102"/>
    </row>
    <row r="145" spans="2:43" ht="15" x14ac:dyDescent="0.25">
      <c r="B145" s="72"/>
      <c r="C145" s="72"/>
      <c r="D145" s="72"/>
      <c r="E145" s="72" t="str">
        <f>$D$102</f>
        <v>INDFBTHTH</v>
      </c>
      <c r="F145" s="94">
        <f>F144</f>
        <v>2025</v>
      </c>
      <c r="G145" s="95"/>
      <c r="H145" s="97"/>
      <c r="I145" s="95"/>
      <c r="J145" s="102"/>
      <c r="K145" s="102"/>
      <c r="L145" s="102"/>
      <c r="M145" s="102"/>
      <c r="N145" s="102"/>
      <c r="O145" s="147"/>
      <c r="P145" s="102"/>
      <c r="Q145" s="181"/>
      <c r="S145" s="307"/>
      <c r="T145" s="152"/>
      <c r="U145" s="152"/>
      <c r="V145" s="308"/>
      <c r="W145" s="309"/>
      <c r="X145" s="150"/>
      <c r="Y145" s="159"/>
      <c r="Z145" s="152"/>
      <c r="AB145" s="166"/>
      <c r="AE145" s="151"/>
      <c r="AF145" s="151"/>
      <c r="AN145" s="72"/>
      <c r="AO145" s="72"/>
      <c r="AP145" s="102"/>
    </row>
    <row r="146" spans="2:43" ht="13.8" x14ac:dyDescent="0.25">
      <c r="B146" s="98"/>
      <c r="C146" s="98"/>
      <c r="D146" s="98"/>
      <c r="E146" s="98" t="s">
        <v>199</v>
      </c>
      <c r="F146" s="99">
        <f>F145</f>
        <v>2025</v>
      </c>
      <c r="G146" s="144"/>
      <c r="H146" s="167"/>
      <c r="I146" s="144"/>
      <c r="J146" s="145"/>
      <c r="K146" s="145"/>
      <c r="L146" s="145"/>
      <c r="M146" s="145"/>
      <c r="N146" s="145"/>
      <c r="O146" s="148"/>
      <c r="P146" s="310"/>
      <c r="Q146" s="311"/>
      <c r="S146" s="312"/>
      <c r="T146" s="72"/>
      <c r="U146" s="72"/>
      <c r="V146" s="313"/>
      <c r="W146" s="280"/>
      <c r="X146" s="150"/>
      <c r="Y146" s="104"/>
      <c r="AB146" s="166"/>
      <c r="AE146" s="151"/>
      <c r="AF146" s="151"/>
      <c r="AN146" s="72"/>
      <c r="AO146" s="72"/>
      <c r="AP146" s="102"/>
    </row>
    <row r="147" spans="2:43" ht="13.8" x14ac:dyDescent="0.25">
      <c r="B147" s="127" t="str">
        <f>S98</f>
        <v>INDFBTCHPEGASNAT_IM</v>
      </c>
      <c r="C147" s="127" t="str">
        <f>T98</f>
        <v>Onsite CHP FBT N.Gas_IM</v>
      </c>
      <c r="D147" s="127" t="str">
        <f>D144</f>
        <v>INDGASNAT</v>
      </c>
      <c r="E147" s="127"/>
      <c r="F147" s="298">
        <f>G147</f>
        <v>2025</v>
      </c>
      <c r="G147" s="299">
        <v>2025</v>
      </c>
      <c r="H147" s="125">
        <v>0.36</v>
      </c>
      <c r="I147" s="300">
        <f>31.536</f>
        <v>31.536000000000001</v>
      </c>
      <c r="J147" s="301">
        <v>0.75</v>
      </c>
      <c r="K147" s="125">
        <v>30</v>
      </c>
      <c r="L147" s="125">
        <v>1.5</v>
      </c>
      <c r="M147" s="125">
        <f>L147*0.6</f>
        <v>0.89999999999999991</v>
      </c>
      <c r="N147" s="300">
        <f>N144*1.2</f>
        <v>1600.0000000000002</v>
      </c>
      <c r="O147" s="126">
        <f>N147*0.025</f>
        <v>40.000000000000007</v>
      </c>
      <c r="P147" s="102">
        <v>1</v>
      </c>
      <c r="Q147" s="181">
        <v>0.17499999999999999</v>
      </c>
      <c r="S147" s="284">
        <f>1*I147*J147/H147</f>
        <v>65.7</v>
      </c>
      <c r="T147" s="285">
        <f>S147*(H147/(L147*Q147+1))</f>
        <v>18.734257425742573</v>
      </c>
      <c r="U147" s="286">
        <f>T147*L147</f>
        <v>28.101386138613861</v>
      </c>
      <c r="V147" s="308">
        <f>SUM(T147:U147)/S147</f>
        <v>0.71287128712871273</v>
      </c>
      <c r="W147" s="314">
        <f>T147/S147</f>
        <v>0.28514851485148512</v>
      </c>
      <c r="X147" s="150"/>
      <c r="Y147" s="104"/>
      <c r="AB147" s="166"/>
      <c r="AE147" s="151"/>
      <c r="AF147" s="151"/>
      <c r="AN147" s="72"/>
      <c r="AO147" s="72"/>
      <c r="AP147" s="102"/>
    </row>
    <row r="148" spans="2:43" ht="13.8" x14ac:dyDescent="0.25">
      <c r="B148" s="72"/>
      <c r="C148" s="72"/>
      <c r="D148" s="72"/>
      <c r="E148" s="72" t="str">
        <f>$E$145</f>
        <v>INDFBTHTH</v>
      </c>
      <c r="F148" s="94">
        <f>F147</f>
        <v>2025</v>
      </c>
      <c r="G148" s="95"/>
      <c r="H148" s="97"/>
      <c r="I148" s="95"/>
      <c r="J148" s="102"/>
      <c r="K148" s="102"/>
      <c r="L148" s="102"/>
      <c r="M148" s="102"/>
      <c r="N148" s="102"/>
      <c r="O148" s="147"/>
      <c r="P148" s="102"/>
      <c r="Q148" s="181"/>
      <c r="S148" s="312"/>
      <c r="T148" s="72"/>
      <c r="U148" s="72"/>
      <c r="V148" s="313"/>
      <c r="W148" s="315"/>
      <c r="X148" s="150"/>
      <c r="AC148" s="166"/>
      <c r="AF148" s="151"/>
      <c r="AG148" s="151"/>
      <c r="AO148" s="72"/>
      <c r="AP148" s="72"/>
      <c r="AQ148" s="102"/>
    </row>
    <row r="149" spans="2:43" ht="13.8" x14ac:dyDescent="0.25">
      <c r="B149" s="98"/>
      <c r="C149" s="98"/>
      <c r="D149" s="98"/>
      <c r="E149" s="98" t="s">
        <v>199</v>
      </c>
      <c r="F149" s="99">
        <f>F148</f>
        <v>2025</v>
      </c>
      <c r="G149" s="144"/>
      <c r="H149" s="167"/>
      <c r="I149" s="144"/>
      <c r="J149" s="145"/>
      <c r="K149" s="145"/>
      <c r="L149" s="145"/>
      <c r="M149" s="145"/>
      <c r="N149" s="145"/>
      <c r="O149" s="148"/>
      <c r="P149" s="310"/>
      <c r="Q149" s="311"/>
      <c r="S149" s="312"/>
      <c r="T149" s="72"/>
      <c r="U149" s="72"/>
      <c r="V149" s="313"/>
      <c r="W149" s="315"/>
      <c r="X149" s="150"/>
      <c r="AC149" s="166"/>
      <c r="AF149" s="151"/>
      <c r="AG149" s="151"/>
      <c r="AO149" s="72"/>
      <c r="AP149" s="72"/>
      <c r="AQ149" s="102"/>
    </row>
    <row r="150" spans="2:43" ht="13.8" x14ac:dyDescent="0.25">
      <c r="B150" s="127" t="str">
        <f>S99</f>
        <v>INDFBTCHPEGASNAT_AD</v>
      </c>
      <c r="C150" s="127" t="str">
        <f>T99</f>
        <v>Onsite CHP FBT N.Gas_AD</v>
      </c>
      <c r="D150" s="127" t="str">
        <f>D147</f>
        <v>INDGASNAT</v>
      </c>
      <c r="E150" s="127"/>
      <c r="F150" s="298">
        <f>G150</f>
        <v>2030</v>
      </c>
      <c r="G150" s="299">
        <v>2030</v>
      </c>
      <c r="H150" s="125">
        <v>0.41</v>
      </c>
      <c r="I150" s="300">
        <f>31.536</f>
        <v>31.536000000000001</v>
      </c>
      <c r="J150" s="301">
        <v>0.75</v>
      </c>
      <c r="K150" s="125">
        <v>30</v>
      </c>
      <c r="L150" s="125">
        <v>1.5</v>
      </c>
      <c r="M150" s="125">
        <f>L150*0.6</f>
        <v>0.89999999999999991</v>
      </c>
      <c r="N150" s="300">
        <f>N147*1.2</f>
        <v>1920.0000000000002</v>
      </c>
      <c r="O150" s="126">
        <f>N150*0.025</f>
        <v>48.000000000000007</v>
      </c>
      <c r="P150" s="102">
        <v>1</v>
      </c>
      <c r="Q150" s="181">
        <v>0.17499999999999999</v>
      </c>
      <c r="S150" s="288">
        <f>1*I150*J150/H150</f>
        <v>57.687804878048787</v>
      </c>
      <c r="T150" s="289">
        <f>S150*(H150/(L150*Q150+1))</f>
        <v>18.734257425742577</v>
      </c>
      <c r="U150" s="290">
        <f>T150*L150</f>
        <v>28.101386138613865</v>
      </c>
      <c r="V150" s="316">
        <f>SUM(T150:U150)/S150</f>
        <v>0.81188118811881194</v>
      </c>
      <c r="W150" s="317">
        <f>T150/S150</f>
        <v>0.32475247524752476</v>
      </c>
      <c r="X150" s="150"/>
      <c r="AC150" s="166"/>
      <c r="AF150" s="151"/>
      <c r="AG150" s="151"/>
      <c r="AO150" s="72"/>
      <c r="AP150" s="72"/>
      <c r="AQ150" s="102"/>
    </row>
    <row r="151" spans="2:43" ht="13.8" x14ac:dyDescent="0.25">
      <c r="B151" s="72"/>
      <c r="C151" s="72"/>
      <c r="D151" s="72"/>
      <c r="E151" s="72" t="str">
        <f>$E$148</f>
        <v>INDFBTHTH</v>
      </c>
      <c r="F151" s="94">
        <f>F150</f>
        <v>2030</v>
      </c>
      <c r="G151" s="95"/>
      <c r="H151" s="95"/>
      <c r="I151" s="95"/>
      <c r="J151" s="102"/>
      <c r="K151" s="102"/>
      <c r="L151" s="102"/>
      <c r="M151" s="102"/>
      <c r="N151" s="102"/>
      <c r="O151" s="102"/>
      <c r="P151" s="102"/>
      <c r="Q151" s="181"/>
      <c r="S151" s="72"/>
      <c r="T151" s="72"/>
      <c r="U151" s="72"/>
      <c r="V151" s="72"/>
      <c r="W151" s="72"/>
      <c r="X151" s="150"/>
      <c r="Y151" s="96"/>
      <c r="AB151" s="153"/>
      <c r="AC151" s="166"/>
      <c r="AF151" s="151"/>
      <c r="AG151" s="151"/>
      <c r="AO151" s="72"/>
      <c r="AP151" s="72"/>
      <c r="AQ151" s="102"/>
    </row>
    <row r="152" spans="2:43" ht="13.8" x14ac:dyDescent="0.25">
      <c r="B152" s="98"/>
      <c r="C152" s="98"/>
      <c r="D152" s="98"/>
      <c r="E152" s="98" t="s">
        <v>199</v>
      </c>
      <c r="F152" s="99">
        <f>F150</f>
        <v>2030</v>
      </c>
      <c r="G152" s="144"/>
      <c r="H152" s="144"/>
      <c r="I152" s="144"/>
      <c r="J152" s="145"/>
      <c r="K152" s="145"/>
      <c r="L152" s="145"/>
      <c r="M152" s="145"/>
      <c r="N152" s="145"/>
      <c r="O152" s="145"/>
      <c r="P152" s="318"/>
      <c r="Q152" s="311"/>
      <c r="S152" s="72"/>
      <c r="T152" s="72"/>
      <c r="U152" s="72"/>
      <c r="V152" s="72"/>
      <c r="W152" s="72"/>
      <c r="Y152" s="96"/>
      <c r="AC152" s="166"/>
      <c r="AF152" s="151"/>
      <c r="AG152" s="151"/>
      <c r="AO152" s="72"/>
      <c r="AP152" s="72"/>
      <c r="AQ152" s="102"/>
    </row>
    <row r="153" spans="2:43" ht="13.8" x14ac:dyDescent="0.25">
      <c r="S153" s="72"/>
      <c r="T153" s="72"/>
      <c r="U153" s="72"/>
      <c r="V153" s="72"/>
      <c r="W153" s="72"/>
      <c r="Y153" s="96"/>
      <c r="AC153" s="166"/>
      <c r="AF153" s="151"/>
      <c r="AG153" s="151"/>
      <c r="AO153" s="72"/>
      <c r="AP153" s="72"/>
      <c r="AQ153" s="102"/>
    </row>
    <row r="154" spans="2:43" ht="13.8" x14ac:dyDescent="0.25">
      <c r="S154" s="72"/>
      <c r="T154" s="72"/>
      <c r="U154" s="72"/>
      <c r="V154" s="72"/>
      <c r="W154" s="72"/>
      <c r="Y154" s="96"/>
      <c r="AC154" s="166"/>
      <c r="AF154" s="151"/>
      <c r="AG154" s="151"/>
      <c r="AO154" s="72"/>
      <c r="AP154" s="72"/>
      <c r="AQ154" s="102"/>
    </row>
    <row r="155" spans="2:43" ht="13.8" x14ac:dyDescent="0.25">
      <c r="S155" s="72"/>
      <c r="T155" s="72"/>
      <c r="U155" s="72"/>
      <c r="V155" s="72"/>
      <c r="W155" s="72"/>
      <c r="Y155" s="96"/>
      <c r="AC155" s="166"/>
      <c r="AF155" s="151"/>
      <c r="AG155" s="151"/>
      <c r="AO155" s="72"/>
      <c r="AP155" s="72"/>
      <c r="AQ155" s="102"/>
    </row>
    <row r="156" spans="2:43" ht="13.8" x14ac:dyDescent="0.25">
      <c r="S156" s="72"/>
      <c r="T156" s="72"/>
      <c r="U156" s="72"/>
      <c r="V156" s="72"/>
      <c r="W156" s="72"/>
      <c r="AC156" s="166"/>
      <c r="AF156" s="151"/>
      <c r="AG156" s="151"/>
      <c r="AO156" s="72"/>
      <c r="AP156" s="72"/>
      <c r="AQ156" s="102"/>
    </row>
    <row r="157" spans="2:43" ht="13.8" x14ac:dyDescent="0.25">
      <c r="S157" s="72"/>
      <c r="T157" s="72"/>
      <c r="U157" s="72"/>
      <c r="V157" s="72"/>
      <c r="W157" s="72"/>
      <c r="Y157" s="96"/>
      <c r="Z157" s="104"/>
      <c r="AC157" s="166"/>
      <c r="AF157" s="151"/>
      <c r="AG157" s="151"/>
      <c r="AO157" s="72"/>
      <c r="AP157" s="72"/>
      <c r="AQ157" s="102"/>
    </row>
    <row r="158" spans="2:43" ht="13.8" x14ac:dyDescent="0.25">
      <c r="S158" s="72"/>
      <c r="T158" s="72"/>
      <c r="U158" s="72"/>
      <c r="V158" s="72"/>
      <c r="W158" s="72"/>
      <c r="Y158" s="96"/>
      <c r="Z158" s="104"/>
      <c r="AC158" s="166"/>
      <c r="AF158" s="151"/>
      <c r="AG158" s="151"/>
      <c r="AO158" s="72"/>
      <c r="AP158" s="72"/>
      <c r="AQ158" s="102"/>
    </row>
    <row r="159" spans="2:43" ht="13.8" x14ac:dyDescent="0.25">
      <c r="S159" s="72"/>
      <c r="T159" s="72"/>
      <c r="U159" s="72"/>
      <c r="V159" s="72"/>
      <c r="W159" s="72"/>
      <c r="Y159" s="96"/>
      <c r="AF159" s="151"/>
      <c r="AG159" s="151"/>
      <c r="AO159" s="72"/>
      <c r="AP159" s="72"/>
      <c r="AQ159" s="102"/>
    </row>
    <row r="160" spans="2:43" ht="13.8" x14ac:dyDescent="0.25">
      <c r="S160" s="72"/>
      <c r="T160" s="72"/>
      <c r="U160" s="72"/>
      <c r="V160" s="72"/>
      <c r="W160" s="72"/>
      <c r="Y160" s="96"/>
      <c r="AF160" s="151"/>
      <c r="AG160" s="151"/>
      <c r="AO160" s="72"/>
      <c r="AP160" s="72"/>
      <c r="AQ160" s="102"/>
    </row>
    <row r="161" spans="17:39" ht="13.8" x14ac:dyDescent="0.25">
      <c r="S161" s="72"/>
      <c r="T161" s="72"/>
      <c r="U161" s="72"/>
      <c r="V161" s="72"/>
      <c r="W161" s="72"/>
      <c r="Y161" s="96"/>
      <c r="AC161" s="151"/>
      <c r="AK161" s="72"/>
      <c r="AL161" s="72"/>
      <c r="AM161" s="102"/>
    </row>
    <row r="162" spans="17:39" ht="13.8" x14ac:dyDescent="0.25">
      <c r="S162" s="72"/>
      <c r="T162" s="72"/>
      <c r="U162" s="72"/>
      <c r="V162" s="72"/>
      <c r="W162" s="72"/>
      <c r="Y162" s="96"/>
      <c r="AB162" s="153"/>
      <c r="AC162" s="151"/>
      <c r="AK162" s="72"/>
      <c r="AL162" s="72"/>
      <c r="AM162" s="102"/>
    </row>
    <row r="163" spans="17:39" ht="13.8" x14ac:dyDescent="0.25">
      <c r="S163" s="72"/>
      <c r="T163" s="72"/>
      <c r="U163" s="72"/>
      <c r="V163" s="72"/>
      <c r="W163" s="72"/>
      <c r="Y163" s="96"/>
      <c r="AC163" s="151"/>
      <c r="AK163" s="72"/>
      <c r="AL163" s="72"/>
      <c r="AM163" s="102"/>
    </row>
    <row r="164" spans="17:39" ht="13.8" x14ac:dyDescent="0.25">
      <c r="S164" s="72"/>
      <c r="T164" s="72"/>
      <c r="U164" s="72"/>
      <c r="V164" s="72"/>
      <c r="W164" s="72"/>
      <c r="Y164" s="96"/>
      <c r="AB164" s="151"/>
      <c r="AC164" s="151"/>
      <c r="AK164" s="72"/>
      <c r="AL164" s="72"/>
      <c r="AM164" s="102"/>
    </row>
    <row r="165" spans="17:39" ht="13.8" x14ac:dyDescent="0.25">
      <c r="S165" s="72"/>
      <c r="T165" s="72"/>
      <c r="U165" s="72"/>
      <c r="V165" s="72"/>
      <c r="W165" s="72"/>
      <c r="Y165" s="96"/>
      <c r="AB165" s="151"/>
      <c r="AC165" s="151"/>
      <c r="AK165" s="72"/>
      <c r="AL165" s="72"/>
      <c r="AM165" s="102"/>
    </row>
    <row r="166" spans="17:39" ht="13.8" x14ac:dyDescent="0.25">
      <c r="S166" s="72"/>
      <c r="T166" s="72"/>
      <c r="U166" s="72"/>
      <c r="V166" s="72"/>
      <c r="W166" s="72"/>
      <c r="Y166" s="96"/>
      <c r="AB166" s="151"/>
      <c r="AC166" s="151"/>
      <c r="AK166" s="72"/>
      <c r="AL166" s="72"/>
      <c r="AM166" s="102"/>
    </row>
    <row r="167" spans="17:39" ht="13.8" x14ac:dyDescent="0.25">
      <c r="S167" s="72"/>
      <c r="T167" s="72"/>
      <c r="U167" s="72"/>
      <c r="V167" s="72"/>
      <c r="W167" s="72"/>
      <c r="AB167" s="151"/>
      <c r="AC167" s="151"/>
      <c r="AK167" s="72"/>
      <c r="AL167" s="72"/>
      <c r="AM167" s="102"/>
    </row>
    <row r="168" spans="17:39" ht="13.8" x14ac:dyDescent="0.25">
      <c r="S168" s="72"/>
      <c r="T168" s="72"/>
      <c r="U168" s="72"/>
      <c r="V168" s="72"/>
      <c r="W168" s="72"/>
      <c r="Y168" s="96"/>
      <c r="Z168" s="72"/>
      <c r="AB168" s="151"/>
      <c r="AC168" s="151"/>
      <c r="AK168" s="72"/>
      <c r="AL168" s="72"/>
      <c r="AM168" s="102"/>
    </row>
    <row r="169" spans="17:39" ht="13.8" x14ac:dyDescent="0.25">
      <c r="S169" s="72"/>
      <c r="T169" s="72"/>
      <c r="U169" s="72"/>
      <c r="V169" s="72"/>
      <c r="W169" s="72"/>
      <c r="Y169" s="96"/>
      <c r="Z169" s="72"/>
      <c r="AB169" s="151"/>
      <c r="AC169" s="151"/>
      <c r="AK169" s="72"/>
      <c r="AL169" s="72"/>
      <c r="AM169" s="102"/>
    </row>
    <row r="170" spans="17:39" ht="13.8" x14ac:dyDescent="0.25">
      <c r="R170" s="72"/>
      <c r="S170" s="72"/>
      <c r="U170" s="96"/>
      <c r="AB170" s="151"/>
      <c r="AK170" s="72"/>
      <c r="AL170" s="72"/>
      <c r="AM170" s="102"/>
    </row>
    <row r="171" spans="17:39" ht="13.8" x14ac:dyDescent="0.25">
      <c r="R171" s="72"/>
      <c r="S171" s="72"/>
      <c r="U171" s="96"/>
      <c r="AB171" s="151"/>
    </row>
    <row r="172" spans="17:39" ht="13.8" x14ac:dyDescent="0.25">
      <c r="R172" s="72"/>
      <c r="S172" s="72"/>
      <c r="U172" s="96"/>
      <c r="AB172" s="151"/>
    </row>
    <row r="173" spans="17:39" ht="17.399999999999999" x14ac:dyDescent="0.3">
      <c r="Q173" s="170"/>
      <c r="R173" s="72"/>
      <c r="S173" s="72"/>
      <c r="U173" s="96"/>
    </row>
    <row r="174" spans="17:39" ht="13.8" x14ac:dyDescent="0.25">
      <c r="Q174" s="72"/>
      <c r="R174" s="72"/>
      <c r="S174" s="72"/>
      <c r="U174" s="96"/>
      <c r="AC174" s="72"/>
    </row>
    <row r="175" spans="17:39" ht="13.8" x14ac:dyDescent="0.25">
      <c r="Q175" s="72"/>
      <c r="R175" s="72"/>
      <c r="S175" s="72"/>
      <c r="U175" s="96"/>
    </row>
    <row r="176" spans="17:39" ht="13.8" x14ac:dyDescent="0.25">
      <c r="R176" s="72"/>
      <c r="S176" s="72"/>
      <c r="U176" s="96"/>
    </row>
    <row r="177" spans="17:34" ht="13.8" x14ac:dyDescent="0.25">
      <c r="R177" s="72"/>
      <c r="S177" s="72"/>
      <c r="U177" s="96"/>
      <c r="AB177" s="72"/>
      <c r="AD177" s="72"/>
      <c r="AE177" s="72"/>
    </row>
    <row r="178" spans="17:34" ht="13.8" x14ac:dyDescent="0.25">
      <c r="R178" s="72"/>
      <c r="S178" s="72"/>
      <c r="AC178" s="150"/>
      <c r="AD178" s="150"/>
    </row>
    <row r="179" spans="17:34" ht="13.8" x14ac:dyDescent="0.25">
      <c r="AC179" s="152"/>
      <c r="AD179" s="152"/>
      <c r="AF179" s="120"/>
      <c r="AG179" s="120"/>
      <c r="AH179" s="120"/>
    </row>
    <row r="180" spans="17:34" ht="13.8" x14ac:dyDescent="0.25">
      <c r="AC180" s="152"/>
      <c r="AD180" s="152"/>
    </row>
    <row r="181" spans="17:34" ht="13.8" x14ac:dyDescent="0.25">
      <c r="AB181" s="150"/>
      <c r="AC181" s="168"/>
      <c r="AD181" s="96"/>
    </row>
    <row r="182" spans="17:34" ht="17.399999999999999" x14ac:dyDescent="0.3">
      <c r="R182" s="170"/>
      <c r="S182" s="72"/>
      <c r="AB182" s="152"/>
      <c r="AC182" s="168"/>
      <c r="AD182" s="96"/>
    </row>
    <row r="183" spans="17:34" ht="13.8" x14ac:dyDescent="0.25">
      <c r="R183" s="102"/>
      <c r="S183" s="72"/>
      <c r="AA183" s="105"/>
      <c r="AB183" s="152"/>
      <c r="AC183" s="168"/>
      <c r="AD183" s="96"/>
    </row>
    <row r="184" spans="17:34" ht="13.8" x14ac:dyDescent="0.25">
      <c r="R184" s="102"/>
      <c r="S184" s="72"/>
      <c r="AB184" s="168"/>
      <c r="AC184" s="168"/>
      <c r="AD184" s="96"/>
      <c r="AF184" s="72"/>
      <c r="AG184" s="72"/>
      <c r="AH184" s="72"/>
    </row>
    <row r="185" spans="17:34" ht="13.8" x14ac:dyDescent="0.25">
      <c r="AB185" s="168"/>
      <c r="AC185" s="168"/>
      <c r="AD185" s="96"/>
    </row>
    <row r="186" spans="17:34" ht="13.8" x14ac:dyDescent="0.25">
      <c r="R186" s="154"/>
      <c r="S186" s="114"/>
      <c r="T186" s="114"/>
      <c r="U186" s="155"/>
      <c r="V186" s="155"/>
      <c r="W186" s="155"/>
      <c r="X186" s="155"/>
      <c r="Y186" s="72"/>
      <c r="Z186" s="72"/>
      <c r="AA186" s="72"/>
      <c r="AB186" s="168"/>
      <c r="AC186" s="168"/>
      <c r="AD186" s="96"/>
    </row>
    <row r="187" spans="17:34" ht="13.8" x14ac:dyDescent="0.25">
      <c r="R187" s="156"/>
      <c r="S187" s="156"/>
      <c r="T187" s="157"/>
      <c r="U187" s="150"/>
      <c r="V187" s="150"/>
      <c r="W187" s="150"/>
      <c r="X187" s="150"/>
      <c r="Y187" s="150"/>
      <c r="Z187" s="150"/>
      <c r="AA187" s="150"/>
      <c r="AB187" s="168"/>
      <c r="AC187" s="168"/>
      <c r="AD187" s="96"/>
    </row>
    <row r="188" spans="17:34" ht="13.8" x14ac:dyDescent="0.25">
      <c r="R188" s="152"/>
      <c r="S188" s="152"/>
      <c r="T188" s="101"/>
      <c r="U188" s="152"/>
      <c r="V188" s="152"/>
      <c r="W188" s="152"/>
      <c r="X188" s="152"/>
      <c r="Y188" s="152"/>
      <c r="Z188" s="152"/>
      <c r="AA188" s="152"/>
      <c r="AB188" s="168"/>
      <c r="AC188" s="168"/>
      <c r="AD188" s="96"/>
    </row>
    <row r="189" spans="17:34" ht="13.8" x14ac:dyDescent="0.25"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68"/>
      <c r="AC189" s="168"/>
      <c r="AD189" s="96"/>
    </row>
    <row r="190" spans="17:34" ht="13.8" x14ac:dyDescent="0.25">
      <c r="R190" s="72"/>
      <c r="S190" s="105"/>
      <c r="T190" s="105"/>
      <c r="U190" s="97"/>
      <c r="V190" s="102"/>
      <c r="W190" s="102"/>
      <c r="X190" s="72"/>
      <c r="Y190" s="168"/>
      <c r="Z190" s="102"/>
      <c r="AA190" s="102"/>
      <c r="AB190" s="168"/>
      <c r="AC190" s="168"/>
      <c r="AD190" s="96"/>
    </row>
    <row r="191" spans="17:34" ht="13.8" x14ac:dyDescent="0.25">
      <c r="Q191" s="72"/>
      <c r="R191" s="72"/>
      <c r="S191" s="72"/>
      <c r="T191" s="102"/>
      <c r="U191" s="102"/>
      <c r="V191" s="102"/>
      <c r="W191" s="102"/>
      <c r="X191" s="72"/>
      <c r="Y191" s="168"/>
      <c r="Z191" s="102"/>
      <c r="AA191" s="102"/>
      <c r="AB191" s="168"/>
      <c r="AC191" s="168"/>
      <c r="AD191" s="96"/>
    </row>
    <row r="192" spans="17:34" ht="13.8" x14ac:dyDescent="0.25">
      <c r="R192" s="72"/>
      <c r="S192" s="72"/>
      <c r="T192" s="102"/>
      <c r="U192" s="102"/>
      <c r="V192" s="102"/>
      <c r="W192" s="102"/>
      <c r="X192" s="72"/>
      <c r="Y192" s="168"/>
      <c r="Z192" s="102"/>
      <c r="AA192" s="102"/>
      <c r="AB192" s="168"/>
      <c r="AC192" s="168"/>
      <c r="AD192" s="96"/>
    </row>
    <row r="193" spans="18:30" ht="13.8" x14ac:dyDescent="0.25">
      <c r="R193" s="72"/>
      <c r="S193" s="72"/>
      <c r="T193" s="102"/>
      <c r="U193" s="102"/>
      <c r="V193" s="102"/>
      <c r="W193" s="102"/>
      <c r="X193" s="72"/>
      <c r="Y193" s="168"/>
      <c r="Z193" s="102"/>
      <c r="AA193" s="102"/>
      <c r="AB193" s="168"/>
      <c r="AC193" s="168"/>
      <c r="AD193" s="96"/>
    </row>
    <row r="194" spans="18:30" ht="13.8" x14ac:dyDescent="0.25">
      <c r="R194" s="72"/>
      <c r="S194" s="72"/>
      <c r="T194" s="102"/>
      <c r="U194" s="102"/>
      <c r="V194" s="102"/>
      <c r="W194" s="102"/>
      <c r="X194" s="72"/>
      <c r="Y194" s="168"/>
      <c r="Z194" s="102"/>
      <c r="AA194" s="102"/>
      <c r="AB194" s="168"/>
      <c r="AC194" s="168"/>
      <c r="AD194" s="96"/>
    </row>
    <row r="195" spans="18:30" ht="13.8" x14ac:dyDescent="0.25">
      <c r="R195" s="72"/>
      <c r="S195" s="72"/>
      <c r="T195" s="102"/>
      <c r="U195" s="102"/>
      <c r="V195" s="102"/>
      <c r="W195" s="102"/>
      <c r="X195" s="72"/>
      <c r="Y195" s="168"/>
      <c r="Z195" s="102"/>
      <c r="AA195" s="102"/>
      <c r="AB195" s="168"/>
      <c r="AC195" s="168"/>
      <c r="AD195" s="96"/>
    </row>
    <row r="196" spans="18:30" ht="13.8" x14ac:dyDescent="0.25">
      <c r="R196" s="72"/>
      <c r="S196" s="72"/>
      <c r="T196" s="102"/>
      <c r="U196" s="102"/>
      <c r="V196" s="102"/>
      <c r="W196" s="102"/>
      <c r="X196" s="72"/>
      <c r="Y196" s="168"/>
      <c r="Z196" s="102"/>
      <c r="AA196" s="102"/>
      <c r="AB196" s="168"/>
      <c r="AC196" s="168"/>
      <c r="AD196" s="96"/>
    </row>
    <row r="197" spans="18:30" ht="13.8" x14ac:dyDescent="0.25">
      <c r="R197" s="72"/>
      <c r="S197" s="72"/>
      <c r="T197" s="102"/>
      <c r="U197" s="102"/>
      <c r="V197" s="102"/>
      <c r="W197" s="102"/>
      <c r="X197" s="72"/>
      <c r="Y197" s="168"/>
      <c r="Z197" s="102"/>
      <c r="AA197" s="102"/>
      <c r="AB197" s="168"/>
      <c r="AC197" s="168"/>
      <c r="AD197" s="96"/>
    </row>
    <row r="198" spans="18:30" ht="13.8" x14ac:dyDescent="0.25">
      <c r="R198" s="72"/>
      <c r="S198" s="72"/>
      <c r="T198" s="102"/>
      <c r="U198" s="102"/>
      <c r="V198" s="102"/>
      <c r="W198" s="102"/>
      <c r="X198" s="72"/>
      <c r="Y198" s="168"/>
      <c r="Z198" s="102"/>
      <c r="AA198" s="102"/>
      <c r="AB198" s="168"/>
      <c r="AC198" s="168"/>
      <c r="AD198" s="96"/>
    </row>
    <row r="199" spans="18:30" ht="13.8" x14ac:dyDescent="0.25">
      <c r="R199" s="72"/>
      <c r="S199" s="105"/>
      <c r="T199" s="105"/>
      <c r="U199" s="97"/>
      <c r="V199" s="102"/>
      <c r="W199" s="102"/>
      <c r="X199" s="72"/>
      <c r="Y199" s="168"/>
      <c r="Z199" s="102"/>
      <c r="AA199" s="102"/>
      <c r="AB199" s="168"/>
      <c r="AC199" s="168"/>
      <c r="AD199" s="96"/>
    </row>
    <row r="200" spans="18:30" ht="13.8" x14ac:dyDescent="0.25">
      <c r="R200" s="72"/>
      <c r="S200" s="72"/>
      <c r="T200" s="102"/>
      <c r="U200" s="102"/>
      <c r="V200" s="102"/>
      <c r="W200" s="102"/>
      <c r="X200" s="72"/>
      <c r="Y200" s="168"/>
      <c r="Z200" s="102"/>
      <c r="AA200" s="102"/>
      <c r="AB200" s="168"/>
      <c r="AC200" s="168"/>
      <c r="AD200" s="96"/>
    </row>
    <row r="201" spans="18:30" ht="13.8" x14ac:dyDescent="0.25">
      <c r="R201" s="72"/>
      <c r="S201" s="72"/>
      <c r="T201" s="102"/>
      <c r="U201" s="102"/>
      <c r="V201" s="102"/>
      <c r="W201" s="102"/>
      <c r="X201" s="72"/>
      <c r="Y201" s="168"/>
      <c r="Z201" s="102"/>
      <c r="AA201" s="102"/>
      <c r="AB201" s="168"/>
      <c r="AC201" s="168"/>
      <c r="AD201" s="96"/>
    </row>
    <row r="202" spans="18:30" ht="13.8" x14ac:dyDescent="0.25">
      <c r="R202" s="72"/>
      <c r="S202" s="72"/>
      <c r="T202" s="102"/>
      <c r="U202" s="102"/>
      <c r="V202" s="102"/>
      <c r="W202" s="102"/>
      <c r="X202" s="72"/>
      <c r="Y202" s="168"/>
      <c r="Z202" s="102"/>
      <c r="AA202" s="102"/>
      <c r="AB202" s="168"/>
      <c r="AC202" s="168"/>
      <c r="AD202" s="96"/>
    </row>
    <row r="203" spans="18:30" ht="13.8" x14ac:dyDescent="0.25">
      <c r="R203" s="72"/>
      <c r="S203" s="72"/>
      <c r="T203" s="102"/>
      <c r="U203" s="102"/>
      <c r="V203" s="102"/>
      <c r="W203" s="102"/>
      <c r="X203" s="72"/>
      <c r="Y203" s="168"/>
      <c r="Z203" s="102"/>
      <c r="AA203" s="102"/>
      <c r="AB203" s="168"/>
      <c r="AC203" s="168"/>
      <c r="AD203" s="96"/>
    </row>
    <row r="204" spans="18:30" ht="13.8" x14ac:dyDescent="0.25">
      <c r="R204" s="72"/>
      <c r="S204" s="72"/>
      <c r="T204" s="102"/>
      <c r="U204" s="102"/>
      <c r="V204" s="102"/>
      <c r="W204" s="102"/>
      <c r="X204" s="72"/>
      <c r="Y204" s="168"/>
      <c r="Z204" s="102"/>
      <c r="AA204" s="102"/>
      <c r="AB204" s="168"/>
      <c r="AC204" s="168"/>
      <c r="AD204" s="96"/>
    </row>
    <row r="205" spans="18:30" ht="13.8" x14ac:dyDescent="0.25">
      <c r="R205" s="72"/>
      <c r="S205" s="72"/>
      <c r="T205" s="102"/>
      <c r="U205" s="102"/>
      <c r="V205" s="102"/>
      <c r="W205" s="102"/>
      <c r="X205" s="72"/>
      <c r="Y205" s="168"/>
      <c r="Z205" s="102"/>
      <c r="AA205" s="102"/>
      <c r="AB205" s="168"/>
      <c r="AC205" s="168"/>
      <c r="AD205" s="96"/>
    </row>
    <row r="206" spans="18:30" ht="13.8" x14ac:dyDescent="0.25">
      <c r="R206" s="72"/>
      <c r="S206" s="72"/>
      <c r="T206" s="102"/>
      <c r="U206" s="102"/>
      <c r="V206" s="102"/>
      <c r="W206" s="102"/>
      <c r="X206" s="72"/>
      <c r="Y206" s="168"/>
      <c r="Z206" s="102"/>
      <c r="AA206" s="102"/>
      <c r="AB206" s="168"/>
      <c r="AC206" s="168"/>
      <c r="AD206" s="96"/>
    </row>
    <row r="207" spans="18:30" ht="13.8" x14ac:dyDescent="0.25">
      <c r="R207" s="72"/>
      <c r="S207" s="72"/>
      <c r="T207" s="102"/>
      <c r="U207" s="102"/>
      <c r="V207" s="102"/>
      <c r="W207" s="102"/>
      <c r="X207" s="72"/>
      <c r="Y207" s="168"/>
      <c r="Z207" s="102"/>
      <c r="AA207" s="102"/>
      <c r="AB207" s="168"/>
      <c r="AC207" s="168"/>
      <c r="AD207" s="96"/>
    </row>
    <row r="208" spans="18:30" ht="13.8" x14ac:dyDescent="0.25">
      <c r="R208" s="72"/>
      <c r="S208" s="105"/>
      <c r="T208" s="105"/>
      <c r="U208" s="97"/>
      <c r="V208" s="102"/>
      <c r="W208" s="102"/>
      <c r="X208" s="72"/>
      <c r="Y208" s="168"/>
      <c r="Z208" s="102"/>
      <c r="AA208" s="102"/>
      <c r="AB208" s="168"/>
    </row>
    <row r="209" spans="17:35" ht="13.8" x14ac:dyDescent="0.25">
      <c r="R209" s="72"/>
      <c r="S209" s="72"/>
      <c r="T209" s="102"/>
      <c r="U209" s="102"/>
      <c r="V209" s="102"/>
      <c r="W209" s="102"/>
      <c r="X209" s="72"/>
      <c r="Y209" s="168"/>
      <c r="Z209" s="102"/>
      <c r="AA209" s="102"/>
      <c r="AB209" s="168"/>
    </row>
    <row r="210" spans="17:35" ht="13.8" x14ac:dyDescent="0.25">
      <c r="R210" s="72"/>
      <c r="S210" s="72"/>
      <c r="T210" s="102"/>
      <c r="U210" s="102"/>
      <c r="V210" s="102"/>
      <c r="W210" s="102"/>
      <c r="X210" s="72"/>
      <c r="Y210" s="168"/>
      <c r="Z210" s="102"/>
      <c r="AA210" s="102"/>
      <c r="AB210" s="168"/>
    </row>
    <row r="211" spans="17:35" ht="17.399999999999999" x14ac:dyDescent="0.3">
      <c r="Q211" s="170"/>
      <c r="R211" s="72"/>
      <c r="S211" s="72"/>
      <c r="T211" s="102"/>
      <c r="U211" s="102"/>
      <c r="V211" s="102"/>
      <c r="W211" s="102"/>
      <c r="X211" s="72"/>
      <c r="Y211" s="168"/>
      <c r="Z211" s="102"/>
      <c r="AA211" s="102"/>
    </row>
    <row r="212" spans="17:35" ht="17.399999999999999" x14ac:dyDescent="0.3">
      <c r="Q212" s="170"/>
      <c r="R212" s="72"/>
      <c r="S212" s="72"/>
      <c r="T212" s="102"/>
      <c r="U212" s="102"/>
      <c r="V212" s="102"/>
      <c r="W212" s="102"/>
      <c r="X212" s="72"/>
      <c r="Y212" s="168"/>
      <c r="Z212" s="102"/>
      <c r="AA212" s="102"/>
    </row>
    <row r="213" spans="17:35" ht="13.8" x14ac:dyDescent="0.25">
      <c r="R213" s="72"/>
      <c r="S213" s="72"/>
      <c r="T213" s="102"/>
      <c r="U213" s="102"/>
      <c r="V213" s="102"/>
      <c r="W213" s="102"/>
      <c r="X213" s="72"/>
      <c r="Y213" s="168"/>
      <c r="Z213" s="102"/>
      <c r="AA213" s="102"/>
      <c r="AC213" s="72"/>
    </row>
    <row r="214" spans="17:35" ht="13.8" x14ac:dyDescent="0.25">
      <c r="R214" s="72"/>
      <c r="S214" s="72"/>
      <c r="T214" s="102"/>
      <c r="U214" s="102"/>
      <c r="V214" s="102"/>
      <c r="W214" s="102"/>
      <c r="X214" s="72"/>
      <c r="Y214" s="168"/>
      <c r="Z214" s="102"/>
      <c r="AA214" s="102"/>
    </row>
    <row r="215" spans="17:35" ht="13.8" x14ac:dyDescent="0.25">
      <c r="Q215" s="72"/>
      <c r="R215" s="72"/>
      <c r="S215" s="72"/>
      <c r="T215" s="102"/>
      <c r="U215" s="102"/>
      <c r="V215" s="102"/>
      <c r="W215" s="102"/>
      <c r="X215" s="72"/>
      <c r="Y215" s="168"/>
      <c r="Z215" s="102"/>
      <c r="AA215" s="102"/>
      <c r="AD215" s="72"/>
      <c r="AE215" s="72"/>
      <c r="AF215" s="72"/>
      <c r="AG215" s="72"/>
      <c r="AH215" s="72"/>
      <c r="AI215" s="72"/>
    </row>
    <row r="216" spans="17:35" ht="13.8" x14ac:dyDescent="0.25">
      <c r="Q216" s="72"/>
      <c r="R216" s="72"/>
      <c r="S216" s="72"/>
      <c r="T216" s="102"/>
      <c r="U216" s="102"/>
      <c r="V216" s="102"/>
      <c r="W216" s="102"/>
      <c r="X216" s="72"/>
      <c r="Y216" s="168"/>
      <c r="Z216" s="102"/>
      <c r="AA216" s="102"/>
      <c r="AB216" s="72"/>
      <c r="AC216" s="150"/>
      <c r="AD216" s="150"/>
      <c r="AE216" s="158"/>
      <c r="AF216" s="158"/>
      <c r="AI216" s="120"/>
    </row>
    <row r="217" spans="17:35" ht="13.8" x14ac:dyDescent="0.25">
      <c r="Q217" s="72"/>
      <c r="AC217" s="152"/>
      <c r="AD217" s="152"/>
      <c r="AE217" s="152"/>
      <c r="AF217" s="152"/>
      <c r="AG217" s="72"/>
      <c r="AH217" s="72"/>
      <c r="AI217" s="72"/>
    </row>
    <row r="218" spans="17:35" ht="13.8" x14ac:dyDescent="0.25">
      <c r="Q218" s="72"/>
      <c r="AC218" s="152"/>
      <c r="AD218" s="152"/>
      <c r="AE218" s="171"/>
      <c r="AF218" s="171"/>
      <c r="AG218" s="72"/>
      <c r="AH218" s="72"/>
      <c r="AI218" s="72"/>
    </row>
    <row r="219" spans="17:35" ht="13.8" x14ac:dyDescent="0.25">
      <c r="Q219" s="72"/>
      <c r="AB219" s="150"/>
      <c r="AC219" s="168"/>
      <c r="AD219" s="96"/>
      <c r="AE219" s="97"/>
      <c r="AF219" s="97"/>
      <c r="AG219" s="72"/>
      <c r="AH219" s="72"/>
      <c r="AI219" s="72"/>
    </row>
    <row r="220" spans="17:35" ht="17.399999999999999" x14ac:dyDescent="0.3">
      <c r="Q220" s="72"/>
      <c r="R220" s="170"/>
      <c r="AB220" s="152"/>
      <c r="AC220" s="168"/>
      <c r="AD220" s="96"/>
      <c r="AE220" s="96"/>
      <c r="AF220" s="72"/>
      <c r="AG220" s="72"/>
      <c r="AH220" s="72"/>
      <c r="AI220" s="72"/>
    </row>
    <row r="221" spans="17:35" ht="17.399999999999999" x14ac:dyDescent="0.3">
      <c r="Q221" s="72"/>
      <c r="R221" s="170"/>
      <c r="AB221" s="152"/>
      <c r="AC221" s="168"/>
      <c r="AD221" s="96"/>
      <c r="AE221" s="96"/>
      <c r="AF221" s="72"/>
      <c r="AG221" s="72"/>
      <c r="AH221" s="72"/>
      <c r="AI221" s="72"/>
    </row>
    <row r="222" spans="17:35" ht="13.8" x14ac:dyDescent="0.25">
      <c r="Q222" s="72"/>
      <c r="AA222" s="105"/>
      <c r="AB222" s="168"/>
      <c r="AC222" s="168"/>
      <c r="AD222" s="96"/>
      <c r="AE222" s="96"/>
      <c r="AF222" s="72"/>
      <c r="AG222" s="72"/>
      <c r="AH222" s="72"/>
      <c r="AI222" s="72"/>
    </row>
    <row r="223" spans="17:35" ht="13.8" x14ac:dyDescent="0.25">
      <c r="AB223" s="168"/>
      <c r="AC223" s="168"/>
      <c r="AD223" s="96"/>
      <c r="AE223" s="96"/>
    </row>
    <row r="224" spans="17:35" ht="13.8" x14ac:dyDescent="0.25">
      <c r="R224" s="154"/>
      <c r="S224" s="114"/>
      <c r="T224" s="114"/>
      <c r="U224" s="155"/>
      <c r="V224" s="155"/>
      <c r="W224" s="155"/>
      <c r="X224" s="155"/>
      <c r="Y224" s="72"/>
      <c r="Z224" s="72"/>
      <c r="AB224" s="168"/>
      <c r="AC224" s="168"/>
      <c r="AD224" s="96"/>
      <c r="AE224" s="96"/>
    </row>
    <row r="225" spans="18:32" ht="13.8" x14ac:dyDescent="0.25">
      <c r="R225" s="156"/>
      <c r="S225" s="156"/>
      <c r="T225" s="157"/>
      <c r="U225" s="150"/>
      <c r="V225" s="150"/>
      <c r="W225" s="150"/>
      <c r="X225" s="150"/>
      <c r="Y225" s="150"/>
      <c r="Z225" s="150"/>
      <c r="AA225" s="150"/>
      <c r="AB225" s="168"/>
      <c r="AC225" s="168"/>
      <c r="AD225" s="96"/>
      <c r="AE225" s="96"/>
    </row>
    <row r="226" spans="18:32" ht="13.8" x14ac:dyDescent="0.25">
      <c r="R226" s="152"/>
      <c r="S226" s="152"/>
      <c r="T226" s="101"/>
      <c r="U226" s="152"/>
      <c r="V226" s="152"/>
      <c r="W226" s="152"/>
      <c r="X226" s="152"/>
      <c r="Y226" s="152"/>
      <c r="Z226" s="152"/>
      <c r="AA226" s="152"/>
      <c r="AB226" s="168"/>
      <c r="AC226" s="168"/>
      <c r="AD226" s="96"/>
      <c r="AE226" s="96"/>
    </row>
    <row r="227" spans="18:32" ht="13.8" x14ac:dyDescent="0.25"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68"/>
      <c r="AC227" s="72"/>
      <c r="AD227" s="102"/>
      <c r="AE227" s="96"/>
    </row>
    <row r="228" spans="18:32" ht="13.8" x14ac:dyDescent="0.25">
      <c r="R228" s="72"/>
      <c r="S228" s="72"/>
      <c r="T228" s="105"/>
      <c r="U228" s="168"/>
      <c r="V228" s="96"/>
      <c r="W228" s="168"/>
      <c r="X228" s="97"/>
      <c r="Y228" s="97"/>
      <c r="Z228" s="72"/>
      <c r="AA228" s="95"/>
      <c r="AB228" s="168"/>
      <c r="AC228" s="72"/>
      <c r="AD228" s="102"/>
      <c r="AE228" s="96"/>
    </row>
    <row r="229" spans="18:32" ht="13.8" x14ac:dyDescent="0.25">
      <c r="R229" s="72"/>
      <c r="S229" s="72"/>
      <c r="T229" s="105"/>
      <c r="U229" s="102"/>
      <c r="V229" s="102"/>
      <c r="W229" s="102"/>
      <c r="X229" s="102"/>
      <c r="Y229" s="97"/>
      <c r="Z229" s="97"/>
      <c r="AA229" s="72"/>
      <c r="AB229" s="168"/>
      <c r="AC229" s="97"/>
      <c r="AD229" s="96"/>
      <c r="AE229" s="97"/>
      <c r="AF229" s="97"/>
    </row>
    <row r="230" spans="18:32" ht="13.8" x14ac:dyDescent="0.25">
      <c r="R230" s="72"/>
      <c r="S230" s="72"/>
      <c r="T230" s="72"/>
      <c r="U230" s="102"/>
      <c r="V230" s="102"/>
      <c r="W230" s="102"/>
      <c r="X230" s="102"/>
      <c r="Y230" s="97"/>
      <c r="Z230" s="97"/>
      <c r="AA230" s="72"/>
      <c r="AB230" s="72"/>
      <c r="AC230" s="96"/>
      <c r="AD230" s="96"/>
      <c r="AE230" s="96"/>
    </row>
    <row r="231" spans="18:32" ht="13.8" x14ac:dyDescent="0.25">
      <c r="R231" s="72"/>
      <c r="S231" s="72"/>
      <c r="T231" s="105"/>
      <c r="U231" s="168"/>
      <c r="V231" s="168"/>
      <c r="W231" s="168"/>
      <c r="X231" s="168"/>
      <c r="Y231" s="97"/>
      <c r="Z231" s="97"/>
      <c r="AA231" s="72"/>
      <c r="AB231" s="72"/>
      <c r="AC231" s="96"/>
      <c r="AD231" s="96"/>
      <c r="AE231" s="96"/>
    </row>
    <row r="232" spans="18:32" ht="13.8" x14ac:dyDescent="0.25">
      <c r="R232" s="72"/>
      <c r="S232" s="72"/>
      <c r="T232" s="105"/>
      <c r="U232" s="102"/>
      <c r="V232" s="102"/>
      <c r="W232" s="102"/>
      <c r="X232" s="102"/>
      <c r="Y232" s="97"/>
      <c r="Z232" s="97"/>
      <c r="AA232" s="72"/>
      <c r="AB232" s="96"/>
      <c r="AC232" s="96"/>
      <c r="AD232" s="96"/>
      <c r="AE232" s="96"/>
    </row>
    <row r="233" spans="18:32" ht="13.8" x14ac:dyDescent="0.25">
      <c r="R233" s="72"/>
      <c r="S233" s="72"/>
      <c r="T233" s="105"/>
      <c r="U233" s="102"/>
      <c r="V233" s="102"/>
      <c r="W233" s="102"/>
      <c r="X233" s="102"/>
      <c r="Y233" s="97"/>
      <c r="Z233" s="97"/>
      <c r="AA233" s="72"/>
      <c r="AB233" s="96"/>
      <c r="AC233" s="96"/>
      <c r="AD233" s="96"/>
      <c r="AE233" s="96"/>
    </row>
    <row r="234" spans="18:32" ht="13.8" x14ac:dyDescent="0.25">
      <c r="R234" s="72"/>
      <c r="S234" s="72"/>
      <c r="T234" s="105"/>
      <c r="U234" s="102"/>
      <c r="V234" s="102"/>
      <c r="W234" s="102"/>
      <c r="X234" s="102"/>
      <c r="Y234" s="97"/>
      <c r="Z234" s="97"/>
      <c r="AA234" s="72"/>
      <c r="AB234" s="96"/>
      <c r="AC234" s="96"/>
      <c r="AD234" s="96"/>
      <c r="AE234" s="96"/>
    </row>
    <row r="235" spans="18:32" ht="13.8" x14ac:dyDescent="0.25">
      <c r="R235" s="72"/>
      <c r="S235" s="72"/>
      <c r="T235" s="105"/>
      <c r="U235" s="102"/>
      <c r="V235" s="102"/>
      <c r="W235" s="102"/>
      <c r="X235" s="102"/>
      <c r="Y235" s="97"/>
      <c r="Z235" s="97"/>
      <c r="AA235" s="72"/>
      <c r="AB235" s="96"/>
      <c r="AC235" s="96"/>
      <c r="AD235" s="96"/>
      <c r="AE235" s="96"/>
    </row>
    <row r="236" spans="18:32" ht="13.8" x14ac:dyDescent="0.25">
      <c r="R236" s="72"/>
      <c r="S236" s="72"/>
      <c r="T236" s="72"/>
      <c r="U236" s="102"/>
      <c r="V236" s="102"/>
      <c r="W236" s="102"/>
      <c r="X236" s="102"/>
      <c r="Y236" s="97"/>
      <c r="Z236" s="97"/>
      <c r="AA236" s="72"/>
      <c r="AB236" s="96"/>
      <c r="AC236" s="96"/>
      <c r="AD236" s="96"/>
      <c r="AE236" s="96"/>
    </row>
    <row r="237" spans="18:32" ht="13.8" x14ac:dyDescent="0.25">
      <c r="R237" s="72"/>
      <c r="S237" s="72"/>
      <c r="T237" s="105"/>
      <c r="U237" s="168"/>
      <c r="V237" s="168"/>
      <c r="W237" s="168"/>
      <c r="X237" s="168"/>
      <c r="Y237" s="97"/>
      <c r="Z237" s="102"/>
      <c r="AA237" s="72"/>
      <c r="AB237" s="96"/>
      <c r="AC237" s="96"/>
      <c r="AD237" s="102"/>
      <c r="AE237" s="96"/>
    </row>
    <row r="238" spans="18:32" ht="13.8" x14ac:dyDescent="0.25">
      <c r="R238" s="72"/>
      <c r="S238" s="72"/>
      <c r="T238" s="105"/>
      <c r="U238" s="168"/>
      <c r="V238" s="96"/>
      <c r="W238" s="168"/>
      <c r="X238" s="97"/>
      <c r="Y238" s="97"/>
      <c r="Z238" s="72"/>
      <c r="AA238" s="95"/>
      <c r="AB238" s="96"/>
      <c r="AC238" s="96"/>
      <c r="AD238" s="102"/>
      <c r="AE238" s="96"/>
    </row>
    <row r="239" spans="18:32" ht="13.8" x14ac:dyDescent="0.25">
      <c r="R239" s="72"/>
      <c r="S239" s="72"/>
      <c r="T239" s="105"/>
      <c r="U239" s="102"/>
      <c r="V239" s="102"/>
      <c r="W239" s="102"/>
      <c r="X239" s="102"/>
      <c r="Y239" s="97"/>
      <c r="Z239" s="97"/>
      <c r="AA239" s="72"/>
      <c r="AB239" s="96"/>
      <c r="AC239" s="97"/>
      <c r="AD239" s="96"/>
      <c r="AE239" s="97"/>
      <c r="AF239" s="97"/>
    </row>
    <row r="240" spans="18:32" ht="13.8" x14ac:dyDescent="0.25">
      <c r="R240" s="72"/>
      <c r="S240" s="72"/>
      <c r="T240" s="72"/>
      <c r="U240" s="102"/>
      <c r="V240" s="102"/>
      <c r="W240" s="102"/>
      <c r="X240" s="102"/>
      <c r="Y240" s="97"/>
      <c r="Z240" s="97"/>
      <c r="AA240" s="72"/>
      <c r="AB240" s="102"/>
      <c r="AC240" s="96"/>
      <c r="AD240" s="96"/>
      <c r="AE240" s="96"/>
    </row>
    <row r="241" spans="17:31" ht="13.8" x14ac:dyDescent="0.25">
      <c r="R241" s="72"/>
      <c r="S241" s="72"/>
      <c r="T241" s="105"/>
      <c r="U241" s="168"/>
      <c r="V241" s="168"/>
      <c r="W241" s="168"/>
      <c r="X241" s="168"/>
      <c r="Y241" s="97"/>
      <c r="Z241" s="97"/>
      <c r="AA241" s="72"/>
      <c r="AB241" s="102"/>
      <c r="AC241" s="96"/>
      <c r="AD241" s="96"/>
      <c r="AE241" s="96"/>
    </row>
    <row r="242" spans="17:31" ht="13.8" x14ac:dyDescent="0.25">
      <c r="R242" s="72"/>
      <c r="S242" s="72"/>
      <c r="T242" s="105"/>
      <c r="U242" s="102"/>
      <c r="V242" s="102"/>
      <c r="W242" s="102"/>
      <c r="X242" s="102"/>
      <c r="Y242" s="97"/>
      <c r="Z242" s="97"/>
      <c r="AA242" s="72"/>
      <c r="AB242" s="96"/>
      <c r="AC242" s="96"/>
      <c r="AD242" s="96"/>
      <c r="AE242" s="96"/>
    </row>
    <row r="243" spans="17:31" ht="13.8" x14ac:dyDescent="0.25">
      <c r="R243" s="72"/>
      <c r="S243" s="72"/>
      <c r="T243" s="105"/>
      <c r="U243" s="102"/>
      <c r="V243" s="102"/>
      <c r="W243" s="102"/>
      <c r="X243" s="102"/>
      <c r="Y243" s="97"/>
      <c r="Z243" s="97"/>
      <c r="AA243" s="72"/>
      <c r="AB243" s="96"/>
      <c r="AC243" s="96"/>
      <c r="AD243" s="96"/>
      <c r="AE243" s="96"/>
    </row>
    <row r="244" spans="17:31" ht="13.8" x14ac:dyDescent="0.25">
      <c r="R244" s="72"/>
      <c r="S244" s="72"/>
      <c r="T244" s="105"/>
      <c r="U244" s="102"/>
      <c r="V244" s="102"/>
      <c r="W244" s="102"/>
      <c r="X244" s="102"/>
      <c r="Y244" s="97"/>
      <c r="Z244" s="97"/>
      <c r="AA244" s="72"/>
      <c r="AB244" s="96"/>
      <c r="AC244" s="96"/>
      <c r="AD244" s="96"/>
      <c r="AE244" s="96"/>
    </row>
    <row r="245" spans="17:31" ht="13.8" x14ac:dyDescent="0.25">
      <c r="R245" s="72"/>
      <c r="S245" s="72"/>
      <c r="T245" s="105"/>
      <c r="U245" s="102"/>
      <c r="V245" s="102"/>
      <c r="W245" s="102"/>
      <c r="X245" s="102"/>
      <c r="Y245" s="97"/>
      <c r="Z245" s="97"/>
      <c r="AA245" s="72"/>
      <c r="AB245" s="96"/>
      <c r="AC245" s="96"/>
      <c r="AD245" s="96"/>
      <c r="AE245" s="96"/>
    </row>
    <row r="246" spans="17:31" ht="13.8" x14ac:dyDescent="0.25">
      <c r="R246" s="72"/>
      <c r="S246" s="72"/>
      <c r="T246" s="72"/>
      <c r="U246" s="102"/>
      <c r="V246" s="102"/>
      <c r="W246" s="102"/>
      <c r="X246" s="102"/>
      <c r="Y246" s="97"/>
      <c r="Z246" s="97"/>
      <c r="AA246" s="72"/>
      <c r="AB246" s="96"/>
      <c r="AC246" s="96"/>
      <c r="AD246" s="96"/>
      <c r="AE246" s="96"/>
    </row>
    <row r="247" spans="17:31" ht="13.8" x14ac:dyDescent="0.25">
      <c r="R247" s="72"/>
      <c r="S247" s="72"/>
      <c r="T247" s="105"/>
      <c r="U247" s="168"/>
      <c r="V247" s="168"/>
      <c r="W247" s="168"/>
      <c r="X247" s="168"/>
      <c r="Y247" s="97"/>
      <c r="Z247" s="102"/>
      <c r="AA247" s="72"/>
      <c r="AB247" s="96"/>
      <c r="AC247" s="96"/>
      <c r="AD247" s="102"/>
      <c r="AE247" s="96"/>
    </row>
    <row r="248" spans="17:31" ht="13.8" x14ac:dyDescent="0.25">
      <c r="R248" s="72"/>
      <c r="S248" s="72"/>
      <c r="T248" s="105"/>
      <c r="U248" s="168"/>
      <c r="V248" s="96"/>
      <c r="W248" s="168"/>
      <c r="X248" s="97"/>
      <c r="Y248" s="97"/>
      <c r="Z248" s="72"/>
      <c r="AA248" s="95"/>
      <c r="AB248" s="96"/>
      <c r="AC248" s="96"/>
      <c r="AD248" s="102"/>
      <c r="AE248" s="96"/>
    </row>
    <row r="249" spans="17:31" ht="13.8" x14ac:dyDescent="0.25">
      <c r="R249" s="72"/>
      <c r="S249" s="72"/>
      <c r="T249" s="105"/>
      <c r="U249" s="102"/>
      <c r="V249" s="102"/>
      <c r="W249" s="102"/>
      <c r="X249" s="102"/>
      <c r="Y249" s="97"/>
      <c r="Z249" s="97"/>
      <c r="AA249" s="72"/>
      <c r="AB249" s="96"/>
    </row>
    <row r="250" spans="17:31" ht="13.8" x14ac:dyDescent="0.25">
      <c r="R250" s="72"/>
      <c r="S250" s="72"/>
      <c r="T250" s="72"/>
      <c r="U250" s="102"/>
      <c r="V250" s="102"/>
      <c r="W250" s="102"/>
      <c r="X250" s="102"/>
      <c r="Y250" s="97"/>
      <c r="Z250" s="97"/>
      <c r="AA250" s="72"/>
      <c r="AB250" s="102"/>
    </row>
    <row r="251" spans="17:31" ht="13.8" x14ac:dyDescent="0.25">
      <c r="R251" s="72"/>
      <c r="S251" s="72"/>
      <c r="T251" s="105"/>
      <c r="U251" s="168"/>
      <c r="V251" s="168"/>
      <c r="W251" s="168"/>
      <c r="X251" s="168"/>
      <c r="Y251" s="97"/>
      <c r="Z251" s="97"/>
      <c r="AA251" s="72"/>
      <c r="AB251" s="102"/>
    </row>
    <row r="252" spans="17:31" ht="17.399999999999999" x14ac:dyDescent="0.3">
      <c r="Q252" s="170"/>
      <c r="R252" s="72"/>
      <c r="S252" s="72"/>
      <c r="T252" s="105"/>
      <c r="U252" s="102"/>
      <c r="V252" s="102"/>
      <c r="W252" s="102"/>
      <c r="X252" s="102"/>
      <c r="Y252" s="97"/>
      <c r="Z252" s="97"/>
      <c r="AA252" s="72"/>
      <c r="AC252" s="72"/>
    </row>
    <row r="253" spans="17:31" ht="13.8" x14ac:dyDescent="0.25">
      <c r="Q253" s="72"/>
      <c r="R253" s="72"/>
      <c r="S253" s="72"/>
      <c r="T253" s="105"/>
      <c r="U253" s="102"/>
      <c r="V253" s="102"/>
      <c r="W253" s="102"/>
      <c r="X253" s="102"/>
      <c r="Y253" s="97"/>
      <c r="Z253" s="97"/>
      <c r="AA253" s="72"/>
      <c r="AC253" s="72"/>
    </row>
    <row r="254" spans="17:31" ht="13.8" x14ac:dyDescent="0.25">
      <c r="Q254" s="72"/>
      <c r="R254" s="72"/>
      <c r="S254" s="72"/>
      <c r="T254" s="105"/>
      <c r="U254" s="102"/>
      <c r="V254" s="102"/>
      <c r="W254" s="102"/>
      <c r="X254" s="102"/>
      <c r="Y254" s="97"/>
      <c r="Z254" s="97"/>
      <c r="AA254" s="72"/>
      <c r="AC254" s="72"/>
    </row>
    <row r="255" spans="17:31" ht="13.8" x14ac:dyDescent="0.25">
      <c r="Q255" s="72"/>
      <c r="R255" s="72"/>
      <c r="S255" s="72"/>
      <c r="T255" s="105"/>
      <c r="U255" s="102"/>
      <c r="V255" s="102"/>
      <c r="W255" s="102"/>
      <c r="X255" s="102"/>
      <c r="Y255" s="97"/>
      <c r="Z255" s="97"/>
      <c r="AA255" s="72"/>
      <c r="AB255" s="72"/>
      <c r="AC255" s="72"/>
    </row>
    <row r="256" spans="17:31" ht="13.8" x14ac:dyDescent="0.25">
      <c r="Q256" s="72"/>
      <c r="R256" s="72"/>
      <c r="S256" s="72"/>
      <c r="T256" s="72"/>
      <c r="U256" s="102"/>
      <c r="V256" s="102"/>
      <c r="W256" s="102"/>
      <c r="X256" s="102"/>
      <c r="Y256" s="97"/>
      <c r="Z256" s="97"/>
      <c r="AA256" s="72"/>
      <c r="AB256" s="72"/>
    </row>
    <row r="257" spans="17:29" ht="13.8" x14ac:dyDescent="0.25">
      <c r="Q257" s="72"/>
      <c r="R257" s="72"/>
      <c r="S257" s="72"/>
      <c r="T257" s="105"/>
      <c r="U257" s="168"/>
      <c r="V257" s="168"/>
      <c r="W257" s="168"/>
      <c r="X257" s="168"/>
      <c r="Y257" s="97"/>
      <c r="Z257" s="102"/>
      <c r="AA257" s="72"/>
      <c r="AB257" s="72"/>
      <c r="AC257" s="150"/>
    </row>
    <row r="258" spans="17:29" ht="13.8" x14ac:dyDescent="0.25">
      <c r="AB258" s="72"/>
      <c r="AC258" s="152"/>
    </row>
    <row r="259" spans="17:29" ht="13.8" x14ac:dyDescent="0.25">
      <c r="AC259" s="152"/>
    </row>
    <row r="260" spans="17:29" ht="13.8" x14ac:dyDescent="0.25">
      <c r="AB260" s="150"/>
      <c r="AC260" s="153"/>
    </row>
    <row r="261" spans="17:29" ht="17.399999999999999" x14ac:dyDescent="0.3">
      <c r="R261" s="170"/>
      <c r="S261" s="72"/>
      <c r="T261" s="103"/>
      <c r="U261" s="104"/>
      <c r="V261" s="104"/>
      <c r="W261" s="72"/>
      <c r="X261" s="72"/>
      <c r="Y261" s="72"/>
      <c r="Z261" s="72"/>
      <c r="AA261" s="72"/>
      <c r="AB261" s="152"/>
      <c r="AC261" s="153"/>
    </row>
    <row r="262" spans="17:29" ht="13.8" x14ac:dyDescent="0.25">
      <c r="R262" s="72"/>
      <c r="S262" s="72"/>
      <c r="T262" s="103"/>
      <c r="U262" s="104"/>
      <c r="V262" s="104"/>
      <c r="W262" s="72"/>
      <c r="X262" s="72"/>
      <c r="Y262" s="72"/>
      <c r="Z262" s="72"/>
      <c r="AA262" s="72"/>
      <c r="AB262" s="152"/>
      <c r="AC262" s="153"/>
    </row>
    <row r="263" spans="17:29" ht="13.8" x14ac:dyDescent="0.25">
      <c r="R263" s="103"/>
      <c r="S263" s="103"/>
      <c r="T263" s="103"/>
      <c r="U263" s="104"/>
      <c r="V263" s="104"/>
      <c r="W263" s="72"/>
      <c r="X263" s="72"/>
      <c r="Y263" s="155"/>
      <c r="Z263" s="155"/>
      <c r="AA263" s="105"/>
      <c r="AB263" s="153"/>
      <c r="AC263" s="153"/>
    </row>
    <row r="264" spans="17:29" ht="13.8" x14ac:dyDescent="0.25"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153"/>
      <c r="AC264" s="153"/>
    </row>
    <row r="265" spans="17:29" ht="13.8" x14ac:dyDescent="0.25">
      <c r="R265" s="154"/>
      <c r="S265" s="114"/>
      <c r="T265" s="114"/>
      <c r="U265" s="155"/>
      <c r="V265" s="155"/>
      <c r="W265" s="155"/>
      <c r="X265" s="72"/>
      <c r="Y265" s="72"/>
      <c r="Z265" s="72"/>
      <c r="AA265" s="72"/>
      <c r="AB265" s="153"/>
      <c r="AC265" s="153"/>
    </row>
    <row r="266" spans="17:29" ht="13.8" x14ac:dyDescent="0.25">
      <c r="R266" s="156"/>
      <c r="S266" s="156"/>
      <c r="T266" s="157"/>
      <c r="U266" s="150"/>
      <c r="V266" s="158"/>
      <c r="W266" s="150"/>
      <c r="X266" s="150"/>
      <c r="Y266" s="150"/>
      <c r="Z266" s="150"/>
      <c r="AA266" s="150"/>
      <c r="AB266" s="153"/>
      <c r="AC266" s="153"/>
    </row>
    <row r="267" spans="17:29" ht="13.8" x14ac:dyDescent="0.25">
      <c r="R267" s="152"/>
      <c r="S267" s="152"/>
      <c r="T267" s="101"/>
      <c r="U267" s="152"/>
      <c r="V267" s="152"/>
      <c r="W267" s="152"/>
      <c r="X267" s="152"/>
      <c r="Y267" s="152"/>
      <c r="Z267" s="152"/>
      <c r="AA267" s="152"/>
      <c r="AB267" s="153"/>
      <c r="AC267" s="172"/>
    </row>
    <row r="268" spans="17:29" ht="15" x14ac:dyDescent="0.25">
      <c r="R268" s="152"/>
      <c r="S268" s="152"/>
      <c r="T268" s="152"/>
      <c r="U268" s="152"/>
      <c r="V268" s="159"/>
      <c r="W268" s="152"/>
      <c r="X268" s="152"/>
      <c r="Y268" s="152"/>
      <c r="Z268" s="152"/>
      <c r="AA268" s="152"/>
      <c r="AB268" s="153"/>
      <c r="AC268" s="153"/>
    </row>
    <row r="269" spans="17:29" ht="13.8" x14ac:dyDescent="0.25">
      <c r="R269" s="72"/>
      <c r="S269" s="72"/>
      <c r="U269" s="96"/>
      <c r="V269" s="104"/>
      <c r="AB269" s="153"/>
      <c r="AC269" s="153"/>
    </row>
    <row r="270" spans="17:29" ht="13.8" x14ac:dyDescent="0.25">
      <c r="R270" s="72"/>
      <c r="S270" s="72"/>
      <c r="U270" s="96"/>
      <c r="AA270" s="72"/>
      <c r="AB270" s="153"/>
      <c r="AC270" s="153"/>
    </row>
    <row r="271" spans="17:29" ht="13.8" x14ac:dyDescent="0.25">
      <c r="R271" s="72"/>
      <c r="S271" s="72"/>
      <c r="U271" s="96"/>
      <c r="AB271" s="153"/>
      <c r="AC271" s="153"/>
    </row>
    <row r="272" spans="17:29" ht="13.8" x14ac:dyDescent="0.25">
      <c r="R272" s="72"/>
      <c r="S272" s="72"/>
      <c r="U272" s="96"/>
      <c r="AB272" s="153"/>
      <c r="AC272" s="153"/>
    </row>
    <row r="273" spans="17:64" ht="13.8" x14ac:dyDescent="0.25">
      <c r="R273" s="72"/>
      <c r="S273" s="72"/>
      <c r="U273" s="96"/>
      <c r="AB273" s="153"/>
      <c r="AC273" s="172"/>
    </row>
    <row r="274" spans="17:64" ht="13.8" x14ac:dyDescent="0.25">
      <c r="R274" s="72"/>
      <c r="S274" s="72"/>
      <c r="AB274" s="153"/>
      <c r="AC274" s="153"/>
    </row>
    <row r="275" spans="17:64" ht="13.8" x14ac:dyDescent="0.25">
      <c r="R275" s="72"/>
      <c r="S275" s="72"/>
      <c r="U275" s="96"/>
      <c r="V275" s="104"/>
      <c r="AB275" s="153"/>
      <c r="AC275" s="153"/>
    </row>
    <row r="276" spans="17:64" ht="13.8" x14ac:dyDescent="0.25">
      <c r="R276" s="72"/>
      <c r="S276" s="72"/>
      <c r="U276" s="96"/>
      <c r="AA276" s="72"/>
      <c r="AB276" s="153"/>
      <c r="AC276" s="153"/>
    </row>
    <row r="277" spans="17:64" ht="13.8" x14ac:dyDescent="0.25">
      <c r="R277" s="72"/>
      <c r="S277" s="72"/>
      <c r="U277" s="96"/>
      <c r="AB277" s="153"/>
      <c r="AC277" s="153"/>
    </row>
    <row r="278" spans="17:64" ht="13.8" x14ac:dyDescent="0.25">
      <c r="R278" s="72"/>
      <c r="S278" s="72"/>
      <c r="U278" s="96"/>
      <c r="AB278" s="153"/>
    </row>
    <row r="279" spans="17:64" ht="13.8" x14ac:dyDescent="0.25">
      <c r="R279" s="72"/>
      <c r="S279" s="72"/>
      <c r="U279" s="96"/>
      <c r="AB279" s="153"/>
    </row>
    <row r="280" spans="17:64" ht="13.8" x14ac:dyDescent="0.25">
      <c r="R280" s="72"/>
      <c r="S280" s="72"/>
      <c r="AB280" s="153"/>
    </row>
    <row r="281" spans="17:64" ht="13.8" x14ac:dyDescent="0.25">
      <c r="R281" s="72"/>
      <c r="S281" s="72"/>
      <c r="U281" s="96"/>
      <c r="V281" s="104"/>
    </row>
    <row r="282" spans="17:64" ht="13.8" x14ac:dyDescent="0.25">
      <c r="R282" s="72"/>
      <c r="S282" s="72"/>
      <c r="U282" s="96"/>
      <c r="AA282" s="72"/>
    </row>
    <row r="283" spans="17:64" ht="13.8" x14ac:dyDescent="0.25">
      <c r="R283" s="72"/>
      <c r="S283" s="72"/>
      <c r="U283" s="96"/>
    </row>
    <row r="284" spans="17:64" ht="17.399999999999999" x14ac:dyDescent="0.3">
      <c r="Q284" s="170"/>
      <c r="R284" s="72"/>
      <c r="S284" s="72"/>
      <c r="U284" s="96"/>
      <c r="AC284" s="105"/>
    </row>
    <row r="285" spans="17:64" ht="13.8" x14ac:dyDescent="0.25">
      <c r="Q285" s="72"/>
      <c r="R285" s="72"/>
      <c r="S285" s="72"/>
      <c r="U285" s="96"/>
      <c r="AC285" s="72"/>
    </row>
    <row r="286" spans="17:64" ht="13.8" x14ac:dyDescent="0.25">
      <c r="Q286" s="72"/>
      <c r="R286" s="72"/>
      <c r="S286" s="72"/>
    </row>
    <row r="287" spans="17:64" ht="13.8" x14ac:dyDescent="0.25">
      <c r="AB287" s="105"/>
    </row>
    <row r="288" spans="17:64" ht="13.8" x14ac:dyDescent="0.25">
      <c r="AB288" s="72"/>
      <c r="AD288" s="72"/>
      <c r="AE288" s="72"/>
      <c r="AF288" s="72"/>
      <c r="AG288" s="72"/>
      <c r="AH288" s="72"/>
      <c r="AI288" s="154"/>
      <c r="AJ288" s="114"/>
      <c r="AK288" s="114"/>
      <c r="AL288" s="155"/>
      <c r="AM288" s="155"/>
      <c r="AN288" s="155"/>
      <c r="AO288" s="155"/>
      <c r="AP288" s="72"/>
      <c r="AQ288" s="72"/>
      <c r="AR288" s="72"/>
      <c r="AU288" s="72"/>
      <c r="AW288" s="72"/>
      <c r="AX288" s="72"/>
      <c r="AY288" s="72"/>
      <c r="AZ288" s="154"/>
      <c r="BA288" s="114"/>
      <c r="BB288" s="114"/>
      <c r="BC288" s="155"/>
      <c r="BD288" s="155"/>
      <c r="BE288" s="155"/>
      <c r="BF288" s="155"/>
      <c r="BG288" s="72"/>
      <c r="BH288" s="72"/>
      <c r="BI288" s="72"/>
      <c r="BL288" s="72"/>
    </row>
    <row r="289" spans="17:64" ht="13.8" x14ac:dyDescent="0.25">
      <c r="AC289" s="150"/>
      <c r="AD289" s="150"/>
      <c r="AF289" s="156"/>
      <c r="AG289" s="156"/>
      <c r="AH289" s="156"/>
      <c r="AI289" s="156"/>
      <c r="AJ289" s="156"/>
      <c r="AK289" s="157"/>
      <c r="AL289" s="150"/>
      <c r="AM289" s="150"/>
      <c r="AN289" s="150"/>
      <c r="AO289" s="150"/>
      <c r="AP289" s="150"/>
      <c r="AQ289" s="150"/>
      <c r="AR289" s="150"/>
      <c r="AS289" s="150"/>
      <c r="AT289" s="150"/>
      <c r="AU289" s="150"/>
      <c r="AW289" s="156"/>
      <c r="AX289" s="156"/>
      <c r="AY289" s="156"/>
      <c r="AZ289" s="156"/>
      <c r="BA289" s="156"/>
      <c r="BB289" s="157"/>
      <c r="BC289" s="150"/>
      <c r="BD289" s="150"/>
      <c r="BE289" s="150"/>
      <c r="BF289" s="150"/>
      <c r="BG289" s="150"/>
      <c r="BH289" s="150"/>
      <c r="BI289" s="150"/>
      <c r="BJ289" s="150"/>
      <c r="BK289" s="150"/>
      <c r="BL289" s="150"/>
    </row>
    <row r="290" spans="17:64" ht="13.8" x14ac:dyDescent="0.25">
      <c r="AC290" s="152"/>
      <c r="AD290" s="152"/>
      <c r="AF290" s="152"/>
      <c r="AG290" s="152"/>
      <c r="AH290" s="152"/>
      <c r="AI290" s="152"/>
      <c r="AJ290" s="152"/>
      <c r="AK290" s="101"/>
      <c r="AL290" s="152"/>
      <c r="AM290" s="152"/>
      <c r="AN290" s="152"/>
      <c r="AO290" s="152"/>
      <c r="AP290" s="152"/>
      <c r="AQ290" s="152"/>
      <c r="AR290" s="152"/>
      <c r="AS290" s="152"/>
      <c r="AT290" s="152"/>
      <c r="AU290" s="152"/>
      <c r="AW290" s="152"/>
      <c r="AX290" s="152"/>
      <c r="AY290" s="152"/>
      <c r="AZ290" s="152"/>
      <c r="BA290" s="152"/>
      <c r="BB290" s="101"/>
      <c r="BC290" s="152"/>
      <c r="BD290" s="152"/>
      <c r="BE290" s="152"/>
      <c r="BF290" s="152"/>
      <c r="BG290" s="152"/>
      <c r="BH290" s="152"/>
      <c r="BI290" s="152"/>
      <c r="BJ290" s="152"/>
      <c r="BK290" s="152"/>
      <c r="BL290" s="152"/>
    </row>
    <row r="291" spans="17:64" ht="15" x14ac:dyDescent="0.25">
      <c r="AC291" s="159"/>
      <c r="AD291" s="159"/>
      <c r="AF291" s="169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  <c r="AS291" s="159"/>
      <c r="AT291" s="159"/>
      <c r="AU291" s="159"/>
      <c r="AW291" s="169"/>
      <c r="AX291" s="152"/>
      <c r="AY291" s="152"/>
      <c r="AZ291" s="152"/>
      <c r="BA291" s="152"/>
      <c r="BB291" s="152"/>
      <c r="BC291" s="152"/>
      <c r="BD291" s="152"/>
      <c r="BE291" s="152"/>
      <c r="BF291" s="152"/>
      <c r="BG291" s="152"/>
      <c r="BH291" s="152"/>
      <c r="BI291" s="152"/>
      <c r="BJ291" s="159"/>
      <c r="BK291" s="159"/>
      <c r="BL291" s="159"/>
    </row>
    <row r="292" spans="17:64" ht="13.8" x14ac:dyDescent="0.25">
      <c r="AB292" s="150"/>
      <c r="AC292" s="168"/>
      <c r="AD292" s="96"/>
      <c r="AF292" s="72"/>
      <c r="AG292" s="72"/>
      <c r="AH292" s="72"/>
      <c r="AI292" s="72"/>
      <c r="AJ292" s="105"/>
      <c r="AK292" s="105"/>
      <c r="AL292" s="97"/>
      <c r="AM292" s="102"/>
      <c r="AN292" s="102"/>
      <c r="AO292" s="102"/>
      <c r="AP292" s="102"/>
      <c r="AQ292" s="102"/>
      <c r="AR292" s="102"/>
      <c r="AS292" s="168"/>
      <c r="AT292" s="168"/>
      <c r="AU292" s="96"/>
      <c r="AW292" s="72"/>
      <c r="AX292" s="72"/>
      <c r="AY292" s="72"/>
      <c r="AZ292" s="72"/>
      <c r="BA292" s="105"/>
      <c r="BB292" s="105"/>
      <c r="BC292" s="97"/>
      <c r="BD292" s="102"/>
      <c r="BE292" s="102"/>
      <c r="BF292" s="102"/>
      <c r="BG292" s="102"/>
      <c r="BH292" s="102"/>
      <c r="BI292" s="102"/>
      <c r="BJ292" s="168"/>
      <c r="BK292" s="168"/>
      <c r="BL292" s="96"/>
    </row>
    <row r="293" spans="17:64" ht="17.399999999999999" x14ac:dyDescent="0.3">
      <c r="Q293" s="72"/>
      <c r="R293" s="170"/>
      <c r="S293" s="72"/>
      <c r="AB293" s="152"/>
      <c r="AC293" s="168"/>
      <c r="AD293" s="96"/>
      <c r="AF293" s="72"/>
      <c r="AG293" s="72"/>
      <c r="AH293" s="72"/>
      <c r="AI293" s="72"/>
      <c r="AJ293" s="72"/>
      <c r="AK293" s="102"/>
      <c r="AL293" s="102"/>
      <c r="AM293" s="102"/>
      <c r="AN293" s="102"/>
      <c r="AO293" s="72"/>
      <c r="AP293" s="168"/>
      <c r="AQ293" s="102"/>
      <c r="AR293" s="102"/>
      <c r="AS293" s="168"/>
      <c r="AT293" s="168"/>
      <c r="AU293" s="96"/>
      <c r="AW293" s="72"/>
      <c r="AX293" s="72"/>
      <c r="AY293" s="72"/>
      <c r="AZ293" s="72"/>
      <c r="BA293" s="72"/>
      <c r="BB293" s="102"/>
      <c r="BC293" s="102"/>
      <c r="BD293" s="102"/>
      <c r="BE293" s="102"/>
      <c r="BF293" s="72"/>
      <c r="BG293" s="168"/>
      <c r="BH293" s="102"/>
      <c r="BI293" s="102"/>
      <c r="BJ293" s="168"/>
      <c r="BK293" s="168"/>
      <c r="BL293" s="96"/>
    </row>
    <row r="294" spans="17:64" ht="15" x14ac:dyDescent="0.25">
      <c r="Q294" s="72"/>
      <c r="R294" s="102"/>
      <c r="S294" s="72"/>
      <c r="AA294" s="105"/>
      <c r="AB294" s="159"/>
      <c r="AC294" s="168"/>
      <c r="AD294" s="96"/>
      <c r="AF294" s="72"/>
      <c r="AG294" s="72"/>
      <c r="AH294" s="72"/>
      <c r="AI294" s="72"/>
      <c r="AJ294" s="72"/>
      <c r="AK294" s="102"/>
      <c r="AL294" s="102"/>
      <c r="AM294" s="102"/>
      <c r="AN294" s="102"/>
      <c r="AO294" s="72"/>
      <c r="AP294" s="168"/>
      <c r="AQ294" s="102"/>
      <c r="AR294" s="102"/>
      <c r="AS294" s="168"/>
      <c r="AT294" s="168"/>
      <c r="AU294" s="96"/>
      <c r="AW294" s="72"/>
      <c r="AX294" s="72"/>
      <c r="AY294" s="72"/>
      <c r="AZ294" s="72"/>
      <c r="BA294" s="72"/>
      <c r="BB294" s="102"/>
      <c r="BC294" s="102"/>
      <c r="BD294" s="102"/>
      <c r="BE294" s="102"/>
      <c r="BF294" s="72"/>
      <c r="BG294" s="168"/>
      <c r="BH294" s="102"/>
      <c r="BI294" s="102"/>
      <c r="BJ294" s="168"/>
      <c r="BK294" s="168"/>
      <c r="BL294" s="96"/>
    </row>
    <row r="295" spans="17:64" ht="13.8" x14ac:dyDescent="0.25">
      <c r="Q295" s="72"/>
      <c r="R295" s="102"/>
      <c r="S295" s="72"/>
      <c r="AB295" s="168"/>
      <c r="AC295" s="168"/>
      <c r="AD295" s="96"/>
      <c r="AF295" s="72"/>
      <c r="AG295" s="72"/>
      <c r="AH295" s="72"/>
      <c r="AI295" s="72"/>
      <c r="AJ295" s="72"/>
      <c r="AK295" s="102"/>
      <c r="AL295" s="102"/>
      <c r="AM295" s="102"/>
      <c r="AN295" s="102"/>
      <c r="AO295" s="72"/>
      <c r="AP295" s="168"/>
      <c r="AQ295" s="102"/>
      <c r="AR295" s="102"/>
      <c r="AS295" s="168"/>
      <c r="AT295" s="168"/>
      <c r="AU295" s="96"/>
      <c r="AW295" s="72"/>
      <c r="AX295" s="72"/>
      <c r="AY295" s="72"/>
      <c r="AZ295" s="72"/>
      <c r="BA295" s="72"/>
      <c r="BB295" s="102"/>
      <c r="BC295" s="102"/>
      <c r="BD295" s="102"/>
      <c r="BE295" s="102"/>
      <c r="BF295" s="72"/>
      <c r="BG295" s="168"/>
      <c r="BH295" s="102"/>
      <c r="BI295" s="102"/>
      <c r="BJ295" s="168"/>
      <c r="BK295" s="168"/>
      <c r="BL295" s="96"/>
    </row>
    <row r="296" spans="17:64" ht="13.8" x14ac:dyDescent="0.25">
      <c r="Q296" s="72"/>
      <c r="AB296" s="168"/>
      <c r="AC296" s="168"/>
      <c r="AD296" s="96"/>
      <c r="AF296" s="72"/>
      <c r="AG296" s="72"/>
      <c r="AH296" s="72"/>
      <c r="AI296" s="72"/>
      <c r="AJ296" s="72"/>
      <c r="AK296" s="102"/>
      <c r="AL296" s="102"/>
      <c r="AM296" s="102"/>
      <c r="AN296" s="102"/>
      <c r="AO296" s="72"/>
      <c r="AP296" s="168"/>
      <c r="AQ296" s="102"/>
      <c r="AR296" s="102"/>
      <c r="AS296" s="168"/>
      <c r="AT296" s="168"/>
      <c r="AU296" s="96"/>
      <c r="AW296" s="72"/>
      <c r="AX296" s="72"/>
      <c r="AY296" s="72"/>
      <c r="AZ296" s="72"/>
      <c r="BA296" s="72"/>
      <c r="BB296" s="102"/>
      <c r="BC296" s="102"/>
      <c r="BD296" s="102"/>
      <c r="BE296" s="102"/>
      <c r="BF296" s="72"/>
      <c r="BG296" s="168"/>
      <c r="BH296" s="102"/>
      <c r="BI296" s="102"/>
      <c r="BJ296" s="168"/>
      <c r="BK296" s="168"/>
      <c r="BL296" s="96"/>
    </row>
    <row r="297" spans="17:64" ht="13.8" x14ac:dyDescent="0.25">
      <c r="Q297" s="72"/>
      <c r="R297" s="154"/>
      <c r="S297" s="114"/>
      <c r="T297" s="114"/>
      <c r="U297" s="155"/>
      <c r="V297" s="155"/>
      <c r="W297" s="155"/>
      <c r="X297" s="155"/>
      <c r="Y297" s="72"/>
      <c r="Z297" s="72"/>
      <c r="AA297" s="72"/>
      <c r="AB297" s="168"/>
      <c r="AC297" s="168"/>
      <c r="AD297" s="96"/>
      <c r="AF297" s="72"/>
      <c r="AG297" s="72"/>
      <c r="AH297" s="72"/>
      <c r="AI297" s="72"/>
      <c r="AJ297" s="72"/>
      <c r="AK297" s="102"/>
      <c r="AL297" s="102"/>
      <c r="AM297" s="102"/>
      <c r="AN297" s="102"/>
      <c r="AO297" s="72"/>
      <c r="AP297" s="168"/>
      <c r="AQ297" s="102"/>
      <c r="AR297" s="102"/>
      <c r="AS297" s="168"/>
      <c r="AT297" s="168"/>
      <c r="AU297" s="96"/>
      <c r="AW297" s="72"/>
      <c r="AX297" s="72"/>
      <c r="AY297" s="72"/>
      <c r="AZ297" s="72"/>
      <c r="BA297" s="72"/>
      <c r="BB297" s="102"/>
      <c r="BC297" s="102"/>
      <c r="BD297" s="102"/>
      <c r="BE297" s="102"/>
      <c r="BF297" s="72"/>
      <c r="BG297" s="168"/>
      <c r="BH297" s="102"/>
      <c r="BI297" s="102"/>
      <c r="BJ297" s="168"/>
      <c r="BK297" s="168"/>
      <c r="BL297" s="96"/>
    </row>
    <row r="298" spans="17:64" ht="13.8" x14ac:dyDescent="0.25">
      <c r="Q298" s="72"/>
      <c r="R298" s="156"/>
      <c r="S298" s="156"/>
      <c r="T298" s="157"/>
      <c r="U298" s="150"/>
      <c r="V298" s="150"/>
      <c r="W298" s="150"/>
      <c r="X298" s="150"/>
      <c r="Y298" s="150"/>
      <c r="Z298" s="150"/>
      <c r="AA298" s="150"/>
      <c r="AB298" s="168"/>
      <c r="AC298" s="168"/>
      <c r="AD298" s="96"/>
      <c r="AF298" s="72"/>
      <c r="AG298" s="72"/>
      <c r="AH298" s="72"/>
      <c r="AI298" s="72"/>
      <c r="AJ298" s="72"/>
      <c r="AK298" s="102"/>
      <c r="AL298" s="102"/>
      <c r="AM298" s="102"/>
      <c r="AN298" s="102"/>
      <c r="AO298" s="72"/>
      <c r="AP298" s="168"/>
      <c r="AQ298" s="102"/>
      <c r="AR298" s="102"/>
      <c r="AS298" s="168"/>
      <c r="AT298" s="168"/>
      <c r="AU298" s="96"/>
      <c r="AW298" s="72"/>
      <c r="AX298" s="72"/>
      <c r="AY298" s="72"/>
      <c r="AZ298" s="72"/>
      <c r="BA298" s="72"/>
      <c r="BB298" s="102"/>
      <c r="BC298" s="102"/>
      <c r="BD298" s="102"/>
      <c r="BE298" s="102"/>
      <c r="BF298" s="72"/>
      <c r="BG298" s="168"/>
      <c r="BH298" s="102"/>
      <c r="BI298" s="102"/>
      <c r="BJ298" s="168"/>
      <c r="BK298" s="168"/>
      <c r="BL298" s="96"/>
    </row>
    <row r="299" spans="17:64" ht="13.8" x14ac:dyDescent="0.25">
      <c r="Q299" s="72"/>
      <c r="R299" s="152"/>
      <c r="S299" s="152"/>
      <c r="T299" s="101"/>
      <c r="U299" s="152"/>
      <c r="V299" s="152"/>
      <c r="W299" s="152"/>
      <c r="X299" s="152"/>
      <c r="Y299" s="152"/>
      <c r="Z299" s="152"/>
      <c r="AA299" s="152"/>
      <c r="AB299" s="168"/>
      <c r="AC299" s="168"/>
      <c r="AD299" s="96"/>
      <c r="AF299" s="72"/>
      <c r="AG299" s="72"/>
      <c r="AH299" s="72"/>
      <c r="AI299" s="72"/>
      <c r="AJ299" s="72"/>
      <c r="AK299" s="102"/>
      <c r="AL299" s="102"/>
      <c r="AM299" s="102"/>
      <c r="AN299" s="102"/>
      <c r="AO299" s="72"/>
      <c r="AP299" s="168"/>
      <c r="AQ299" s="102"/>
      <c r="AR299" s="102"/>
      <c r="AS299" s="168"/>
      <c r="AT299" s="168"/>
      <c r="AU299" s="96"/>
      <c r="AW299" s="72"/>
      <c r="AX299" s="72"/>
      <c r="AY299" s="72"/>
      <c r="AZ299" s="72"/>
      <c r="BA299" s="72"/>
      <c r="BB299" s="102"/>
      <c r="BC299" s="102"/>
      <c r="BD299" s="102"/>
      <c r="BE299" s="102"/>
      <c r="BF299" s="72"/>
      <c r="BG299" s="168"/>
      <c r="BH299" s="102"/>
      <c r="BI299" s="102"/>
      <c r="BJ299" s="168"/>
      <c r="BK299" s="168"/>
      <c r="BL299" s="96"/>
    </row>
    <row r="300" spans="17:64" ht="13.8" x14ac:dyDescent="0.25">
      <c r="Q300" s="7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68"/>
      <c r="AC300" s="168"/>
      <c r="AD300" s="96"/>
      <c r="AF300" s="72"/>
      <c r="AG300" s="72"/>
      <c r="AH300" s="72"/>
      <c r="AI300" s="72"/>
      <c r="AJ300" s="72"/>
      <c r="AK300" s="102"/>
      <c r="AL300" s="102"/>
      <c r="AM300" s="102"/>
      <c r="AN300" s="102"/>
      <c r="AO300" s="72"/>
      <c r="AP300" s="168"/>
      <c r="AQ300" s="102"/>
      <c r="AR300" s="102"/>
      <c r="AS300" s="168"/>
      <c r="AT300" s="168"/>
      <c r="AU300" s="96"/>
      <c r="AW300" s="72"/>
      <c r="AX300" s="72"/>
      <c r="AY300" s="72"/>
      <c r="AZ300" s="72"/>
      <c r="BA300" s="72"/>
      <c r="BB300" s="102"/>
      <c r="BC300" s="102"/>
      <c r="BD300" s="102"/>
      <c r="BE300" s="102"/>
      <c r="BF300" s="72"/>
      <c r="BG300" s="168"/>
      <c r="BH300" s="102"/>
      <c r="BI300" s="102"/>
      <c r="BJ300" s="168"/>
      <c r="BK300" s="168"/>
      <c r="BL300" s="96"/>
    </row>
    <row r="301" spans="17:64" ht="13.8" x14ac:dyDescent="0.25">
      <c r="Q301" s="72"/>
      <c r="R301" s="72"/>
      <c r="S301" s="105"/>
      <c r="T301" s="105"/>
      <c r="U301" s="97"/>
      <c r="V301" s="102"/>
      <c r="W301" s="102"/>
      <c r="X301" s="72"/>
      <c r="Y301" s="72"/>
      <c r="Z301" s="72"/>
      <c r="AA301" s="102"/>
      <c r="AB301" s="168"/>
      <c r="AC301" s="168"/>
      <c r="AD301" s="96"/>
      <c r="AF301" s="72"/>
      <c r="AG301" s="72"/>
      <c r="AH301" s="72"/>
      <c r="AI301" s="72"/>
      <c r="AJ301" s="72"/>
      <c r="AK301" s="102"/>
      <c r="AL301" s="102"/>
      <c r="AM301" s="102"/>
      <c r="AN301" s="102"/>
      <c r="AO301" s="72"/>
      <c r="AP301" s="168"/>
      <c r="AQ301" s="102"/>
      <c r="AR301" s="102"/>
      <c r="AS301" s="168"/>
      <c r="AT301" s="168"/>
      <c r="AU301" s="96"/>
      <c r="AW301" s="72"/>
      <c r="AX301" s="72"/>
      <c r="AY301" s="72"/>
      <c r="AZ301" s="72"/>
      <c r="BA301" s="72"/>
      <c r="BB301" s="102"/>
      <c r="BC301" s="102"/>
      <c r="BD301" s="102"/>
      <c r="BE301" s="102"/>
      <c r="BF301" s="72"/>
      <c r="BG301" s="168"/>
      <c r="BH301" s="102"/>
      <c r="BI301" s="102"/>
      <c r="BJ301" s="168"/>
      <c r="BK301" s="168"/>
      <c r="BL301" s="96"/>
    </row>
    <row r="302" spans="17:64" ht="13.8" x14ac:dyDescent="0.25">
      <c r="Q302" s="72"/>
      <c r="R302" s="72"/>
      <c r="S302" s="72"/>
      <c r="T302" s="102"/>
      <c r="U302" s="102"/>
      <c r="V302" s="102"/>
      <c r="W302" s="102"/>
      <c r="X302" s="72"/>
      <c r="Y302" s="168"/>
      <c r="Z302" s="102"/>
      <c r="AA302" s="102"/>
      <c r="AB302" s="168"/>
      <c r="AC302" s="168"/>
      <c r="AD302" s="96"/>
      <c r="AF302" s="72"/>
      <c r="AG302" s="72"/>
      <c r="AH302" s="72"/>
      <c r="AI302" s="72"/>
      <c r="AJ302" s="72"/>
      <c r="AK302" s="102"/>
      <c r="AL302" s="102"/>
      <c r="AM302" s="102"/>
      <c r="AN302" s="102"/>
      <c r="AO302" s="72"/>
      <c r="AP302" s="168"/>
      <c r="AQ302" s="102"/>
      <c r="AR302" s="102"/>
      <c r="AS302" s="168"/>
      <c r="AT302" s="168"/>
      <c r="AU302" s="96"/>
      <c r="AW302" s="72"/>
      <c r="AX302" s="72"/>
      <c r="AY302" s="72"/>
      <c r="AZ302" s="72"/>
      <c r="BA302" s="72"/>
      <c r="BB302" s="102"/>
      <c r="BC302" s="102"/>
      <c r="BD302" s="102"/>
      <c r="BE302" s="102"/>
      <c r="BF302" s="72"/>
      <c r="BG302" s="168"/>
      <c r="BH302" s="102"/>
      <c r="BI302" s="102"/>
      <c r="BJ302" s="168"/>
      <c r="BK302" s="168"/>
      <c r="BL302" s="96"/>
    </row>
    <row r="303" spans="17:64" ht="13.8" x14ac:dyDescent="0.25">
      <c r="Q303" s="72"/>
      <c r="R303" s="72"/>
      <c r="S303" s="72"/>
      <c r="T303" s="102"/>
      <c r="U303" s="102"/>
      <c r="V303" s="102"/>
      <c r="W303" s="102"/>
      <c r="X303" s="72"/>
      <c r="Y303" s="168"/>
      <c r="Z303" s="102"/>
      <c r="AA303" s="102"/>
      <c r="AB303" s="168"/>
      <c r="AC303" s="168"/>
      <c r="AD303" s="96"/>
      <c r="AF303" s="72"/>
      <c r="AG303" s="72"/>
      <c r="AH303" s="72"/>
      <c r="AI303" s="72"/>
      <c r="AJ303" s="72"/>
      <c r="AK303" s="102"/>
      <c r="AL303" s="102"/>
      <c r="AM303" s="102"/>
      <c r="AN303" s="102"/>
      <c r="AO303" s="72"/>
      <c r="AP303" s="168"/>
      <c r="AQ303" s="102"/>
      <c r="AR303" s="102"/>
      <c r="AS303" s="168"/>
      <c r="AT303" s="168"/>
      <c r="AU303" s="96"/>
      <c r="AW303" s="72"/>
      <c r="AX303" s="72"/>
      <c r="AY303" s="72"/>
      <c r="AZ303" s="72"/>
      <c r="BA303" s="72"/>
      <c r="BB303" s="102"/>
      <c r="BC303" s="102"/>
      <c r="BD303" s="102"/>
      <c r="BE303" s="102"/>
      <c r="BF303" s="72"/>
      <c r="BG303" s="168"/>
      <c r="BH303" s="102"/>
      <c r="BI303" s="102"/>
      <c r="BJ303" s="168"/>
      <c r="BK303" s="168"/>
      <c r="BL303" s="96"/>
    </row>
    <row r="304" spans="17:64" ht="13.8" x14ac:dyDescent="0.25">
      <c r="Q304" s="72"/>
      <c r="R304" s="72"/>
      <c r="S304" s="72"/>
      <c r="T304" s="102"/>
      <c r="U304" s="102"/>
      <c r="V304" s="102"/>
      <c r="W304" s="102"/>
      <c r="X304" s="72"/>
      <c r="Y304" s="168"/>
      <c r="Z304" s="102"/>
      <c r="AA304" s="102"/>
      <c r="AB304" s="168"/>
      <c r="AC304" s="168"/>
      <c r="AD304" s="96"/>
      <c r="AF304" s="72"/>
      <c r="AG304" s="72"/>
      <c r="AH304" s="72"/>
      <c r="AI304" s="72"/>
      <c r="AJ304" s="72"/>
      <c r="AK304" s="102"/>
      <c r="AL304" s="102"/>
      <c r="AM304" s="102"/>
      <c r="AN304" s="102"/>
      <c r="AO304" s="72"/>
      <c r="AP304" s="168"/>
      <c r="AQ304" s="102"/>
      <c r="AR304" s="102"/>
      <c r="AS304" s="168"/>
      <c r="AT304" s="168"/>
      <c r="AU304" s="96"/>
      <c r="AW304" s="72"/>
      <c r="AX304" s="72"/>
      <c r="AY304" s="72"/>
      <c r="AZ304" s="72"/>
      <c r="BA304" s="72"/>
      <c r="BB304" s="102"/>
      <c r="BC304" s="102"/>
      <c r="BD304" s="102"/>
      <c r="BE304" s="102"/>
      <c r="BF304" s="72"/>
      <c r="BG304" s="168"/>
      <c r="BH304" s="102"/>
      <c r="BI304" s="102"/>
      <c r="BJ304" s="168"/>
      <c r="BK304" s="168"/>
      <c r="BL304" s="96"/>
    </row>
    <row r="305" spans="17:64" ht="13.8" x14ac:dyDescent="0.25">
      <c r="Q305" s="72"/>
      <c r="R305" s="72"/>
      <c r="S305" s="72"/>
      <c r="T305" s="102"/>
      <c r="U305" s="102"/>
      <c r="V305" s="102"/>
      <c r="W305" s="102"/>
      <c r="X305" s="72"/>
      <c r="Y305" s="168"/>
      <c r="Z305" s="102"/>
      <c r="AA305" s="102"/>
      <c r="AB305" s="168"/>
      <c r="AC305" s="168"/>
      <c r="AD305" s="96"/>
      <c r="AF305" s="72"/>
      <c r="AG305" s="72"/>
      <c r="AH305" s="72"/>
      <c r="AI305" s="72"/>
      <c r="AJ305" s="72"/>
      <c r="AK305" s="102"/>
      <c r="AL305" s="102"/>
      <c r="AM305" s="102"/>
      <c r="AN305" s="102"/>
      <c r="AO305" s="72"/>
      <c r="AP305" s="168"/>
      <c r="AQ305" s="102"/>
      <c r="AR305" s="102"/>
      <c r="AS305" s="168"/>
      <c r="AT305" s="168"/>
      <c r="AU305" s="96"/>
      <c r="AW305" s="72"/>
      <c r="AX305" s="72"/>
      <c r="AY305" s="72"/>
      <c r="AZ305" s="72"/>
      <c r="BA305" s="72"/>
      <c r="BB305" s="102"/>
      <c r="BC305" s="102"/>
      <c r="BD305" s="102"/>
      <c r="BE305" s="102"/>
      <c r="BF305" s="72"/>
      <c r="BG305" s="168"/>
      <c r="BH305" s="102"/>
      <c r="BI305" s="102"/>
      <c r="BJ305" s="168"/>
      <c r="BK305" s="168"/>
      <c r="BL305" s="96"/>
    </row>
    <row r="306" spans="17:64" ht="13.8" x14ac:dyDescent="0.25">
      <c r="Q306" s="72"/>
      <c r="R306" s="72"/>
      <c r="S306" s="72"/>
      <c r="T306" s="102"/>
      <c r="U306" s="102"/>
      <c r="V306" s="102"/>
      <c r="W306" s="102"/>
      <c r="X306" s="72"/>
      <c r="Y306" s="168"/>
      <c r="Z306" s="102"/>
      <c r="AA306" s="102"/>
      <c r="AB306" s="168"/>
      <c r="AC306" s="168"/>
      <c r="AD306" s="96"/>
      <c r="AF306" s="72"/>
      <c r="AG306" s="72"/>
      <c r="AH306" s="72"/>
      <c r="AI306" s="72"/>
      <c r="AJ306" s="72"/>
      <c r="AK306" s="102"/>
      <c r="AL306" s="102"/>
      <c r="AM306" s="102"/>
      <c r="AN306" s="102"/>
      <c r="AO306" s="72"/>
      <c r="AP306" s="168"/>
      <c r="AQ306" s="102"/>
      <c r="AR306" s="102"/>
      <c r="AS306" s="168"/>
      <c r="AT306" s="168"/>
      <c r="AU306" s="96"/>
      <c r="AW306" s="72"/>
      <c r="AX306" s="72"/>
      <c r="AY306" s="72"/>
      <c r="AZ306" s="72"/>
      <c r="BA306" s="72"/>
      <c r="BB306" s="102"/>
      <c r="BC306" s="102"/>
      <c r="BD306" s="102"/>
      <c r="BE306" s="102"/>
      <c r="BF306" s="72"/>
      <c r="BG306" s="168"/>
      <c r="BH306" s="102"/>
      <c r="BI306" s="102"/>
      <c r="BJ306" s="168"/>
      <c r="BK306" s="168"/>
      <c r="BL306" s="96"/>
    </row>
    <row r="307" spans="17:64" ht="13.8" x14ac:dyDescent="0.25">
      <c r="Q307" s="72"/>
      <c r="R307" s="72"/>
      <c r="S307" s="72"/>
      <c r="T307" s="102"/>
      <c r="U307" s="102"/>
      <c r="V307" s="102"/>
      <c r="W307" s="102"/>
      <c r="X307" s="72"/>
      <c r="Y307" s="168"/>
      <c r="Z307" s="102"/>
      <c r="AA307" s="102"/>
      <c r="AB307" s="168"/>
      <c r="AC307" s="168"/>
      <c r="AD307" s="96"/>
      <c r="AF307" s="72"/>
      <c r="AG307" s="72"/>
      <c r="AH307" s="72"/>
      <c r="AI307" s="72"/>
      <c r="AJ307" s="72"/>
      <c r="AK307" s="102"/>
      <c r="AL307" s="102"/>
      <c r="AM307" s="102"/>
      <c r="AN307" s="102"/>
      <c r="AO307" s="72"/>
      <c r="AP307" s="168"/>
      <c r="AQ307" s="102"/>
      <c r="AR307" s="102"/>
      <c r="AS307" s="168"/>
      <c r="AT307" s="168"/>
      <c r="AU307" s="96"/>
      <c r="AW307" s="72"/>
      <c r="AX307" s="72"/>
      <c r="AY307" s="72"/>
      <c r="AZ307" s="72"/>
      <c r="BA307" s="72"/>
      <c r="BB307" s="102"/>
      <c r="BC307" s="102"/>
      <c r="BD307" s="102"/>
      <c r="BE307" s="102"/>
      <c r="BF307" s="72"/>
      <c r="BG307" s="168"/>
      <c r="BH307" s="102"/>
      <c r="BI307" s="102"/>
      <c r="BJ307" s="168"/>
      <c r="BK307" s="168"/>
      <c r="BL307" s="96"/>
    </row>
    <row r="308" spans="17:64" ht="13.8" x14ac:dyDescent="0.25">
      <c r="Q308" s="72"/>
      <c r="R308" s="72"/>
      <c r="S308" s="72"/>
      <c r="T308" s="102"/>
      <c r="U308" s="102"/>
      <c r="V308" s="102"/>
      <c r="W308" s="102"/>
      <c r="X308" s="72"/>
      <c r="Y308" s="168"/>
      <c r="Z308" s="102"/>
      <c r="AA308" s="102"/>
      <c r="AB308" s="168"/>
      <c r="AC308" s="168"/>
      <c r="AD308" s="96"/>
      <c r="AF308" s="72"/>
      <c r="AG308" s="72"/>
      <c r="AH308" s="72"/>
      <c r="AI308" s="72"/>
      <c r="AJ308" s="72"/>
      <c r="AK308" s="102"/>
      <c r="AL308" s="102"/>
      <c r="AM308" s="102"/>
      <c r="AN308" s="102"/>
      <c r="AO308" s="72"/>
      <c r="AP308" s="168"/>
      <c r="AQ308" s="102"/>
      <c r="AR308" s="102"/>
      <c r="AS308" s="168"/>
      <c r="AT308" s="168"/>
      <c r="AU308" s="96"/>
      <c r="AW308" s="72"/>
      <c r="AX308" s="72"/>
      <c r="AY308" s="72"/>
      <c r="AZ308" s="72"/>
      <c r="BA308" s="72"/>
      <c r="BB308" s="102"/>
      <c r="BC308" s="102"/>
      <c r="BD308" s="102"/>
      <c r="BE308" s="102"/>
      <c r="BF308" s="72"/>
      <c r="BG308" s="168"/>
      <c r="BH308" s="102"/>
      <c r="BI308" s="102"/>
      <c r="BJ308" s="168"/>
      <c r="BK308" s="168"/>
      <c r="BL308" s="96"/>
    </row>
    <row r="309" spans="17:64" ht="13.8" x14ac:dyDescent="0.25">
      <c r="Q309" s="72"/>
      <c r="R309" s="72"/>
      <c r="S309" s="72"/>
      <c r="T309" s="102"/>
      <c r="U309" s="102"/>
      <c r="V309" s="102"/>
      <c r="W309" s="102"/>
      <c r="X309" s="72"/>
      <c r="Y309" s="168"/>
      <c r="Z309" s="102"/>
      <c r="AA309" s="102"/>
      <c r="AB309" s="168"/>
      <c r="AC309" s="168"/>
      <c r="AD309" s="96"/>
      <c r="AF309" s="72"/>
      <c r="AG309" s="72"/>
      <c r="AH309" s="72"/>
      <c r="AI309" s="72"/>
      <c r="AJ309" s="72"/>
      <c r="AK309" s="102"/>
      <c r="AL309" s="102"/>
      <c r="AM309" s="102"/>
      <c r="AN309" s="102"/>
      <c r="AO309" s="72"/>
      <c r="AP309" s="168"/>
      <c r="AQ309" s="102"/>
      <c r="AR309" s="102"/>
      <c r="AS309" s="168"/>
      <c r="AT309" s="168"/>
      <c r="AU309" s="96"/>
      <c r="AW309" s="72"/>
      <c r="AX309" s="72"/>
      <c r="AY309" s="72"/>
      <c r="AZ309" s="72"/>
      <c r="BA309" s="72"/>
      <c r="BB309" s="102"/>
      <c r="BC309" s="102"/>
      <c r="BD309" s="102"/>
      <c r="BE309" s="102"/>
      <c r="BF309" s="72"/>
      <c r="BG309" s="168"/>
      <c r="BH309" s="102"/>
      <c r="BI309" s="102"/>
      <c r="BJ309" s="168"/>
      <c r="BK309" s="168"/>
      <c r="BL309" s="96"/>
    </row>
    <row r="310" spans="17:64" ht="13.8" x14ac:dyDescent="0.25">
      <c r="R310" s="72"/>
      <c r="S310" s="72"/>
      <c r="T310" s="102"/>
      <c r="U310" s="102"/>
      <c r="V310" s="102"/>
      <c r="W310" s="102"/>
      <c r="X310" s="72"/>
      <c r="Y310" s="168"/>
      <c r="Z310" s="102"/>
      <c r="AA310" s="102"/>
      <c r="AB310" s="168"/>
      <c r="AC310" s="168"/>
      <c r="AD310" s="96"/>
      <c r="AF310" s="72"/>
      <c r="AG310" s="72"/>
      <c r="AH310" s="72"/>
      <c r="AI310" s="72"/>
      <c r="AJ310" s="72"/>
      <c r="AK310" s="102"/>
      <c r="AL310" s="102"/>
      <c r="AM310" s="102"/>
      <c r="AN310" s="102"/>
      <c r="AO310" s="72"/>
      <c r="AP310" s="168"/>
      <c r="AQ310" s="102"/>
      <c r="AR310" s="102"/>
      <c r="AS310" s="168"/>
      <c r="AT310" s="168"/>
      <c r="AU310" s="96"/>
      <c r="AW310" s="72"/>
      <c r="AX310" s="72"/>
      <c r="AY310" s="72"/>
      <c r="AZ310" s="72"/>
      <c r="BA310" s="72"/>
      <c r="BB310" s="102"/>
      <c r="BC310" s="102"/>
      <c r="BD310" s="102"/>
      <c r="BE310" s="102"/>
      <c r="BF310" s="72"/>
      <c r="BG310" s="168"/>
      <c r="BH310" s="102"/>
      <c r="BI310" s="102"/>
      <c r="BJ310" s="168"/>
      <c r="BK310" s="168"/>
      <c r="BL310" s="96"/>
    </row>
    <row r="311" spans="17:64" ht="13.8" x14ac:dyDescent="0.25">
      <c r="R311" s="72"/>
      <c r="S311" s="72"/>
      <c r="T311" s="102"/>
      <c r="U311" s="102"/>
      <c r="V311" s="102"/>
      <c r="W311" s="102"/>
      <c r="X311" s="72"/>
      <c r="Y311" s="168"/>
      <c r="Z311" s="102"/>
      <c r="AA311" s="102"/>
      <c r="AB311" s="168"/>
      <c r="AC311" s="168"/>
      <c r="AD311" s="96"/>
      <c r="AF311" s="72"/>
      <c r="AG311" s="72"/>
      <c r="AH311" s="72"/>
      <c r="AI311" s="72"/>
      <c r="AJ311" s="105"/>
      <c r="AK311" s="105"/>
      <c r="AL311" s="97"/>
      <c r="AM311" s="102"/>
      <c r="AN311" s="102"/>
      <c r="AO311" s="102"/>
      <c r="AP311" s="102"/>
      <c r="AQ311" s="102"/>
      <c r="AR311" s="102"/>
      <c r="AS311" s="168"/>
      <c r="AT311" s="168"/>
      <c r="AU311" s="96"/>
      <c r="AW311" s="72"/>
      <c r="AX311" s="72"/>
      <c r="AY311" s="72"/>
      <c r="AZ311" s="72"/>
      <c r="BA311" s="105"/>
      <c r="BB311" s="105"/>
      <c r="BC311" s="97"/>
      <c r="BD311" s="102"/>
      <c r="BE311" s="102"/>
      <c r="BF311" s="102"/>
      <c r="BG311" s="102"/>
      <c r="BH311" s="102"/>
      <c r="BI311" s="102"/>
      <c r="BJ311" s="168"/>
      <c r="BK311" s="168"/>
      <c r="BL311" s="96"/>
    </row>
    <row r="312" spans="17:64" ht="13.8" x14ac:dyDescent="0.25">
      <c r="Q312" s="72"/>
      <c r="R312" s="72"/>
      <c r="S312" s="72"/>
      <c r="T312" s="102"/>
      <c r="U312" s="102"/>
      <c r="V312" s="102"/>
      <c r="W312" s="102"/>
      <c r="X312" s="72"/>
      <c r="Y312" s="168"/>
      <c r="Z312" s="102"/>
      <c r="AA312" s="102"/>
      <c r="AB312" s="168"/>
      <c r="AC312" s="168"/>
      <c r="AD312" s="96"/>
      <c r="AF312" s="72"/>
      <c r="AG312" s="72"/>
      <c r="AH312" s="72"/>
      <c r="AI312" s="72"/>
      <c r="AJ312" s="72"/>
      <c r="AK312" s="102"/>
      <c r="AL312" s="102"/>
      <c r="AM312" s="102"/>
      <c r="AN312" s="102"/>
      <c r="AO312" s="72"/>
      <c r="AP312" s="168"/>
      <c r="AQ312" s="102"/>
      <c r="AR312" s="102"/>
      <c r="AS312" s="168"/>
      <c r="AT312" s="168"/>
      <c r="AU312" s="96"/>
      <c r="AW312" s="72"/>
      <c r="AX312" s="72"/>
      <c r="AY312" s="72"/>
      <c r="AZ312" s="72"/>
      <c r="BA312" s="72"/>
      <c r="BB312" s="102"/>
      <c r="BC312" s="102"/>
      <c r="BD312" s="102"/>
      <c r="BE312" s="102"/>
      <c r="BF312" s="72"/>
      <c r="BG312" s="168"/>
      <c r="BH312" s="102"/>
      <c r="BI312" s="102"/>
      <c r="BJ312" s="168"/>
      <c r="BK312" s="168"/>
      <c r="BL312" s="96"/>
    </row>
    <row r="313" spans="17:64" ht="13.8" x14ac:dyDescent="0.25">
      <c r="R313" s="72"/>
      <c r="S313" s="72"/>
      <c r="T313" s="102"/>
      <c r="U313" s="102"/>
      <c r="V313" s="102"/>
      <c r="W313" s="102"/>
      <c r="X313" s="72"/>
      <c r="Y313" s="168"/>
      <c r="Z313" s="102"/>
      <c r="AA313" s="102"/>
      <c r="AB313" s="168"/>
      <c r="AC313" s="168"/>
      <c r="AD313" s="96"/>
      <c r="AF313" s="72"/>
      <c r="AG313" s="72"/>
      <c r="AH313" s="72"/>
      <c r="AI313" s="72"/>
      <c r="AJ313" s="72"/>
      <c r="AK313" s="102"/>
      <c r="AL313" s="102"/>
      <c r="AM313" s="102"/>
      <c r="AN313" s="102"/>
      <c r="AO313" s="72"/>
      <c r="AP313" s="168"/>
      <c r="AQ313" s="102"/>
      <c r="AR313" s="102"/>
      <c r="AS313" s="168"/>
      <c r="AT313" s="168"/>
      <c r="AU313" s="96"/>
      <c r="AW313" s="72"/>
      <c r="AX313" s="72"/>
      <c r="AY313" s="72"/>
      <c r="AZ313" s="72"/>
      <c r="BA313" s="72"/>
      <c r="BB313" s="102"/>
      <c r="BC313" s="102"/>
      <c r="BD313" s="102"/>
      <c r="BE313" s="102"/>
      <c r="BF313" s="72"/>
      <c r="BG313" s="168"/>
      <c r="BH313" s="102"/>
      <c r="BI313" s="102"/>
      <c r="BJ313" s="168"/>
      <c r="BK313" s="168"/>
      <c r="BL313" s="96"/>
    </row>
    <row r="314" spans="17:64" ht="13.8" x14ac:dyDescent="0.25">
      <c r="R314" s="72"/>
      <c r="S314" s="72"/>
      <c r="T314" s="102"/>
      <c r="U314" s="102"/>
      <c r="V314" s="102"/>
      <c r="W314" s="102"/>
      <c r="X314" s="72"/>
      <c r="Y314" s="168"/>
      <c r="Z314" s="102"/>
      <c r="AA314" s="102"/>
      <c r="AB314" s="168"/>
      <c r="AC314" s="168"/>
      <c r="AD314" s="96"/>
      <c r="AF314" s="72"/>
      <c r="AG314" s="72"/>
      <c r="AH314" s="72"/>
      <c r="AI314" s="72"/>
      <c r="AJ314" s="72"/>
      <c r="AK314" s="102"/>
      <c r="AL314" s="102"/>
      <c r="AM314" s="102"/>
      <c r="AN314" s="102"/>
      <c r="AO314" s="72"/>
      <c r="AP314" s="168"/>
      <c r="AQ314" s="102"/>
      <c r="AR314" s="102"/>
      <c r="AS314" s="168"/>
      <c r="AT314" s="168"/>
      <c r="AU314" s="96"/>
      <c r="AW314" s="72"/>
      <c r="AX314" s="72"/>
      <c r="AY314" s="72"/>
      <c r="AZ314" s="72"/>
      <c r="BA314" s="72"/>
      <c r="BB314" s="102"/>
      <c r="BC314" s="102"/>
      <c r="BD314" s="102"/>
      <c r="BE314" s="102"/>
      <c r="BF314" s="72"/>
      <c r="BG314" s="168"/>
      <c r="BH314" s="102"/>
      <c r="BI314" s="102"/>
      <c r="BJ314" s="168"/>
      <c r="BK314" s="168"/>
      <c r="BL314" s="96"/>
    </row>
    <row r="315" spans="17:64" ht="13.8" x14ac:dyDescent="0.25">
      <c r="R315" s="72"/>
      <c r="S315" s="72"/>
      <c r="T315" s="102"/>
      <c r="U315" s="102"/>
      <c r="V315" s="102"/>
      <c r="W315" s="102"/>
      <c r="X315" s="72"/>
      <c r="Y315" s="168"/>
      <c r="Z315" s="102"/>
      <c r="AA315" s="102"/>
      <c r="AB315" s="168"/>
      <c r="AC315" s="168"/>
      <c r="AD315" s="96"/>
      <c r="AF315" s="72"/>
      <c r="AG315" s="72"/>
      <c r="AH315" s="72"/>
      <c r="AI315" s="72"/>
      <c r="AJ315" s="72"/>
      <c r="AK315" s="102"/>
      <c r="AL315" s="102"/>
      <c r="AM315" s="102"/>
      <c r="AN315" s="102"/>
      <c r="AO315" s="72"/>
      <c r="AP315" s="168"/>
      <c r="AQ315" s="102"/>
      <c r="AR315" s="102"/>
      <c r="AS315" s="168"/>
      <c r="AT315" s="168"/>
      <c r="AU315" s="96"/>
      <c r="AW315" s="72"/>
      <c r="AX315" s="72"/>
      <c r="AY315" s="72"/>
      <c r="AZ315" s="72"/>
      <c r="BA315" s="72"/>
      <c r="BB315" s="102"/>
      <c r="BC315" s="102"/>
      <c r="BD315" s="102"/>
      <c r="BE315" s="102"/>
      <c r="BF315" s="72"/>
      <c r="BG315" s="168"/>
      <c r="BH315" s="102"/>
      <c r="BI315" s="102"/>
      <c r="BJ315" s="168"/>
      <c r="BK315" s="168"/>
      <c r="BL315" s="96"/>
    </row>
    <row r="316" spans="17:64" ht="13.8" x14ac:dyDescent="0.25">
      <c r="R316" s="72"/>
      <c r="S316" s="72"/>
      <c r="T316" s="102"/>
      <c r="U316" s="102"/>
      <c r="V316" s="102"/>
      <c r="W316" s="102"/>
      <c r="X316" s="72"/>
      <c r="Y316" s="168"/>
      <c r="Z316" s="102"/>
      <c r="AA316" s="102"/>
      <c r="AB316" s="168"/>
      <c r="AC316" s="168"/>
      <c r="AD316" s="96"/>
      <c r="AF316" s="72"/>
      <c r="AG316" s="72"/>
      <c r="AH316" s="72"/>
      <c r="AI316" s="72"/>
      <c r="AJ316" s="72"/>
      <c r="AK316" s="102"/>
      <c r="AL316" s="102"/>
      <c r="AM316" s="102"/>
      <c r="AN316" s="102"/>
      <c r="AO316" s="72"/>
      <c r="AP316" s="168"/>
      <c r="AQ316" s="102"/>
      <c r="AR316" s="102"/>
      <c r="AS316" s="168"/>
      <c r="AT316" s="168"/>
      <c r="AU316" s="96"/>
      <c r="AW316" s="72"/>
      <c r="AX316" s="72"/>
      <c r="AY316" s="72"/>
      <c r="AZ316" s="72"/>
      <c r="BA316" s="72"/>
      <c r="BB316" s="102"/>
      <c r="BC316" s="102"/>
      <c r="BD316" s="102"/>
      <c r="BE316" s="102"/>
      <c r="BF316" s="72"/>
      <c r="BG316" s="168"/>
      <c r="BH316" s="102"/>
      <c r="BI316" s="102"/>
      <c r="BJ316" s="168"/>
      <c r="BK316" s="168"/>
      <c r="BL316" s="96"/>
    </row>
    <row r="317" spans="17:64" ht="13.8" x14ac:dyDescent="0.25">
      <c r="R317" s="72"/>
      <c r="S317" s="72"/>
      <c r="T317" s="102"/>
      <c r="U317" s="102"/>
      <c r="V317" s="102"/>
      <c r="W317" s="102"/>
      <c r="X317" s="72"/>
      <c r="Y317" s="168"/>
      <c r="Z317" s="102"/>
      <c r="AA317" s="102"/>
      <c r="AB317" s="168"/>
      <c r="AC317" s="168"/>
      <c r="AD317" s="96"/>
      <c r="AF317" s="72"/>
      <c r="AG317" s="72"/>
      <c r="AH317" s="72"/>
      <c r="AI317" s="72"/>
      <c r="AJ317" s="72"/>
      <c r="AK317" s="102"/>
      <c r="AL317" s="102"/>
      <c r="AM317" s="102"/>
      <c r="AN317" s="102"/>
      <c r="AO317" s="72"/>
      <c r="AP317" s="168"/>
      <c r="AQ317" s="102"/>
      <c r="AR317" s="102"/>
      <c r="AS317" s="168"/>
      <c r="AT317" s="168"/>
      <c r="AU317" s="96"/>
      <c r="AW317" s="72"/>
      <c r="AX317" s="72"/>
      <c r="AY317" s="72"/>
      <c r="AZ317" s="72"/>
      <c r="BA317" s="72"/>
      <c r="BB317" s="102"/>
      <c r="BC317" s="102"/>
      <c r="BD317" s="102"/>
      <c r="BE317" s="102"/>
      <c r="BF317" s="72"/>
      <c r="BG317" s="168"/>
      <c r="BH317" s="102"/>
      <c r="BI317" s="102"/>
      <c r="BJ317" s="168"/>
      <c r="BK317" s="168"/>
      <c r="BL317" s="96"/>
    </row>
    <row r="318" spans="17:64" ht="13.8" x14ac:dyDescent="0.25">
      <c r="R318" s="72"/>
      <c r="S318" s="72"/>
      <c r="T318" s="102"/>
      <c r="U318" s="102"/>
      <c r="V318" s="102"/>
      <c r="W318" s="102"/>
      <c r="X318" s="72"/>
      <c r="Y318" s="168"/>
      <c r="Z318" s="102"/>
      <c r="AA318" s="102"/>
      <c r="AB318" s="168"/>
      <c r="AC318" s="168"/>
      <c r="AD318" s="96"/>
      <c r="AF318" s="72"/>
      <c r="AG318" s="72"/>
      <c r="AH318" s="72"/>
      <c r="AI318" s="72"/>
      <c r="AJ318" s="72"/>
      <c r="AK318" s="102"/>
      <c r="AL318" s="102"/>
      <c r="AM318" s="102"/>
      <c r="AN318" s="102"/>
      <c r="AO318" s="72"/>
      <c r="AP318" s="168"/>
      <c r="AQ318" s="102"/>
      <c r="AR318" s="102"/>
      <c r="AS318" s="168"/>
      <c r="AT318" s="168"/>
      <c r="AU318" s="96"/>
      <c r="AW318" s="72"/>
      <c r="AX318" s="72"/>
      <c r="AY318" s="72"/>
      <c r="AZ318" s="72"/>
      <c r="BA318" s="72"/>
      <c r="BB318" s="102"/>
      <c r="BC318" s="102"/>
      <c r="BD318" s="102"/>
      <c r="BE318" s="102"/>
      <c r="BF318" s="72"/>
      <c r="BG318" s="168"/>
      <c r="BH318" s="102"/>
      <c r="BI318" s="102"/>
      <c r="BJ318" s="168"/>
      <c r="BK318" s="168"/>
      <c r="BL318" s="96"/>
    </row>
    <row r="319" spans="17:64" ht="13.8" x14ac:dyDescent="0.25">
      <c r="R319" s="72"/>
      <c r="S319" s="72"/>
      <c r="T319" s="102"/>
      <c r="U319" s="102"/>
      <c r="V319" s="102"/>
      <c r="W319" s="102"/>
      <c r="X319" s="72"/>
      <c r="Y319" s="168"/>
      <c r="Z319" s="102"/>
      <c r="AA319" s="102"/>
      <c r="AB319" s="168"/>
      <c r="AC319" s="168"/>
      <c r="AD319" s="96"/>
      <c r="AF319" s="72"/>
      <c r="AG319" s="72"/>
      <c r="AH319" s="72"/>
      <c r="AI319" s="72"/>
      <c r="AJ319" s="72"/>
      <c r="AK319" s="102"/>
      <c r="AL319" s="102"/>
      <c r="AM319" s="102"/>
      <c r="AN319" s="102"/>
      <c r="AO319" s="72"/>
      <c r="AP319" s="168"/>
      <c r="AQ319" s="102"/>
      <c r="AR319" s="102"/>
      <c r="AS319" s="168"/>
      <c r="AT319" s="168"/>
      <c r="AU319" s="96"/>
      <c r="AW319" s="72"/>
      <c r="AX319" s="72"/>
      <c r="AY319" s="72"/>
      <c r="AZ319" s="72"/>
      <c r="BA319" s="72"/>
      <c r="BB319" s="102"/>
      <c r="BC319" s="102"/>
      <c r="BD319" s="102"/>
      <c r="BE319" s="102"/>
      <c r="BF319" s="72"/>
      <c r="BG319" s="168"/>
      <c r="BH319" s="102"/>
      <c r="BI319" s="102"/>
      <c r="BJ319" s="168"/>
      <c r="BK319" s="168"/>
      <c r="BL319" s="96"/>
    </row>
    <row r="320" spans="17:64" ht="13.8" x14ac:dyDescent="0.25">
      <c r="R320" s="72"/>
      <c r="S320" s="105"/>
      <c r="T320" s="105"/>
      <c r="U320" s="97"/>
      <c r="V320" s="102"/>
      <c r="W320" s="102"/>
      <c r="X320" s="72"/>
      <c r="Y320" s="72"/>
      <c r="Z320" s="72"/>
      <c r="AA320" s="102"/>
      <c r="AB320" s="168"/>
      <c r="AC320" s="168"/>
      <c r="AD320" s="96"/>
      <c r="AF320" s="72"/>
      <c r="AG320" s="72"/>
      <c r="AH320" s="72"/>
      <c r="AI320" s="72"/>
      <c r="AJ320" s="72"/>
      <c r="AK320" s="102"/>
      <c r="AL320" s="102"/>
      <c r="AM320" s="102"/>
      <c r="AN320" s="102"/>
      <c r="AO320" s="72"/>
      <c r="AP320" s="168"/>
      <c r="AQ320" s="102"/>
      <c r="AR320" s="102"/>
      <c r="AS320" s="168"/>
      <c r="AT320" s="168"/>
      <c r="AU320" s="96"/>
      <c r="AW320" s="72"/>
      <c r="AX320" s="72"/>
      <c r="AY320" s="72"/>
      <c r="AZ320" s="72"/>
      <c r="BA320" s="72"/>
      <c r="BB320" s="102"/>
      <c r="BC320" s="102"/>
      <c r="BD320" s="102"/>
      <c r="BE320" s="102"/>
      <c r="BF320" s="72"/>
      <c r="BG320" s="168"/>
      <c r="BH320" s="102"/>
      <c r="BI320" s="102"/>
      <c r="BJ320" s="168"/>
      <c r="BK320" s="168"/>
      <c r="BL320" s="96"/>
    </row>
    <row r="321" spans="18:64" ht="13.8" x14ac:dyDescent="0.25">
      <c r="R321" s="72"/>
      <c r="S321" s="72"/>
      <c r="T321" s="102"/>
      <c r="U321" s="102"/>
      <c r="V321" s="102"/>
      <c r="W321" s="102"/>
      <c r="X321" s="72"/>
      <c r="Y321" s="168"/>
      <c r="Z321" s="102"/>
      <c r="AA321" s="102"/>
      <c r="AB321" s="168"/>
      <c r="AC321" s="168"/>
      <c r="AD321" s="96"/>
      <c r="AF321" s="72"/>
      <c r="AG321" s="72"/>
      <c r="AH321" s="72"/>
      <c r="AI321" s="72"/>
      <c r="AJ321" s="72"/>
      <c r="AK321" s="102"/>
      <c r="AL321" s="102"/>
      <c r="AM321" s="102"/>
      <c r="AN321" s="102"/>
      <c r="AO321" s="72"/>
      <c r="AP321" s="168"/>
      <c r="AQ321" s="102"/>
      <c r="AR321" s="102"/>
      <c r="AS321" s="168"/>
      <c r="AT321" s="168"/>
      <c r="AU321" s="96"/>
      <c r="AW321" s="72"/>
      <c r="AX321" s="72"/>
      <c r="AY321" s="72"/>
      <c r="AZ321" s="72"/>
      <c r="BA321" s="72"/>
      <c r="BB321" s="102"/>
      <c r="BC321" s="102"/>
      <c r="BD321" s="102"/>
      <c r="BE321" s="102"/>
      <c r="BF321" s="72"/>
      <c r="BG321" s="168"/>
      <c r="BH321" s="102"/>
      <c r="BI321" s="102"/>
      <c r="BJ321" s="168"/>
      <c r="BK321" s="168"/>
      <c r="BL321" s="96"/>
    </row>
    <row r="322" spans="18:64" ht="13.8" x14ac:dyDescent="0.25">
      <c r="R322" s="72"/>
      <c r="S322" s="72"/>
      <c r="T322" s="102"/>
      <c r="U322" s="102"/>
      <c r="V322" s="102"/>
      <c r="W322" s="102"/>
      <c r="X322" s="72"/>
      <c r="Y322" s="168"/>
      <c r="Z322" s="102"/>
      <c r="AA322" s="102"/>
      <c r="AB322" s="168"/>
      <c r="AC322" s="168"/>
      <c r="AD322" s="96"/>
      <c r="AF322" s="72"/>
      <c r="AG322" s="72"/>
      <c r="AH322" s="72"/>
      <c r="AI322" s="72"/>
      <c r="AJ322" s="72"/>
      <c r="AK322" s="102"/>
      <c r="AL322" s="102"/>
      <c r="AM322" s="102"/>
      <c r="AN322" s="102"/>
      <c r="AO322" s="72"/>
      <c r="AP322" s="168"/>
      <c r="AQ322" s="102"/>
      <c r="AR322" s="102"/>
      <c r="AS322" s="168"/>
      <c r="AT322" s="168"/>
      <c r="AU322" s="96"/>
      <c r="AW322" s="72"/>
      <c r="AX322" s="72"/>
      <c r="AY322" s="72"/>
      <c r="AZ322" s="72"/>
      <c r="BA322" s="72"/>
      <c r="BB322" s="102"/>
      <c r="BC322" s="102"/>
      <c r="BD322" s="102"/>
      <c r="BE322" s="102"/>
      <c r="BF322" s="72"/>
      <c r="BG322" s="168"/>
      <c r="BH322" s="102"/>
      <c r="BI322" s="102"/>
      <c r="BJ322" s="168"/>
      <c r="BK322" s="168"/>
      <c r="BL322" s="96"/>
    </row>
    <row r="323" spans="18:64" ht="13.8" x14ac:dyDescent="0.25">
      <c r="R323" s="72"/>
      <c r="S323" s="72"/>
      <c r="T323" s="102"/>
      <c r="U323" s="102"/>
      <c r="V323" s="102"/>
      <c r="W323" s="102"/>
      <c r="X323" s="72"/>
      <c r="Y323" s="168"/>
      <c r="Z323" s="102"/>
      <c r="AA323" s="102"/>
      <c r="AB323" s="168"/>
      <c r="AC323" s="168"/>
      <c r="AD323" s="96"/>
      <c r="AF323" s="72"/>
      <c r="AG323" s="72"/>
      <c r="AH323" s="72"/>
      <c r="AI323" s="72"/>
      <c r="AJ323" s="72"/>
      <c r="AK323" s="102"/>
      <c r="AL323" s="102"/>
      <c r="AM323" s="102"/>
      <c r="AN323" s="102"/>
      <c r="AO323" s="72"/>
      <c r="AP323" s="168"/>
      <c r="AQ323" s="102"/>
      <c r="AR323" s="102"/>
      <c r="AS323" s="168"/>
      <c r="AT323" s="168"/>
      <c r="AU323" s="96"/>
      <c r="AW323" s="72"/>
      <c r="AX323" s="72"/>
      <c r="AY323" s="72"/>
      <c r="AZ323" s="72"/>
      <c r="BA323" s="72"/>
      <c r="BB323" s="102"/>
      <c r="BC323" s="102"/>
      <c r="BD323" s="102"/>
      <c r="BE323" s="102"/>
      <c r="BF323" s="72"/>
      <c r="BG323" s="168"/>
      <c r="BH323" s="102"/>
      <c r="BI323" s="102"/>
      <c r="BJ323" s="168"/>
      <c r="BK323" s="168"/>
      <c r="BL323" s="96"/>
    </row>
    <row r="324" spans="18:64" ht="13.8" x14ac:dyDescent="0.25">
      <c r="R324" s="72"/>
      <c r="S324" s="72"/>
      <c r="T324" s="102"/>
      <c r="U324" s="102"/>
      <c r="V324" s="102"/>
      <c r="W324" s="102"/>
      <c r="X324" s="72"/>
      <c r="Y324" s="168"/>
      <c r="Z324" s="102"/>
      <c r="AA324" s="102"/>
      <c r="AB324" s="168"/>
      <c r="AC324" s="168"/>
      <c r="AD324" s="96"/>
      <c r="AF324" s="72"/>
      <c r="AG324" s="72"/>
      <c r="AH324" s="72"/>
      <c r="AI324" s="72"/>
      <c r="AJ324" s="72"/>
      <c r="AK324" s="102"/>
      <c r="AL324" s="102"/>
      <c r="AM324" s="102"/>
      <c r="AN324" s="102"/>
      <c r="AO324" s="72"/>
      <c r="AP324" s="168"/>
      <c r="AQ324" s="102"/>
      <c r="AR324" s="102"/>
      <c r="AS324" s="168"/>
      <c r="AT324" s="168"/>
      <c r="AU324" s="96"/>
      <c r="AW324" s="72"/>
      <c r="AX324" s="72"/>
      <c r="AY324" s="72"/>
      <c r="AZ324" s="72"/>
      <c r="BA324" s="72"/>
      <c r="BB324" s="102"/>
      <c r="BC324" s="102"/>
      <c r="BD324" s="102"/>
      <c r="BE324" s="102"/>
      <c r="BF324" s="72"/>
      <c r="BG324" s="168"/>
      <c r="BH324" s="102"/>
      <c r="BI324" s="102"/>
      <c r="BJ324" s="168"/>
      <c r="BK324" s="168"/>
      <c r="BL324" s="96"/>
    </row>
    <row r="325" spans="18:64" ht="13.8" x14ac:dyDescent="0.25">
      <c r="R325" s="72"/>
      <c r="S325" s="72"/>
      <c r="T325" s="102"/>
      <c r="U325" s="102"/>
      <c r="V325" s="102"/>
      <c r="W325" s="102"/>
      <c r="X325" s="72"/>
      <c r="Y325" s="168"/>
      <c r="Z325" s="102"/>
      <c r="AA325" s="102"/>
      <c r="AB325" s="168"/>
      <c r="AC325" s="168"/>
      <c r="AD325" s="96"/>
      <c r="AF325" s="72"/>
      <c r="AG325" s="72"/>
      <c r="AH325" s="72"/>
      <c r="AI325" s="72"/>
      <c r="AJ325" s="72"/>
      <c r="AK325" s="102"/>
      <c r="AL325" s="102"/>
      <c r="AM325" s="102"/>
      <c r="AN325" s="102"/>
      <c r="AO325" s="72"/>
      <c r="AP325" s="168"/>
      <c r="AQ325" s="102"/>
      <c r="AR325" s="102"/>
      <c r="AS325" s="168"/>
      <c r="AT325" s="168"/>
      <c r="AU325" s="96"/>
      <c r="AW325" s="72"/>
      <c r="AX325" s="72"/>
      <c r="AY325" s="72"/>
      <c r="AZ325" s="72"/>
      <c r="BA325" s="72"/>
      <c r="BB325" s="102"/>
      <c r="BC325" s="102"/>
      <c r="BD325" s="102"/>
      <c r="BE325" s="102"/>
      <c r="BF325" s="72"/>
      <c r="BG325" s="168"/>
      <c r="BH325" s="102"/>
      <c r="BI325" s="102"/>
      <c r="BJ325" s="168"/>
      <c r="BK325" s="168"/>
      <c r="BL325" s="96"/>
    </row>
    <row r="326" spans="18:64" ht="13.8" x14ac:dyDescent="0.25">
      <c r="R326" s="72"/>
      <c r="S326" s="72"/>
      <c r="T326" s="102"/>
      <c r="U326" s="102"/>
      <c r="V326" s="102"/>
      <c r="W326" s="102"/>
      <c r="X326" s="72"/>
      <c r="Y326" s="168"/>
      <c r="Z326" s="102"/>
      <c r="AA326" s="102"/>
      <c r="AB326" s="168"/>
      <c r="AC326" s="168"/>
      <c r="AD326" s="96"/>
      <c r="AF326" s="72"/>
      <c r="AG326" s="72"/>
      <c r="AH326" s="72"/>
      <c r="AI326" s="72"/>
      <c r="AJ326" s="72"/>
      <c r="AK326" s="102"/>
      <c r="AL326" s="102"/>
      <c r="AM326" s="102"/>
      <c r="AN326" s="102"/>
      <c r="AO326" s="72"/>
      <c r="AP326" s="168"/>
      <c r="AQ326" s="102"/>
      <c r="AR326" s="102"/>
      <c r="AS326" s="168"/>
      <c r="AT326" s="168"/>
      <c r="AU326" s="96"/>
      <c r="AW326" s="72"/>
      <c r="AX326" s="72"/>
      <c r="AY326" s="72"/>
      <c r="AZ326" s="72"/>
      <c r="BA326" s="72"/>
      <c r="BB326" s="102"/>
      <c r="BC326" s="102"/>
      <c r="BD326" s="102"/>
      <c r="BE326" s="102"/>
      <c r="BF326" s="72"/>
      <c r="BG326" s="168"/>
      <c r="BH326" s="102"/>
      <c r="BI326" s="102"/>
      <c r="BJ326" s="168"/>
      <c r="BK326" s="168"/>
      <c r="BL326" s="96"/>
    </row>
    <row r="327" spans="18:64" ht="13.8" x14ac:dyDescent="0.25">
      <c r="R327" s="72"/>
      <c r="S327" s="72"/>
      <c r="T327" s="102"/>
      <c r="U327" s="102"/>
      <c r="V327" s="102"/>
      <c r="W327" s="102"/>
      <c r="X327" s="72"/>
      <c r="Y327" s="168"/>
      <c r="Z327" s="102"/>
      <c r="AA327" s="102"/>
      <c r="AB327" s="168"/>
      <c r="AC327" s="168"/>
      <c r="AD327" s="96"/>
      <c r="AF327" s="72"/>
      <c r="AG327" s="72"/>
      <c r="AH327" s="72"/>
      <c r="AI327" s="72"/>
      <c r="AJ327" s="72"/>
      <c r="AK327" s="102"/>
      <c r="AL327" s="102"/>
      <c r="AM327" s="102"/>
      <c r="AN327" s="102"/>
      <c r="AO327" s="72"/>
      <c r="AP327" s="168"/>
      <c r="AQ327" s="102"/>
      <c r="AR327" s="102"/>
      <c r="AS327" s="168"/>
      <c r="AT327" s="168"/>
      <c r="AU327" s="96"/>
      <c r="AW327" s="72"/>
      <c r="AX327" s="72"/>
      <c r="AY327" s="72"/>
      <c r="AZ327" s="72"/>
      <c r="BA327" s="72"/>
      <c r="BB327" s="102"/>
      <c r="BC327" s="102"/>
      <c r="BD327" s="102"/>
      <c r="BE327" s="102"/>
      <c r="BF327" s="72"/>
      <c r="BG327" s="168"/>
      <c r="BH327" s="102"/>
      <c r="BI327" s="102"/>
      <c r="BJ327" s="168"/>
      <c r="BK327" s="168"/>
      <c r="BL327" s="96"/>
    </row>
    <row r="328" spans="18:64" ht="13.8" x14ac:dyDescent="0.25">
      <c r="R328" s="72"/>
      <c r="S328" s="72"/>
      <c r="T328" s="102"/>
      <c r="U328" s="102"/>
      <c r="V328" s="102"/>
      <c r="W328" s="102"/>
      <c r="X328" s="72"/>
      <c r="Y328" s="168"/>
      <c r="Z328" s="102"/>
      <c r="AA328" s="102"/>
      <c r="AB328" s="168"/>
      <c r="AC328" s="168"/>
      <c r="AD328" s="96"/>
      <c r="AF328" s="72"/>
      <c r="AG328" s="72"/>
      <c r="AH328" s="72"/>
      <c r="AI328" s="72"/>
      <c r="AJ328" s="72"/>
      <c r="AK328" s="102"/>
      <c r="AL328" s="102"/>
      <c r="AM328" s="102"/>
      <c r="AN328" s="102"/>
      <c r="AO328" s="72"/>
      <c r="AP328" s="168"/>
      <c r="AQ328" s="102"/>
      <c r="AR328" s="102"/>
      <c r="AS328" s="168"/>
      <c r="AT328" s="168"/>
      <c r="AU328" s="96"/>
      <c r="AW328" s="72"/>
      <c r="AX328" s="72"/>
      <c r="AY328" s="72"/>
      <c r="AZ328" s="72"/>
      <c r="BA328" s="72"/>
      <c r="BB328" s="102"/>
      <c r="BC328" s="102"/>
      <c r="BD328" s="102"/>
      <c r="BE328" s="102"/>
      <c r="BF328" s="72"/>
      <c r="BG328" s="168"/>
      <c r="BH328" s="102"/>
      <c r="BI328" s="102"/>
      <c r="BJ328" s="168"/>
      <c r="BK328" s="168"/>
      <c r="BL328" s="96"/>
    </row>
    <row r="329" spans="18:64" ht="13.8" x14ac:dyDescent="0.25">
      <c r="R329" s="72"/>
      <c r="S329" s="72"/>
      <c r="T329" s="102"/>
      <c r="U329" s="102"/>
      <c r="V329" s="102"/>
      <c r="W329" s="102"/>
      <c r="X329" s="72"/>
      <c r="Y329" s="168"/>
      <c r="Z329" s="102"/>
      <c r="AA329" s="102"/>
      <c r="AB329" s="168"/>
      <c r="AC329" s="168"/>
      <c r="AD329" s="96"/>
      <c r="AF329" s="72"/>
      <c r="AG329" s="72"/>
      <c r="AH329" s="72"/>
      <c r="AI329" s="72"/>
      <c r="AJ329" s="72"/>
      <c r="AK329" s="102"/>
      <c r="AL329" s="102"/>
      <c r="AM329" s="102"/>
      <c r="AN329" s="102"/>
      <c r="AO329" s="72"/>
      <c r="AP329" s="168"/>
      <c r="AQ329" s="102"/>
      <c r="AR329" s="102"/>
      <c r="AS329" s="168"/>
      <c r="AT329" s="168"/>
      <c r="AU329" s="96"/>
      <c r="AW329" s="72"/>
      <c r="AX329" s="72"/>
      <c r="AY329" s="72"/>
      <c r="AZ329" s="72"/>
      <c r="BA329" s="72"/>
      <c r="BB329" s="102"/>
      <c r="BC329" s="102"/>
      <c r="BD329" s="102"/>
      <c r="BE329" s="102"/>
      <c r="BF329" s="72"/>
      <c r="BG329" s="168"/>
      <c r="BH329" s="102"/>
      <c r="BI329" s="102"/>
      <c r="BJ329" s="168"/>
      <c r="BK329" s="168"/>
      <c r="BL329" s="96"/>
    </row>
    <row r="330" spans="18:64" ht="13.8" x14ac:dyDescent="0.25">
      <c r="R330" s="72"/>
      <c r="S330" s="72"/>
      <c r="T330" s="102"/>
      <c r="U330" s="102"/>
      <c r="V330" s="102"/>
      <c r="W330" s="102"/>
      <c r="X330" s="72"/>
      <c r="Y330" s="168"/>
      <c r="Z330" s="102"/>
      <c r="AA330" s="102"/>
      <c r="AB330" s="168"/>
      <c r="AC330" s="168"/>
      <c r="AD330" s="96"/>
      <c r="AF330" s="72"/>
      <c r="AG330" s="72"/>
      <c r="AH330" s="72"/>
      <c r="AI330" s="72"/>
      <c r="AJ330" s="105"/>
      <c r="AK330" s="105"/>
      <c r="AL330" s="97"/>
      <c r="AM330" s="102"/>
      <c r="AN330" s="102"/>
      <c r="AO330" s="102"/>
      <c r="AP330" s="102"/>
      <c r="AQ330" s="102"/>
      <c r="AR330" s="102"/>
      <c r="AS330" s="168"/>
      <c r="AT330" s="168"/>
      <c r="AU330" s="96"/>
      <c r="AW330" s="72"/>
      <c r="AX330" s="72"/>
      <c r="AY330" s="72"/>
      <c r="AZ330" s="72"/>
      <c r="BA330" s="105"/>
      <c r="BB330" s="105"/>
      <c r="BC330" s="97"/>
      <c r="BD330" s="102"/>
      <c r="BE330" s="102"/>
      <c r="BF330" s="102"/>
      <c r="BG330" s="102"/>
      <c r="BH330" s="102"/>
      <c r="BI330" s="102"/>
      <c r="BJ330" s="168"/>
      <c r="BK330" s="168"/>
      <c r="BL330" s="96"/>
    </row>
    <row r="331" spans="18:64" ht="13.8" x14ac:dyDescent="0.25">
      <c r="R331" s="72"/>
      <c r="S331" s="72"/>
      <c r="T331" s="102"/>
      <c r="U331" s="102"/>
      <c r="V331" s="102"/>
      <c r="W331" s="102"/>
      <c r="X331" s="72"/>
      <c r="Y331" s="168"/>
      <c r="Z331" s="102"/>
      <c r="AA331" s="102"/>
      <c r="AB331" s="168"/>
      <c r="AC331" s="168"/>
      <c r="AD331" s="96"/>
      <c r="AF331" s="72"/>
      <c r="AG331" s="72"/>
      <c r="AH331" s="72"/>
      <c r="AI331" s="72"/>
      <c r="AJ331" s="72"/>
      <c r="AK331" s="102"/>
      <c r="AL331" s="102"/>
      <c r="AM331" s="102"/>
      <c r="AN331" s="102"/>
      <c r="AO331" s="72"/>
      <c r="AP331" s="168"/>
      <c r="AQ331" s="102"/>
      <c r="AR331" s="102"/>
      <c r="AS331" s="168"/>
      <c r="AT331" s="168"/>
      <c r="AU331" s="96"/>
      <c r="AW331" s="72"/>
      <c r="AX331" s="72"/>
      <c r="AY331" s="72"/>
      <c r="AZ331" s="72"/>
      <c r="BA331" s="72"/>
      <c r="BB331" s="102"/>
      <c r="BC331" s="102"/>
      <c r="BD331" s="102"/>
      <c r="BE331" s="102"/>
      <c r="BF331" s="72"/>
      <c r="BG331" s="168"/>
      <c r="BH331" s="102"/>
      <c r="BI331" s="102"/>
      <c r="BJ331" s="168"/>
      <c r="BK331" s="168"/>
      <c r="BL331" s="96"/>
    </row>
    <row r="332" spans="18:64" ht="13.8" x14ac:dyDescent="0.25">
      <c r="R332" s="72"/>
      <c r="S332" s="72"/>
      <c r="T332" s="102"/>
      <c r="U332" s="102"/>
      <c r="V332" s="102"/>
      <c r="W332" s="102"/>
      <c r="X332" s="72"/>
      <c r="Y332" s="168"/>
      <c r="Z332" s="102"/>
      <c r="AA332" s="102"/>
      <c r="AB332" s="168"/>
      <c r="AC332" s="168"/>
      <c r="AD332" s="96"/>
      <c r="AF332" s="72"/>
      <c r="AG332" s="72"/>
      <c r="AH332" s="72"/>
      <c r="AI332" s="72"/>
      <c r="AJ332" s="72"/>
      <c r="AK332" s="102"/>
      <c r="AL332" s="102"/>
      <c r="AM332" s="102"/>
      <c r="AN332" s="102"/>
      <c r="AO332" s="72"/>
      <c r="AP332" s="168"/>
      <c r="AQ332" s="102"/>
      <c r="AR332" s="102"/>
      <c r="AS332" s="168"/>
      <c r="AT332" s="168"/>
      <c r="AU332" s="96"/>
      <c r="AW332" s="72"/>
      <c r="AX332" s="72"/>
      <c r="AY332" s="72"/>
      <c r="AZ332" s="72"/>
      <c r="BA332" s="72"/>
      <c r="BB332" s="102"/>
      <c r="BC332" s="102"/>
      <c r="BD332" s="102"/>
      <c r="BE332" s="102"/>
      <c r="BF332" s="72"/>
      <c r="BG332" s="168"/>
      <c r="BH332" s="102"/>
      <c r="BI332" s="102"/>
      <c r="BJ332" s="168"/>
      <c r="BK332" s="168"/>
      <c r="BL332" s="96"/>
    </row>
    <row r="333" spans="18:64" ht="13.8" x14ac:dyDescent="0.25">
      <c r="R333" s="72"/>
      <c r="S333" s="72"/>
      <c r="T333" s="102"/>
      <c r="U333" s="102"/>
      <c r="V333" s="102"/>
      <c r="W333" s="102"/>
      <c r="X333" s="72"/>
      <c r="Y333" s="168"/>
      <c r="Z333" s="102"/>
      <c r="AA333" s="102"/>
      <c r="AB333" s="168"/>
      <c r="AC333" s="168"/>
      <c r="AD333" s="96"/>
      <c r="AF333" s="72"/>
      <c r="AG333" s="72"/>
      <c r="AH333" s="72"/>
      <c r="AI333" s="72"/>
      <c r="AJ333" s="72"/>
      <c r="AK333" s="102"/>
      <c r="AL333" s="102"/>
      <c r="AM333" s="102"/>
      <c r="AN333" s="102"/>
      <c r="AO333" s="72"/>
      <c r="AP333" s="168"/>
      <c r="AQ333" s="102"/>
      <c r="AR333" s="102"/>
      <c r="AS333" s="168"/>
      <c r="AT333" s="168"/>
      <c r="AU333" s="96"/>
      <c r="AW333" s="72"/>
      <c r="AX333" s="72"/>
      <c r="AY333" s="72"/>
      <c r="AZ333" s="72"/>
      <c r="BA333" s="72"/>
      <c r="BB333" s="102"/>
      <c r="BC333" s="102"/>
      <c r="BD333" s="102"/>
      <c r="BE333" s="102"/>
      <c r="BF333" s="72"/>
      <c r="BG333" s="168"/>
      <c r="BH333" s="102"/>
      <c r="BI333" s="102"/>
      <c r="BJ333" s="168"/>
      <c r="BK333" s="168"/>
      <c r="BL333" s="96"/>
    </row>
    <row r="334" spans="18:64" ht="13.8" x14ac:dyDescent="0.25">
      <c r="R334" s="72"/>
      <c r="S334" s="72"/>
      <c r="T334" s="102"/>
      <c r="U334" s="102"/>
      <c r="V334" s="102"/>
      <c r="W334" s="102"/>
      <c r="X334" s="72"/>
      <c r="Y334" s="168"/>
      <c r="Z334" s="102"/>
      <c r="AA334" s="102"/>
      <c r="AB334" s="168"/>
      <c r="AC334" s="168"/>
      <c r="AD334" s="96"/>
      <c r="AF334" s="72"/>
      <c r="AG334" s="72"/>
      <c r="AH334" s="72"/>
      <c r="AI334" s="72"/>
      <c r="AJ334" s="72"/>
      <c r="AK334" s="102"/>
      <c r="AL334" s="102"/>
      <c r="AM334" s="102"/>
      <c r="AN334" s="102"/>
      <c r="AO334" s="72"/>
      <c r="AP334" s="168"/>
      <c r="AQ334" s="102"/>
      <c r="AR334" s="102"/>
      <c r="AS334" s="168"/>
      <c r="AT334" s="168"/>
      <c r="AU334" s="96"/>
      <c r="AW334" s="72"/>
      <c r="AX334" s="72"/>
      <c r="AY334" s="72"/>
      <c r="AZ334" s="72"/>
      <c r="BA334" s="72"/>
      <c r="BB334" s="102"/>
      <c r="BC334" s="102"/>
      <c r="BD334" s="102"/>
      <c r="BE334" s="102"/>
      <c r="BF334" s="72"/>
      <c r="BG334" s="168"/>
      <c r="BH334" s="102"/>
      <c r="BI334" s="102"/>
      <c r="BJ334" s="168"/>
      <c r="BK334" s="168"/>
      <c r="BL334" s="96"/>
    </row>
    <row r="335" spans="18:64" ht="13.8" x14ac:dyDescent="0.25">
      <c r="R335" s="72"/>
      <c r="S335" s="72"/>
      <c r="T335" s="102"/>
      <c r="U335" s="102"/>
      <c r="V335" s="102"/>
      <c r="W335" s="102"/>
      <c r="X335" s="72"/>
      <c r="Y335" s="168"/>
      <c r="Z335" s="102"/>
      <c r="AA335" s="102"/>
      <c r="AB335" s="168"/>
      <c r="AC335" s="168"/>
      <c r="AD335" s="96"/>
      <c r="AF335" s="72"/>
      <c r="AG335" s="72"/>
      <c r="AH335" s="72"/>
      <c r="AI335" s="72"/>
      <c r="AJ335" s="72"/>
      <c r="AK335" s="102"/>
      <c r="AL335" s="102"/>
      <c r="AM335" s="102"/>
      <c r="AN335" s="102"/>
      <c r="AO335" s="72"/>
      <c r="AP335" s="168"/>
      <c r="AQ335" s="102"/>
      <c r="AR335" s="102"/>
      <c r="AS335" s="168"/>
      <c r="AT335" s="168"/>
      <c r="AU335" s="96"/>
      <c r="AW335" s="72"/>
      <c r="AX335" s="72"/>
      <c r="AY335" s="72"/>
      <c r="AZ335" s="72"/>
      <c r="BA335" s="72"/>
      <c r="BB335" s="102"/>
      <c r="BC335" s="102"/>
      <c r="BD335" s="102"/>
      <c r="BE335" s="102"/>
      <c r="BF335" s="72"/>
      <c r="BG335" s="168"/>
      <c r="BH335" s="102"/>
      <c r="BI335" s="102"/>
      <c r="BJ335" s="168"/>
      <c r="BK335" s="168"/>
      <c r="BL335" s="96"/>
    </row>
    <row r="336" spans="18:64" ht="13.8" x14ac:dyDescent="0.25">
      <c r="R336" s="72"/>
      <c r="S336" s="72"/>
      <c r="T336" s="102"/>
      <c r="U336" s="102"/>
      <c r="V336" s="102"/>
      <c r="W336" s="102"/>
      <c r="X336" s="72"/>
      <c r="Y336" s="168"/>
      <c r="Z336" s="102"/>
      <c r="AA336" s="102"/>
      <c r="AB336" s="168"/>
      <c r="AC336" s="168"/>
      <c r="AD336" s="96"/>
      <c r="AF336" s="72"/>
      <c r="AG336" s="72"/>
      <c r="AH336" s="72"/>
      <c r="AI336" s="72"/>
      <c r="AJ336" s="72"/>
      <c r="AK336" s="102"/>
      <c r="AL336" s="102"/>
      <c r="AM336" s="102"/>
      <c r="AN336" s="102"/>
      <c r="AO336" s="72"/>
      <c r="AP336" s="168"/>
      <c r="AQ336" s="102"/>
      <c r="AR336" s="102"/>
      <c r="AS336" s="168"/>
      <c r="AT336" s="168"/>
      <c r="AU336" s="96"/>
      <c r="AW336" s="72"/>
      <c r="AX336" s="72"/>
      <c r="AY336" s="72"/>
      <c r="AZ336" s="72"/>
      <c r="BA336" s="72"/>
      <c r="BB336" s="102"/>
      <c r="BC336" s="102"/>
      <c r="BD336" s="102"/>
      <c r="BE336" s="102"/>
      <c r="BF336" s="72"/>
      <c r="BG336" s="168"/>
      <c r="BH336" s="102"/>
      <c r="BI336" s="102"/>
      <c r="BJ336" s="168"/>
      <c r="BK336" s="168"/>
      <c r="BL336" s="96"/>
    </row>
    <row r="337" spans="17:64" ht="13.8" x14ac:dyDescent="0.25">
      <c r="R337" s="72"/>
      <c r="S337" s="72"/>
      <c r="T337" s="102"/>
      <c r="U337" s="102"/>
      <c r="V337" s="102"/>
      <c r="W337" s="102"/>
      <c r="X337" s="72"/>
      <c r="Y337" s="168"/>
      <c r="Z337" s="102"/>
      <c r="AA337" s="102"/>
      <c r="AB337" s="168"/>
      <c r="AC337" s="168"/>
      <c r="AD337" s="96"/>
      <c r="AF337" s="72"/>
      <c r="AG337" s="72"/>
      <c r="AH337" s="72"/>
      <c r="AI337" s="72"/>
      <c r="AJ337" s="72"/>
      <c r="AK337" s="102"/>
      <c r="AL337" s="102"/>
      <c r="AM337" s="102"/>
      <c r="AN337" s="102"/>
      <c r="AO337" s="72"/>
      <c r="AP337" s="168"/>
      <c r="AQ337" s="102"/>
      <c r="AR337" s="102"/>
      <c r="AS337" s="168"/>
      <c r="AT337" s="168"/>
      <c r="AU337" s="96"/>
      <c r="AW337" s="72"/>
      <c r="AX337" s="72"/>
      <c r="AY337" s="72"/>
      <c r="AZ337" s="72"/>
      <c r="BA337" s="72"/>
      <c r="BB337" s="102"/>
      <c r="BC337" s="102"/>
      <c r="BD337" s="102"/>
      <c r="BE337" s="102"/>
      <c r="BF337" s="72"/>
      <c r="BG337" s="168"/>
      <c r="BH337" s="102"/>
      <c r="BI337" s="102"/>
      <c r="BJ337" s="168"/>
      <c r="BK337" s="168"/>
      <c r="BL337" s="96"/>
    </row>
    <row r="338" spans="17:64" ht="13.8" x14ac:dyDescent="0.25">
      <c r="R338" s="72"/>
      <c r="S338" s="72"/>
      <c r="T338" s="102"/>
      <c r="U338" s="102"/>
      <c r="V338" s="102"/>
      <c r="W338" s="102"/>
      <c r="X338" s="72"/>
      <c r="Y338" s="168"/>
      <c r="Z338" s="102"/>
      <c r="AA338" s="102"/>
      <c r="AB338" s="168"/>
      <c r="AC338" s="168"/>
      <c r="AD338" s="96"/>
      <c r="AF338" s="72"/>
      <c r="AG338" s="72"/>
      <c r="AH338" s="72"/>
      <c r="AI338" s="72"/>
      <c r="AJ338" s="72"/>
      <c r="AK338" s="102"/>
      <c r="AL338" s="102"/>
      <c r="AM338" s="102"/>
      <c r="AN338" s="102"/>
      <c r="AO338" s="72"/>
      <c r="AP338" s="168"/>
      <c r="AQ338" s="102"/>
      <c r="AR338" s="102"/>
      <c r="AS338" s="168"/>
      <c r="AT338" s="168"/>
      <c r="AU338" s="96"/>
      <c r="AW338" s="72"/>
      <c r="AX338" s="72"/>
      <c r="AY338" s="72"/>
      <c r="AZ338" s="72"/>
      <c r="BA338" s="72"/>
      <c r="BB338" s="102"/>
      <c r="BC338" s="102"/>
      <c r="BD338" s="102"/>
      <c r="BE338" s="102"/>
      <c r="BF338" s="72"/>
      <c r="BG338" s="168"/>
      <c r="BH338" s="102"/>
      <c r="BI338" s="102"/>
      <c r="BJ338" s="168"/>
      <c r="BK338" s="168"/>
      <c r="BL338" s="96"/>
    </row>
    <row r="339" spans="17:64" ht="13.8" x14ac:dyDescent="0.25">
      <c r="R339" s="72"/>
      <c r="S339" s="105"/>
      <c r="T339" s="105"/>
      <c r="U339" s="97"/>
      <c r="V339" s="102"/>
      <c r="W339" s="102"/>
      <c r="X339" s="72"/>
      <c r="Y339" s="72"/>
      <c r="Z339" s="72"/>
      <c r="AA339" s="102"/>
      <c r="AB339" s="168"/>
      <c r="AC339" s="168"/>
      <c r="AD339" s="96"/>
      <c r="AF339" s="72"/>
      <c r="AG339" s="72"/>
      <c r="AH339" s="72"/>
      <c r="AI339" s="72"/>
      <c r="AJ339" s="72"/>
      <c r="AK339" s="102"/>
      <c r="AL339" s="102"/>
      <c r="AM339" s="102"/>
      <c r="AN339" s="102"/>
      <c r="AO339" s="72"/>
      <c r="AP339" s="168"/>
      <c r="AQ339" s="102"/>
      <c r="AR339" s="102"/>
      <c r="AS339" s="168"/>
      <c r="AT339" s="168"/>
      <c r="AU339" s="96"/>
      <c r="AW339" s="72"/>
      <c r="AX339" s="72"/>
      <c r="AY339" s="72"/>
      <c r="AZ339" s="72"/>
      <c r="BA339" s="72"/>
      <c r="BB339" s="102"/>
      <c r="BC339" s="102"/>
      <c r="BD339" s="102"/>
      <c r="BE339" s="102"/>
      <c r="BF339" s="72"/>
      <c r="BG339" s="168"/>
      <c r="BH339" s="102"/>
      <c r="BI339" s="102"/>
      <c r="BJ339" s="168"/>
      <c r="BK339" s="168"/>
      <c r="BL339" s="96"/>
    </row>
    <row r="340" spans="17:64" ht="13.8" x14ac:dyDescent="0.25">
      <c r="R340" s="72"/>
      <c r="S340" s="72"/>
      <c r="T340" s="102"/>
      <c r="U340" s="102"/>
      <c r="V340" s="102"/>
      <c r="W340" s="102"/>
      <c r="X340" s="72"/>
      <c r="Y340" s="168"/>
      <c r="Z340" s="102"/>
      <c r="AA340" s="102"/>
      <c r="AB340" s="168"/>
      <c r="AC340" s="168"/>
      <c r="AD340" s="96"/>
      <c r="AF340" s="72"/>
      <c r="AG340" s="72"/>
      <c r="AH340" s="72"/>
      <c r="AI340" s="72"/>
      <c r="AJ340" s="72"/>
      <c r="AK340" s="102"/>
      <c r="AL340" s="102"/>
      <c r="AM340" s="102"/>
      <c r="AN340" s="102"/>
      <c r="AO340" s="72"/>
      <c r="AP340" s="168"/>
      <c r="AQ340" s="102"/>
      <c r="AR340" s="102"/>
      <c r="AS340" s="168"/>
      <c r="AT340" s="168"/>
      <c r="AU340" s="96"/>
      <c r="AW340" s="72"/>
      <c r="AX340" s="72"/>
      <c r="AY340" s="72"/>
      <c r="AZ340" s="72"/>
      <c r="BA340" s="72"/>
      <c r="BB340" s="102"/>
      <c r="BC340" s="102"/>
      <c r="BD340" s="102"/>
      <c r="BE340" s="102"/>
      <c r="BF340" s="72"/>
      <c r="BG340" s="168"/>
      <c r="BH340" s="102"/>
      <c r="BI340" s="102"/>
      <c r="BJ340" s="168"/>
      <c r="BK340" s="168"/>
      <c r="BL340" s="96"/>
    </row>
    <row r="341" spans="17:64" ht="13.8" x14ac:dyDescent="0.25">
      <c r="R341" s="72"/>
      <c r="S341" s="72"/>
      <c r="T341" s="102"/>
      <c r="U341" s="102"/>
      <c r="V341" s="102"/>
      <c r="W341" s="102"/>
      <c r="X341" s="72"/>
      <c r="Y341" s="168"/>
      <c r="Z341" s="102"/>
      <c r="AA341" s="102"/>
      <c r="AB341" s="168"/>
      <c r="AC341" s="168"/>
      <c r="AD341" s="96"/>
      <c r="AF341" s="72"/>
      <c r="AG341" s="72"/>
      <c r="AH341" s="72"/>
      <c r="AI341" s="72"/>
      <c r="AJ341" s="72"/>
      <c r="AK341" s="102"/>
      <c r="AL341" s="102"/>
      <c r="AM341" s="102"/>
      <c r="AN341" s="102"/>
      <c r="AO341" s="72"/>
      <c r="AP341" s="168"/>
      <c r="AQ341" s="102"/>
      <c r="AR341" s="102"/>
      <c r="AS341" s="168"/>
      <c r="AT341" s="168"/>
      <c r="AU341" s="96"/>
      <c r="AW341" s="72"/>
      <c r="AX341" s="72"/>
      <c r="AY341" s="72"/>
      <c r="AZ341" s="72"/>
      <c r="BA341" s="72"/>
      <c r="BB341" s="102"/>
      <c r="BC341" s="102"/>
      <c r="BD341" s="102"/>
      <c r="BE341" s="102"/>
      <c r="BF341" s="72"/>
      <c r="BG341" s="168"/>
      <c r="BH341" s="102"/>
      <c r="BI341" s="102"/>
      <c r="BJ341" s="168"/>
      <c r="BK341" s="168"/>
      <c r="BL341" s="96"/>
    </row>
    <row r="342" spans="17:64" ht="13.8" x14ac:dyDescent="0.25">
      <c r="R342" s="72"/>
      <c r="S342" s="72"/>
      <c r="T342" s="102"/>
      <c r="U342" s="102"/>
      <c r="V342" s="102"/>
      <c r="W342" s="102"/>
      <c r="X342" s="72"/>
      <c r="Y342" s="168"/>
      <c r="Z342" s="102"/>
      <c r="AA342" s="102"/>
      <c r="AB342" s="168"/>
      <c r="AC342" s="168"/>
      <c r="AD342" s="96"/>
      <c r="AF342" s="72"/>
      <c r="AG342" s="72"/>
      <c r="AH342" s="72"/>
      <c r="AI342" s="72"/>
      <c r="AJ342" s="72"/>
      <c r="AK342" s="102"/>
      <c r="AL342" s="102"/>
      <c r="AM342" s="102"/>
      <c r="AN342" s="102"/>
      <c r="AO342" s="72"/>
      <c r="AP342" s="168"/>
      <c r="AQ342" s="102"/>
      <c r="AR342" s="102"/>
      <c r="AS342" s="168"/>
      <c r="AT342" s="168"/>
      <c r="AU342" s="96"/>
      <c r="AW342" s="72"/>
      <c r="AX342" s="72"/>
      <c r="AY342" s="72"/>
      <c r="AZ342" s="72"/>
      <c r="BA342" s="72"/>
      <c r="BB342" s="102"/>
      <c r="BC342" s="102"/>
      <c r="BD342" s="102"/>
      <c r="BE342" s="102"/>
      <c r="BF342" s="72"/>
      <c r="BG342" s="168"/>
      <c r="BH342" s="102"/>
      <c r="BI342" s="102"/>
      <c r="BJ342" s="168"/>
      <c r="BK342" s="168"/>
      <c r="BL342" s="96"/>
    </row>
    <row r="343" spans="17:64" ht="13.8" x14ac:dyDescent="0.25">
      <c r="R343" s="72"/>
      <c r="S343" s="72"/>
      <c r="T343" s="102"/>
      <c r="U343" s="102"/>
      <c r="V343" s="102"/>
      <c r="W343" s="102"/>
      <c r="X343" s="72"/>
      <c r="Y343" s="168"/>
      <c r="Z343" s="102"/>
      <c r="AA343" s="102"/>
      <c r="AB343" s="168"/>
      <c r="AC343" s="168"/>
      <c r="AD343" s="96"/>
      <c r="AF343" s="72"/>
      <c r="AG343" s="72"/>
      <c r="AH343" s="72"/>
      <c r="AI343" s="72"/>
      <c r="AJ343" s="72"/>
      <c r="AK343" s="102"/>
      <c r="AL343" s="102"/>
      <c r="AM343" s="102"/>
      <c r="AN343" s="102"/>
      <c r="AO343" s="72"/>
      <c r="AP343" s="168"/>
      <c r="AQ343" s="102"/>
      <c r="AR343" s="102"/>
      <c r="AS343" s="168"/>
      <c r="AT343" s="168"/>
      <c r="AU343" s="96"/>
      <c r="AW343" s="72"/>
      <c r="AX343" s="72"/>
      <c r="AY343" s="72"/>
      <c r="AZ343" s="72"/>
      <c r="BA343" s="72"/>
      <c r="BB343" s="102"/>
      <c r="BC343" s="102"/>
      <c r="BD343" s="102"/>
      <c r="BE343" s="102"/>
      <c r="BF343" s="72"/>
      <c r="BG343" s="168"/>
      <c r="BH343" s="102"/>
      <c r="BI343" s="102"/>
      <c r="BJ343" s="168"/>
      <c r="BK343" s="168"/>
      <c r="BL343" s="96"/>
    </row>
    <row r="344" spans="17:64" ht="13.8" x14ac:dyDescent="0.25">
      <c r="R344" s="72"/>
      <c r="S344" s="72"/>
      <c r="T344" s="102"/>
      <c r="U344" s="102"/>
      <c r="V344" s="102"/>
      <c r="W344" s="102"/>
      <c r="X344" s="72"/>
      <c r="Y344" s="168"/>
      <c r="Z344" s="102"/>
      <c r="AA344" s="102"/>
      <c r="AB344" s="168"/>
      <c r="AC344" s="168"/>
      <c r="AD344" s="96"/>
      <c r="AF344" s="72"/>
      <c r="AG344" s="72"/>
      <c r="AH344" s="72"/>
      <c r="AI344" s="72"/>
      <c r="AJ344" s="72"/>
      <c r="AK344" s="102"/>
      <c r="AL344" s="102"/>
      <c r="AM344" s="102"/>
      <c r="AN344" s="102"/>
      <c r="AO344" s="72"/>
      <c r="AP344" s="168"/>
      <c r="AQ344" s="102"/>
      <c r="AR344" s="102"/>
      <c r="AS344" s="168"/>
      <c r="AT344" s="168"/>
      <c r="AU344" s="96"/>
      <c r="AW344" s="72"/>
      <c r="AX344" s="72"/>
      <c r="AY344" s="72"/>
      <c r="AZ344" s="72"/>
      <c r="BA344" s="72"/>
      <c r="BB344" s="102"/>
      <c r="BC344" s="102"/>
      <c r="BD344" s="102"/>
      <c r="BE344" s="102"/>
      <c r="BF344" s="72"/>
      <c r="BG344" s="168"/>
      <c r="BH344" s="102"/>
      <c r="BI344" s="102"/>
      <c r="BJ344" s="168"/>
      <c r="BK344" s="168"/>
      <c r="BL344" s="96"/>
    </row>
    <row r="345" spans="17:64" ht="13.8" x14ac:dyDescent="0.25">
      <c r="R345" s="72"/>
      <c r="S345" s="72"/>
      <c r="T345" s="102"/>
      <c r="U345" s="102"/>
      <c r="V345" s="102"/>
      <c r="W345" s="102"/>
      <c r="X345" s="72"/>
      <c r="Y345" s="168"/>
      <c r="Z345" s="102"/>
      <c r="AA345" s="102"/>
      <c r="AB345" s="168"/>
      <c r="AC345" s="168"/>
      <c r="AD345" s="96"/>
      <c r="AF345" s="72"/>
      <c r="AG345" s="72"/>
      <c r="AH345" s="72"/>
      <c r="AI345" s="72"/>
      <c r="AJ345" s="72"/>
      <c r="AK345" s="102"/>
      <c r="AL345" s="102"/>
      <c r="AM345" s="102"/>
      <c r="AN345" s="102"/>
      <c r="AO345" s="72"/>
      <c r="AP345" s="168"/>
      <c r="AQ345" s="102"/>
      <c r="AR345" s="102"/>
      <c r="AS345" s="168"/>
      <c r="AT345" s="168"/>
      <c r="AU345" s="96"/>
      <c r="AW345" s="72"/>
      <c r="AX345" s="72"/>
      <c r="AY345" s="72"/>
      <c r="AZ345" s="72"/>
      <c r="BA345" s="72"/>
      <c r="BB345" s="102"/>
      <c r="BC345" s="102"/>
      <c r="BD345" s="102"/>
      <c r="BE345" s="102"/>
      <c r="BF345" s="72"/>
      <c r="BG345" s="168"/>
      <c r="BH345" s="102"/>
      <c r="BI345" s="102"/>
      <c r="BJ345" s="168"/>
      <c r="BK345" s="168"/>
      <c r="BL345" s="96"/>
    </row>
    <row r="346" spans="17:64" ht="13.8" x14ac:dyDescent="0.25">
      <c r="R346" s="72"/>
      <c r="S346" s="72"/>
      <c r="T346" s="102"/>
      <c r="U346" s="102"/>
      <c r="V346" s="102"/>
      <c r="W346" s="102"/>
      <c r="X346" s="72"/>
      <c r="Y346" s="168"/>
      <c r="Z346" s="102"/>
      <c r="AA346" s="102"/>
      <c r="AB346" s="168"/>
      <c r="AC346" s="168"/>
      <c r="AD346" s="96"/>
      <c r="AF346" s="72"/>
      <c r="AG346" s="72"/>
      <c r="AH346" s="72"/>
      <c r="AI346" s="72"/>
      <c r="AJ346" s="72"/>
      <c r="AK346" s="102"/>
      <c r="AL346" s="102"/>
      <c r="AM346" s="102"/>
      <c r="AN346" s="102"/>
      <c r="AO346" s="72"/>
      <c r="AP346" s="168"/>
      <c r="AQ346" s="102"/>
      <c r="AR346" s="102"/>
      <c r="AS346" s="168"/>
      <c r="AT346" s="168"/>
      <c r="AU346" s="96"/>
      <c r="AW346" s="72"/>
      <c r="AX346" s="72"/>
      <c r="AY346" s="72"/>
      <c r="AZ346" s="72"/>
      <c r="BA346" s="72"/>
      <c r="BB346" s="102"/>
      <c r="BC346" s="102"/>
      <c r="BD346" s="102"/>
      <c r="BE346" s="102"/>
      <c r="BF346" s="72"/>
      <c r="BG346" s="168"/>
      <c r="BH346" s="102"/>
      <c r="BI346" s="102"/>
      <c r="BJ346" s="168"/>
      <c r="BK346" s="168"/>
      <c r="BL346" s="96"/>
    </row>
    <row r="347" spans="17:64" ht="13.8" x14ac:dyDescent="0.25">
      <c r="R347" s="72"/>
      <c r="S347" s="72"/>
      <c r="T347" s="102"/>
      <c r="U347" s="102"/>
      <c r="V347" s="102"/>
      <c r="W347" s="102"/>
      <c r="X347" s="72"/>
      <c r="Y347" s="168"/>
      <c r="Z347" s="102"/>
      <c r="AA347" s="102"/>
      <c r="AB347" s="168"/>
      <c r="AC347" s="168"/>
      <c r="AD347" s="96"/>
      <c r="AF347" s="72"/>
      <c r="AG347" s="72"/>
      <c r="AH347" s="72"/>
      <c r="AI347" s="72"/>
      <c r="AJ347" s="72"/>
      <c r="AK347" s="102"/>
      <c r="AL347" s="102"/>
      <c r="AM347" s="102"/>
      <c r="AN347" s="102"/>
      <c r="AO347" s="72"/>
      <c r="AP347" s="168"/>
      <c r="AQ347" s="102"/>
      <c r="AR347" s="102"/>
      <c r="AS347" s="168"/>
      <c r="AT347" s="168"/>
      <c r="AU347" s="96"/>
      <c r="AW347" s="72"/>
      <c r="AX347" s="72"/>
      <c r="AY347" s="72"/>
      <c r="AZ347" s="72"/>
      <c r="BA347" s="72"/>
      <c r="BB347" s="102"/>
      <c r="BC347" s="102"/>
      <c r="BD347" s="102"/>
      <c r="BE347" s="102"/>
      <c r="BF347" s="72"/>
      <c r="BG347" s="168"/>
      <c r="BH347" s="102"/>
      <c r="BI347" s="102"/>
      <c r="BJ347" s="168"/>
      <c r="BK347" s="168"/>
      <c r="BL347" s="96"/>
    </row>
    <row r="348" spans="17:64" ht="13.8" x14ac:dyDescent="0.25">
      <c r="R348" s="72"/>
      <c r="S348" s="72"/>
      <c r="T348" s="102"/>
      <c r="U348" s="102"/>
      <c r="V348" s="102"/>
      <c r="W348" s="102"/>
      <c r="X348" s="72"/>
      <c r="Y348" s="168"/>
      <c r="Z348" s="102"/>
      <c r="AA348" s="102"/>
      <c r="AB348" s="168"/>
      <c r="AC348" s="168"/>
      <c r="AD348" s="96"/>
      <c r="AF348" s="72"/>
      <c r="AG348" s="72"/>
      <c r="AH348" s="72"/>
      <c r="AI348" s="72"/>
      <c r="AJ348" s="72"/>
      <c r="AK348" s="102"/>
      <c r="AL348" s="102"/>
      <c r="AM348" s="102"/>
      <c r="AN348" s="102"/>
      <c r="AO348" s="72"/>
      <c r="AP348" s="168"/>
      <c r="AQ348" s="102"/>
      <c r="AR348" s="102"/>
      <c r="AS348" s="168"/>
      <c r="AT348" s="102"/>
      <c r="AU348" s="96"/>
      <c r="AW348" s="72"/>
      <c r="AX348" s="72"/>
      <c r="AY348" s="72"/>
      <c r="AZ348" s="72"/>
      <c r="BA348" s="72"/>
      <c r="BB348" s="102"/>
      <c r="BC348" s="102"/>
      <c r="BD348" s="102"/>
      <c r="BE348" s="102"/>
      <c r="BF348" s="72"/>
      <c r="BG348" s="168"/>
      <c r="BH348" s="102"/>
      <c r="BI348" s="102"/>
      <c r="BJ348" s="102"/>
      <c r="BK348" s="102"/>
      <c r="BL348" s="96"/>
    </row>
    <row r="349" spans="17:64" ht="13.8" x14ac:dyDescent="0.25">
      <c r="R349" s="72"/>
      <c r="S349" s="72"/>
      <c r="T349" s="102"/>
      <c r="U349" s="102"/>
      <c r="V349" s="102"/>
      <c r="W349" s="102"/>
      <c r="X349" s="72"/>
      <c r="Y349" s="168"/>
      <c r="Z349" s="102"/>
      <c r="AA349" s="102"/>
      <c r="AB349" s="168"/>
    </row>
    <row r="350" spans="17:64" ht="13.8" x14ac:dyDescent="0.25">
      <c r="R350" s="72"/>
      <c r="S350" s="72"/>
      <c r="T350" s="102"/>
      <c r="U350" s="102"/>
      <c r="V350" s="102"/>
      <c r="W350" s="102"/>
      <c r="X350" s="72"/>
      <c r="Y350" s="168"/>
      <c r="Z350" s="102"/>
      <c r="AA350" s="102"/>
      <c r="AB350" s="168"/>
    </row>
    <row r="351" spans="17:64" ht="13.8" x14ac:dyDescent="0.25">
      <c r="R351" s="72"/>
      <c r="S351" s="72"/>
      <c r="T351" s="102"/>
      <c r="U351" s="102"/>
      <c r="V351" s="102"/>
      <c r="W351" s="102"/>
      <c r="X351" s="72"/>
      <c r="Y351" s="168"/>
      <c r="Z351" s="102"/>
      <c r="AA351" s="102"/>
      <c r="AB351" s="168"/>
    </row>
    <row r="352" spans="17:64" ht="17.399999999999999" x14ac:dyDescent="0.3">
      <c r="Q352" s="170"/>
      <c r="R352" s="72"/>
      <c r="S352" s="72"/>
      <c r="T352" s="102"/>
      <c r="U352" s="102"/>
      <c r="V352" s="102"/>
      <c r="W352" s="102"/>
      <c r="X352" s="72"/>
      <c r="Y352" s="168"/>
      <c r="Z352" s="102"/>
      <c r="AA352" s="102"/>
    </row>
    <row r="353" spans="17:70" ht="17.399999999999999" x14ac:dyDescent="0.3">
      <c r="Q353" s="170"/>
      <c r="R353" s="72"/>
      <c r="S353" s="72"/>
      <c r="T353" s="102"/>
      <c r="U353" s="102"/>
      <c r="V353" s="102"/>
      <c r="W353" s="102"/>
      <c r="X353" s="72"/>
      <c r="Y353" s="168"/>
      <c r="Z353" s="102"/>
      <c r="AA353" s="102"/>
    </row>
    <row r="354" spans="17:70" ht="13.8" x14ac:dyDescent="0.25">
      <c r="R354" s="72"/>
      <c r="S354" s="72"/>
      <c r="T354" s="102"/>
      <c r="U354" s="102"/>
      <c r="V354" s="102"/>
      <c r="W354" s="102"/>
      <c r="X354" s="72"/>
      <c r="Y354" s="168"/>
      <c r="Z354" s="102"/>
      <c r="AA354" s="102"/>
    </row>
    <row r="355" spans="17:70" ht="13.8" x14ac:dyDescent="0.25">
      <c r="R355" s="72"/>
      <c r="S355" s="72"/>
      <c r="T355" s="102"/>
      <c r="U355" s="102"/>
      <c r="V355" s="102"/>
      <c r="W355" s="102"/>
      <c r="X355" s="72"/>
      <c r="Y355" s="168"/>
      <c r="Z355" s="102"/>
      <c r="AA355" s="102"/>
    </row>
    <row r="356" spans="17:70" ht="13.8" x14ac:dyDescent="0.25">
      <c r="Q356" s="72"/>
      <c r="R356" s="72"/>
      <c r="S356" s="72"/>
      <c r="T356" s="102"/>
      <c r="U356" s="102"/>
      <c r="V356" s="102"/>
      <c r="W356" s="102"/>
      <c r="X356" s="72"/>
      <c r="Y356" s="168"/>
      <c r="Z356" s="102"/>
      <c r="AA356" s="102"/>
      <c r="AC356" s="72"/>
      <c r="AD356" s="72"/>
      <c r="AE356" s="72"/>
      <c r="AF356" s="72"/>
      <c r="AG356" s="72"/>
      <c r="AH356" s="72"/>
      <c r="AI356" s="72"/>
      <c r="AJ356" s="72"/>
      <c r="AK356" s="154"/>
      <c r="AL356" s="114"/>
      <c r="AM356" s="114"/>
      <c r="AN356" s="155"/>
      <c r="AO356" s="155"/>
      <c r="AP356" s="155"/>
      <c r="AQ356" s="155"/>
      <c r="AR356" s="72"/>
      <c r="AS356" s="72"/>
      <c r="AT356" s="72"/>
      <c r="AU356" s="72"/>
      <c r="AV356" s="72"/>
      <c r="AW356" s="72"/>
      <c r="AX356" s="72"/>
      <c r="AY356" s="72"/>
      <c r="BA356" s="72"/>
      <c r="BB356" s="72"/>
      <c r="BC356" s="72"/>
      <c r="BD356" s="154"/>
      <c r="BE356" s="114"/>
      <c r="BF356" s="114"/>
      <c r="BG356" s="155"/>
      <c r="BH356" s="155"/>
      <c r="BI356" s="155"/>
      <c r="BJ356" s="155"/>
      <c r="BK356" s="72"/>
      <c r="BL356" s="72"/>
      <c r="BM356" s="72"/>
      <c r="BN356" s="72"/>
      <c r="BO356" s="72"/>
      <c r="BP356" s="72"/>
      <c r="BQ356" s="72"/>
      <c r="BR356" s="72"/>
    </row>
    <row r="357" spans="17:70" ht="13.8" x14ac:dyDescent="0.25">
      <c r="Q357" s="72"/>
      <c r="R357" s="72"/>
      <c r="S357" s="72"/>
      <c r="T357" s="102"/>
      <c r="U357" s="102"/>
      <c r="V357" s="102"/>
      <c r="W357" s="102"/>
      <c r="X357" s="72"/>
      <c r="Y357" s="168"/>
      <c r="Z357" s="102"/>
      <c r="AA357" s="102"/>
      <c r="AC357" s="150"/>
      <c r="AD357" s="150"/>
      <c r="AE357" s="158"/>
      <c r="AF357" s="158"/>
      <c r="AH357" s="156"/>
      <c r="AI357" s="156"/>
      <c r="AJ357" s="156"/>
      <c r="AK357" s="156"/>
      <c r="AL357" s="156"/>
      <c r="AM357" s="157"/>
      <c r="AN357" s="150"/>
      <c r="AO357" s="150"/>
      <c r="AP357" s="150"/>
      <c r="AQ357" s="150"/>
      <c r="AR357" s="150"/>
      <c r="AS357" s="150"/>
      <c r="AT357" s="150"/>
      <c r="AU357" s="150"/>
      <c r="AV357" s="150"/>
      <c r="AW357" s="150"/>
      <c r="AX357" s="158"/>
      <c r="AY357" s="158"/>
      <c r="BA357" s="156"/>
      <c r="BB357" s="156"/>
      <c r="BC357" s="156"/>
      <c r="BD357" s="156"/>
      <c r="BE357" s="156"/>
      <c r="BF357" s="157"/>
      <c r="BG357" s="150"/>
      <c r="BH357" s="150"/>
      <c r="BI357" s="150"/>
      <c r="BJ357" s="150"/>
      <c r="BK357" s="150"/>
      <c r="BL357" s="150"/>
      <c r="BM357" s="150"/>
      <c r="BN357" s="150"/>
      <c r="BO357" s="150"/>
      <c r="BP357" s="150"/>
      <c r="BQ357" s="158"/>
      <c r="BR357" s="158"/>
    </row>
    <row r="358" spans="17:70" ht="13.8" x14ac:dyDescent="0.25">
      <c r="Q358" s="72"/>
      <c r="AC358" s="152"/>
      <c r="AD358" s="152"/>
      <c r="AE358" s="152"/>
      <c r="AF358" s="152"/>
      <c r="AG358" s="72"/>
      <c r="AH358" s="152"/>
      <c r="AI358" s="152"/>
      <c r="AJ358" s="152"/>
      <c r="AK358" s="152"/>
      <c r="AL358" s="152"/>
      <c r="AM358" s="101"/>
      <c r="AN358" s="152"/>
      <c r="AO358" s="152"/>
      <c r="AP358" s="152"/>
      <c r="AQ358" s="152"/>
      <c r="AR358" s="152"/>
      <c r="AS358" s="152"/>
      <c r="AT358" s="152"/>
      <c r="AU358" s="152"/>
      <c r="AV358" s="152"/>
      <c r="AW358" s="152"/>
      <c r="AX358" s="152"/>
      <c r="AY358" s="152"/>
      <c r="BA358" s="152"/>
      <c r="BB358" s="152"/>
      <c r="BC358" s="152"/>
      <c r="BD358" s="152"/>
      <c r="BE358" s="152"/>
      <c r="BF358" s="101"/>
      <c r="BG358" s="152"/>
      <c r="BH358" s="152"/>
      <c r="BI358" s="152"/>
      <c r="BJ358" s="152"/>
      <c r="BK358" s="152"/>
      <c r="BL358" s="152"/>
      <c r="BM358" s="152"/>
      <c r="BN358" s="152"/>
      <c r="BO358" s="152"/>
      <c r="BP358" s="152"/>
      <c r="BQ358" s="152"/>
      <c r="BR358" s="152"/>
    </row>
    <row r="359" spans="17:70" ht="15" x14ac:dyDescent="0.25">
      <c r="Q359" s="72"/>
      <c r="AB359" s="72"/>
      <c r="AC359" s="159"/>
      <c r="AD359" s="159"/>
      <c r="AE359" s="171"/>
      <c r="AF359" s="171"/>
      <c r="AG359" s="72"/>
      <c r="AH359" s="169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2"/>
      <c r="AT359" s="152"/>
      <c r="AU359" s="159"/>
      <c r="AV359" s="159"/>
      <c r="AW359" s="159"/>
      <c r="AX359" s="171"/>
      <c r="AY359" s="171"/>
      <c r="BA359" s="169"/>
      <c r="BB359" s="152"/>
      <c r="BC359" s="152"/>
      <c r="BD359" s="152"/>
      <c r="BE359" s="152"/>
      <c r="BF359" s="152"/>
      <c r="BG359" s="152"/>
      <c r="BH359" s="152"/>
      <c r="BI359" s="152"/>
      <c r="BJ359" s="152"/>
      <c r="BK359" s="152"/>
      <c r="BL359" s="152"/>
      <c r="BM359" s="152"/>
      <c r="BN359" s="159"/>
      <c r="BO359" s="159"/>
      <c r="BP359" s="159"/>
      <c r="BQ359" s="171"/>
      <c r="BR359" s="171"/>
    </row>
    <row r="360" spans="17:70" ht="13.8" x14ac:dyDescent="0.25">
      <c r="Q360" s="72"/>
      <c r="AB360" s="150"/>
      <c r="AC360" s="168"/>
      <c r="AD360" s="96"/>
      <c r="AE360" s="102"/>
      <c r="AF360" s="97"/>
      <c r="AG360" s="72"/>
      <c r="AH360" s="72"/>
      <c r="AI360" s="72"/>
      <c r="AJ360" s="72"/>
      <c r="AK360" s="72"/>
      <c r="AL360" s="72"/>
      <c r="AM360" s="105"/>
      <c r="AN360" s="168"/>
      <c r="AO360" s="96"/>
      <c r="AP360" s="168"/>
      <c r="AQ360" s="97"/>
      <c r="AR360" s="97"/>
      <c r="AS360" s="72"/>
      <c r="AT360" s="95"/>
      <c r="AU360" s="96"/>
      <c r="AV360" s="96"/>
      <c r="AW360" s="96"/>
      <c r="AX360" s="102"/>
      <c r="AY360" s="97"/>
      <c r="BA360" s="72"/>
      <c r="BB360" s="72"/>
      <c r="BC360" s="72"/>
      <c r="BD360" s="72"/>
      <c r="BE360" s="72"/>
      <c r="BF360" s="105"/>
      <c r="BG360" s="168"/>
      <c r="BH360" s="96"/>
      <c r="BI360" s="168"/>
      <c r="BJ360" s="97"/>
      <c r="BK360" s="97"/>
      <c r="BL360" s="72"/>
      <c r="BM360" s="95"/>
      <c r="BN360" s="96"/>
      <c r="BO360" s="96"/>
      <c r="BP360" s="96"/>
      <c r="BQ360" s="102"/>
      <c r="BR360" s="97"/>
    </row>
    <row r="361" spans="17:70" ht="17.399999999999999" x14ac:dyDescent="0.3">
      <c r="Q361" s="72"/>
      <c r="R361" s="170"/>
      <c r="AB361" s="152"/>
      <c r="AC361" s="168"/>
      <c r="AD361" s="96"/>
      <c r="AE361" s="96"/>
      <c r="AF361" s="72"/>
      <c r="AG361" s="72"/>
      <c r="AH361" s="72"/>
      <c r="AI361" s="72"/>
      <c r="AJ361" s="72"/>
      <c r="AK361" s="72"/>
      <c r="AL361" s="72"/>
      <c r="AM361" s="105"/>
      <c r="AN361" s="102"/>
      <c r="AO361" s="102"/>
      <c r="AP361" s="102"/>
      <c r="AQ361" s="102"/>
      <c r="AR361" s="97"/>
      <c r="AS361" s="97"/>
      <c r="AT361" s="72"/>
      <c r="AU361" s="96"/>
      <c r="AV361" s="96"/>
      <c r="AW361" s="96"/>
      <c r="AX361" s="96"/>
      <c r="AY361" s="72"/>
      <c r="BA361" s="72"/>
      <c r="BB361" s="72"/>
      <c r="BC361" s="72"/>
      <c r="BD361" s="72"/>
      <c r="BE361" s="72"/>
      <c r="BF361" s="105"/>
      <c r="BG361" s="102"/>
      <c r="BH361" s="102"/>
      <c r="BI361" s="102"/>
      <c r="BJ361" s="102"/>
      <c r="BK361" s="97"/>
      <c r="BL361" s="97"/>
      <c r="BM361" s="72"/>
      <c r="BN361" s="96"/>
      <c r="BO361" s="96"/>
      <c r="BP361" s="96"/>
      <c r="BQ361" s="96"/>
      <c r="BR361" s="72"/>
    </row>
    <row r="362" spans="17:70" ht="17.399999999999999" x14ac:dyDescent="0.3">
      <c r="Q362" s="72"/>
      <c r="R362" s="170"/>
      <c r="AB362" s="159"/>
      <c r="AC362" s="168"/>
      <c r="AD362" s="96"/>
      <c r="AE362" s="96"/>
      <c r="AF362" s="72"/>
      <c r="AG362" s="72"/>
      <c r="AH362" s="72"/>
      <c r="AI362" s="72"/>
      <c r="AJ362" s="72"/>
      <c r="AK362" s="72"/>
      <c r="AL362" s="72"/>
      <c r="AM362" s="72"/>
      <c r="AN362" s="102"/>
      <c r="AO362" s="102"/>
      <c r="AP362" s="102"/>
      <c r="AQ362" s="102"/>
      <c r="AR362" s="97"/>
      <c r="AS362" s="97"/>
      <c r="AT362" s="72"/>
      <c r="AU362" s="96"/>
      <c r="AV362" s="96"/>
      <c r="AW362" s="96"/>
      <c r="AX362" s="96"/>
      <c r="AY362" s="72"/>
      <c r="BA362" s="72"/>
      <c r="BB362" s="72"/>
      <c r="BC362" s="72"/>
      <c r="BD362" s="72"/>
      <c r="BE362" s="72"/>
      <c r="BF362" s="72"/>
      <c r="BG362" s="102"/>
      <c r="BH362" s="102"/>
      <c r="BI362" s="102"/>
      <c r="BJ362" s="102"/>
      <c r="BK362" s="97"/>
      <c r="BL362" s="97"/>
      <c r="BM362" s="72"/>
      <c r="BN362" s="96"/>
      <c r="BO362" s="96"/>
      <c r="BP362" s="96"/>
      <c r="BQ362" s="96"/>
      <c r="BR362" s="72"/>
    </row>
    <row r="363" spans="17:70" ht="13.8" x14ac:dyDescent="0.25">
      <c r="Q363" s="72"/>
      <c r="AB363" s="168"/>
      <c r="AC363" s="168"/>
      <c r="AD363" s="96"/>
      <c r="AE363" s="96"/>
      <c r="AF363" s="72"/>
      <c r="AG363" s="72"/>
      <c r="AH363" s="72"/>
      <c r="AI363" s="72"/>
      <c r="AJ363" s="72"/>
      <c r="AK363" s="72"/>
      <c r="AL363" s="72"/>
      <c r="AM363" s="105"/>
      <c r="AN363" s="168"/>
      <c r="AO363" s="168"/>
      <c r="AP363" s="168"/>
      <c r="AQ363" s="168"/>
      <c r="AR363" s="97"/>
      <c r="AS363" s="97"/>
      <c r="AT363" s="72"/>
      <c r="AU363" s="96"/>
      <c r="AV363" s="96"/>
      <c r="AW363" s="96"/>
      <c r="AX363" s="96"/>
      <c r="AY363" s="72"/>
      <c r="BA363" s="72"/>
      <c r="BB363" s="72"/>
      <c r="BC363" s="72"/>
      <c r="BD363" s="72"/>
      <c r="BE363" s="72"/>
      <c r="BF363" s="105"/>
      <c r="BG363" s="168"/>
      <c r="BH363" s="168"/>
      <c r="BI363" s="168"/>
      <c r="BJ363" s="168"/>
      <c r="BK363" s="97"/>
      <c r="BL363" s="97"/>
      <c r="BM363" s="72"/>
      <c r="BN363" s="96"/>
      <c r="BO363" s="96"/>
      <c r="BP363" s="96"/>
      <c r="BQ363" s="96"/>
      <c r="BR363" s="72"/>
    </row>
    <row r="364" spans="17:70" ht="13.8" x14ac:dyDescent="0.25">
      <c r="AB364" s="168"/>
      <c r="AC364" s="168"/>
      <c r="AD364" s="96"/>
      <c r="AE364" s="96"/>
      <c r="AH364" s="72"/>
      <c r="AI364" s="72"/>
      <c r="AJ364" s="72"/>
      <c r="AK364" s="72"/>
      <c r="AL364" s="72"/>
      <c r="AM364" s="105"/>
      <c r="AN364" s="102"/>
      <c r="AO364" s="102"/>
      <c r="AP364" s="102"/>
      <c r="AQ364" s="102"/>
      <c r="AR364" s="97"/>
      <c r="AS364" s="97"/>
      <c r="AT364" s="72"/>
      <c r="AU364" s="96"/>
      <c r="AV364" s="96"/>
      <c r="AW364" s="96"/>
      <c r="AX364" s="96"/>
      <c r="BA364" s="72"/>
      <c r="BB364" s="72"/>
      <c r="BC364" s="72"/>
      <c r="BD364" s="72"/>
      <c r="BE364" s="72"/>
      <c r="BF364" s="105"/>
      <c r="BG364" s="102"/>
      <c r="BH364" s="102"/>
      <c r="BI364" s="102"/>
      <c r="BJ364" s="102"/>
      <c r="BK364" s="97"/>
      <c r="BL364" s="97"/>
      <c r="BM364" s="72"/>
      <c r="BN364" s="96"/>
      <c r="BO364" s="96"/>
      <c r="BP364" s="96"/>
      <c r="BQ364" s="96"/>
    </row>
    <row r="365" spans="17:70" ht="13.8" x14ac:dyDescent="0.25">
      <c r="R365" s="154"/>
      <c r="S365" s="114"/>
      <c r="T365" s="114"/>
      <c r="U365" s="155"/>
      <c r="V365" s="155"/>
      <c r="W365" s="155"/>
      <c r="X365" s="155"/>
      <c r="Y365" s="72"/>
      <c r="Z365" s="72"/>
      <c r="AA365" s="72"/>
      <c r="AB365" s="168"/>
      <c r="AC365" s="168"/>
      <c r="AD365" s="96"/>
      <c r="AE365" s="96"/>
      <c r="AH365" s="72"/>
      <c r="AI365" s="72"/>
      <c r="AJ365" s="72"/>
      <c r="AK365" s="72"/>
      <c r="AL365" s="72"/>
      <c r="AM365" s="105"/>
      <c r="AN365" s="102"/>
      <c r="AO365" s="102"/>
      <c r="AP365" s="102"/>
      <c r="AQ365" s="102"/>
      <c r="AR365" s="97"/>
      <c r="AS365" s="97"/>
      <c r="AT365" s="72"/>
      <c r="AU365" s="96"/>
      <c r="AV365" s="96"/>
      <c r="AW365" s="96"/>
      <c r="AX365" s="96"/>
      <c r="BA365" s="72"/>
      <c r="BB365" s="72"/>
      <c r="BC365" s="72"/>
      <c r="BD365" s="72"/>
      <c r="BE365" s="72"/>
      <c r="BF365" s="105"/>
      <c r="BG365" s="102"/>
      <c r="BH365" s="102"/>
      <c r="BI365" s="102"/>
      <c r="BJ365" s="102"/>
      <c r="BK365" s="97"/>
      <c r="BL365" s="97"/>
      <c r="BM365" s="72"/>
      <c r="BN365" s="96"/>
      <c r="BO365" s="96"/>
      <c r="BP365" s="96"/>
      <c r="BQ365" s="96"/>
    </row>
    <row r="366" spans="17:70" ht="13.8" x14ac:dyDescent="0.25">
      <c r="R366" s="156"/>
      <c r="S366" s="156"/>
      <c r="T366" s="157"/>
      <c r="U366" s="150"/>
      <c r="V366" s="150"/>
      <c r="W366" s="150"/>
      <c r="X366" s="150"/>
      <c r="Y366" s="150"/>
      <c r="Z366" s="150"/>
      <c r="AA366" s="150"/>
      <c r="AB366" s="168"/>
      <c r="AC366" s="168"/>
      <c r="AD366" s="96"/>
      <c r="AE366" s="96"/>
      <c r="AH366" s="72"/>
      <c r="AI366" s="72"/>
      <c r="AJ366" s="72"/>
      <c r="AK366" s="72"/>
      <c r="AL366" s="72"/>
      <c r="AM366" s="105"/>
      <c r="AN366" s="102"/>
      <c r="AO366" s="102"/>
      <c r="AP366" s="102"/>
      <c r="AQ366" s="102"/>
      <c r="AR366" s="97"/>
      <c r="AS366" s="97"/>
      <c r="AT366" s="72"/>
      <c r="AU366" s="96"/>
      <c r="AV366" s="96"/>
      <c r="AW366" s="96"/>
      <c r="AX366" s="96"/>
      <c r="BA366" s="72"/>
      <c r="BB366" s="72"/>
      <c r="BC366" s="72"/>
      <c r="BD366" s="72"/>
      <c r="BE366" s="72"/>
      <c r="BF366" s="105"/>
      <c r="BG366" s="102"/>
      <c r="BH366" s="102"/>
      <c r="BI366" s="102"/>
      <c r="BJ366" s="102"/>
      <c r="BK366" s="97"/>
      <c r="BL366" s="97"/>
      <c r="BM366" s="72"/>
      <c r="BN366" s="96"/>
      <c r="BO366" s="96"/>
      <c r="BP366" s="96"/>
      <c r="BQ366" s="96"/>
    </row>
    <row r="367" spans="17:70" ht="13.8" x14ac:dyDescent="0.25">
      <c r="R367" s="152"/>
      <c r="S367" s="152"/>
      <c r="T367" s="101"/>
      <c r="U367" s="152"/>
      <c r="V367" s="152"/>
      <c r="W367" s="152"/>
      <c r="X367" s="152"/>
      <c r="Y367" s="152"/>
      <c r="Z367" s="152"/>
      <c r="AA367" s="152"/>
      <c r="AB367" s="168"/>
      <c r="AC367" s="168"/>
      <c r="AD367" s="96"/>
      <c r="AE367" s="96"/>
      <c r="AH367" s="72"/>
      <c r="AI367" s="72"/>
      <c r="AJ367" s="72"/>
      <c r="AK367" s="72"/>
      <c r="AL367" s="72"/>
      <c r="AM367" s="105"/>
      <c r="AN367" s="102"/>
      <c r="AO367" s="102"/>
      <c r="AP367" s="102"/>
      <c r="AQ367" s="102"/>
      <c r="AR367" s="97"/>
      <c r="AS367" s="97"/>
      <c r="AT367" s="72"/>
      <c r="AU367" s="96"/>
      <c r="AV367" s="96"/>
      <c r="AW367" s="96"/>
      <c r="AX367" s="96"/>
      <c r="BA367" s="72"/>
      <c r="BB367" s="72"/>
      <c r="BC367" s="72"/>
      <c r="BD367" s="72"/>
      <c r="BE367" s="72"/>
      <c r="BF367" s="105"/>
      <c r="BG367" s="102"/>
      <c r="BH367" s="102"/>
      <c r="BI367" s="102"/>
      <c r="BJ367" s="102"/>
      <c r="BK367" s="97"/>
      <c r="BL367" s="97"/>
      <c r="BM367" s="72"/>
      <c r="BN367" s="96"/>
      <c r="BO367" s="96"/>
      <c r="BP367" s="96"/>
      <c r="BQ367" s="96"/>
    </row>
    <row r="368" spans="17:70" ht="13.8" x14ac:dyDescent="0.25"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68"/>
      <c r="AC368" s="168"/>
      <c r="AD368" s="96"/>
      <c r="AE368" s="96"/>
      <c r="AH368" s="72"/>
      <c r="AI368" s="72"/>
      <c r="AJ368" s="72"/>
      <c r="AK368" s="72"/>
      <c r="AL368" s="72"/>
      <c r="AM368" s="105"/>
      <c r="AN368" s="102"/>
      <c r="AO368" s="102"/>
      <c r="AP368" s="102"/>
      <c r="AQ368" s="102"/>
      <c r="AR368" s="97"/>
      <c r="AS368" s="97"/>
      <c r="AT368" s="72"/>
      <c r="AU368" s="96"/>
      <c r="AV368" s="96"/>
      <c r="AW368" s="96"/>
      <c r="AX368" s="96"/>
      <c r="BA368" s="72"/>
      <c r="BB368" s="72"/>
      <c r="BC368" s="72"/>
      <c r="BD368" s="72"/>
      <c r="BE368" s="72"/>
      <c r="BF368" s="105"/>
      <c r="BG368" s="102"/>
      <c r="BH368" s="102"/>
      <c r="BI368" s="102"/>
      <c r="BJ368" s="102"/>
      <c r="BK368" s="97"/>
      <c r="BL368" s="97"/>
      <c r="BM368" s="72"/>
      <c r="BN368" s="96"/>
      <c r="BO368" s="96"/>
      <c r="BP368" s="96"/>
      <c r="BQ368" s="96"/>
    </row>
    <row r="369" spans="18:70" ht="13.8" x14ac:dyDescent="0.25">
      <c r="R369" s="72"/>
      <c r="S369" s="72"/>
      <c r="T369" s="105"/>
      <c r="U369" s="168"/>
      <c r="V369" s="96"/>
      <c r="W369" s="168"/>
      <c r="X369" s="97"/>
      <c r="Y369" s="97"/>
      <c r="Z369" s="72"/>
      <c r="AA369" s="95"/>
      <c r="AB369" s="168"/>
      <c r="AC369" s="168"/>
      <c r="AD369" s="96"/>
      <c r="AE369" s="96"/>
      <c r="AH369" s="72"/>
      <c r="AI369" s="72"/>
      <c r="AJ369" s="72"/>
      <c r="AK369" s="72"/>
      <c r="AL369" s="72"/>
      <c r="AM369" s="105"/>
      <c r="AN369" s="102"/>
      <c r="AO369" s="102"/>
      <c r="AP369" s="102"/>
      <c r="AQ369" s="102"/>
      <c r="AR369" s="97"/>
      <c r="AS369" s="97"/>
      <c r="AT369" s="72"/>
      <c r="AU369" s="96"/>
      <c r="AV369" s="96"/>
      <c r="AW369" s="96"/>
      <c r="AX369" s="96"/>
      <c r="BA369" s="72"/>
      <c r="BB369" s="72"/>
      <c r="BC369" s="72"/>
      <c r="BD369" s="72"/>
      <c r="BE369" s="72"/>
      <c r="BF369" s="105"/>
      <c r="BG369" s="102"/>
      <c r="BH369" s="102"/>
      <c r="BI369" s="102"/>
      <c r="BJ369" s="102"/>
      <c r="BK369" s="97"/>
      <c r="BL369" s="97"/>
      <c r="BM369" s="72"/>
      <c r="BN369" s="96"/>
      <c r="BO369" s="96"/>
      <c r="BP369" s="96"/>
      <c r="BQ369" s="96"/>
    </row>
    <row r="370" spans="18:70" ht="13.8" x14ac:dyDescent="0.25">
      <c r="R370" s="72"/>
      <c r="S370" s="72"/>
      <c r="T370" s="105"/>
      <c r="U370" s="102"/>
      <c r="V370" s="102"/>
      <c r="W370" s="102"/>
      <c r="X370" s="102"/>
      <c r="Y370" s="97"/>
      <c r="Z370" s="97"/>
      <c r="AA370" s="72"/>
      <c r="AB370" s="168"/>
      <c r="AC370" s="168"/>
      <c r="AD370" s="96"/>
      <c r="AE370" s="96"/>
      <c r="AH370" s="72"/>
      <c r="AI370" s="72"/>
      <c r="AJ370" s="72"/>
      <c r="AK370" s="72"/>
      <c r="AL370" s="72"/>
      <c r="AM370" s="105"/>
      <c r="AN370" s="102"/>
      <c r="AO370" s="102"/>
      <c r="AP370" s="102"/>
      <c r="AQ370" s="102"/>
      <c r="AR370" s="97"/>
      <c r="AS370" s="97"/>
      <c r="AT370" s="72"/>
      <c r="AU370" s="96"/>
      <c r="AV370" s="96"/>
      <c r="AW370" s="96"/>
      <c r="AX370" s="96"/>
      <c r="BA370" s="72"/>
      <c r="BB370" s="72"/>
      <c r="BC370" s="72"/>
      <c r="BD370" s="72"/>
      <c r="BE370" s="72"/>
      <c r="BF370" s="105"/>
      <c r="BG370" s="102"/>
      <c r="BH370" s="102"/>
      <c r="BI370" s="102"/>
      <c r="BJ370" s="102"/>
      <c r="BK370" s="97"/>
      <c r="BL370" s="97"/>
      <c r="BM370" s="72"/>
      <c r="BN370" s="96"/>
      <c r="BO370" s="96"/>
      <c r="BP370" s="96"/>
      <c r="BQ370" s="96"/>
    </row>
    <row r="371" spans="18:70" ht="13.8" x14ac:dyDescent="0.25">
      <c r="R371" s="72"/>
      <c r="S371" s="72"/>
      <c r="T371" s="72"/>
      <c r="U371" s="102"/>
      <c r="V371" s="102"/>
      <c r="W371" s="102"/>
      <c r="X371" s="102"/>
      <c r="Y371" s="97"/>
      <c r="Z371" s="97"/>
      <c r="AA371" s="72"/>
      <c r="AB371" s="168"/>
      <c r="AC371" s="168"/>
      <c r="AD371" s="96"/>
      <c r="AE371" s="96"/>
      <c r="AH371" s="72"/>
      <c r="AI371" s="72"/>
      <c r="AJ371" s="72"/>
      <c r="AK371" s="72"/>
      <c r="AL371" s="72"/>
      <c r="AM371" s="105"/>
      <c r="AN371" s="102"/>
      <c r="AO371" s="102"/>
      <c r="AP371" s="102"/>
      <c r="AQ371" s="102"/>
      <c r="AR371" s="97"/>
      <c r="AS371" s="97"/>
      <c r="AT371" s="72"/>
      <c r="AU371" s="96"/>
      <c r="AV371" s="96"/>
      <c r="AW371" s="96"/>
      <c r="AX371" s="96"/>
      <c r="BA371" s="72"/>
      <c r="BB371" s="72"/>
      <c r="BC371" s="72"/>
      <c r="BD371" s="72"/>
      <c r="BE371" s="72"/>
      <c r="BF371" s="105"/>
      <c r="BG371" s="102"/>
      <c r="BH371" s="102"/>
      <c r="BI371" s="102"/>
      <c r="BJ371" s="102"/>
      <c r="BK371" s="97"/>
      <c r="BL371" s="97"/>
      <c r="BM371" s="72"/>
      <c r="BN371" s="96"/>
      <c r="BO371" s="96"/>
      <c r="BP371" s="96"/>
      <c r="BQ371" s="96"/>
    </row>
    <row r="372" spans="18:70" ht="13.8" x14ac:dyDescent="0.25">
      <c r="R372" s="72"/>
      <c r="S372" s="72"/>
      <c r="T372" s="105"/>
      <c r="U372" s="168"/>
      <c r="V372" s="168"/>
      <c r="W372" s="168"/>
      <c r="X372" s="168"/>
      <c r="Y372" s="97"/>
      <c r="Z372" s="97"/>
      <c r="AA372" s="72"/>
      <c r="AB372" s="168"/>
      <c r="AC372" s="168"/>
      <c r="AD372" s="96"/>
      <c r="AE372" s="96"/>
      <c r="AH372" s="72"/>
      <c r="AI372" s="72"/>
      <c r="AJ372" s="72"/>
      <c r="AK372" s="72"/>
      <c r="AL372" s="72"/>
      <c r="AM372" s="105"/>
      <c r="AN372" s="102"/>
      <c r="AO372" s="102"/>
      <c r="AP372" s="102"/>
      <c r="AQ372" s="102"/>
      <c r="AR372" s="97"/>
      <c r="AS372" s="97"/>
      <c r="AT372" s="72"/>
      <c r="AU372" s="96"/>
      <c r="AV372" s="96"/>
      <c r="AW372" s="96"/>
      <c r="AX372" s="96"/>
      <c r="BA372" s="72"/>
      <c r="BB372" s="72"/>
      <c r="BC372" s="72"/>
      <c r="BD372" s="72"/>
      <c r="BE372" s="72"/>
      <c r="BF372" s="105"/>
      <c r="BG372" s="102"/>
      <c r="BH372" s="102"/>
      <c r="BI372" s="102"/>
      <c r="BJ372" s="102"/>
      <c r="BK372" s="97"/>
      <c r="BL372" s="97"/>
      <c r="BM372" s="72"/>
      <c r="BN372" s="96"/>
      <c r="BO372" s="96"/>
      <c r="BP372" s="96"/>
      <c r="BQ372" s="96"/>
    </row>
    <row r="373" spans="18:70" ht="13.8" x14ac:dyDescent="0.25">
      <c r="R373" s="72"/>
      <c r="S373" s="72"/>
      <c r="T373" s="105"/>
      <c r="U373" s="102"/>
      <c r="V373" s="102"/>
      <c r="W373" s="102"/>
      <c r="X373" s="102"/>
      <c r="Y373" s="97"/>
      <c r="Z373" s="97"/>
      <c r="AA373" s="72"/>
      <c r="AB373" s="168"/>
      <c r="AC373" s="168"/>
      <c r="AD373" s="96"/>
      <c r="AE373" s="96"/>
      <c r="AH373" s="72"/>
      <c r="AI373" s="72"/>
      <c r="AJ373" s="72"/>
      <c r="AK373" s="72"/>
      <c r="AL373" s="72"/>
      <c r="AM373" s="105"/>
      <c r="AN373" s="102"/>
      <c r="AO373" s="102"/>
      <c r="AP373" s="102"/>
      <c r="AQ373" s="102"/>
      <c r="AR373" s="97"/>
      <c r="AS373" s="97"/>
      <c r="AT373" s="72"/>
      <c r="AU373" s="96"/>
      <c r="AV373" s="96"/>
      <c r="AW373" s="96"/>
      <c r="AX373" s="96"/>
      <c r="BA373" s="72"/>
      <c r="BB373" s="72"/>
      <c r="BC373" s="72"/>
      <c r="BD373" s="72"/>
      <c r="BE373" s="72"/>
      <c r="BF373" s="105"/>
      <c r="BG373" s="102"/>
      <c r="BH373" s="102"/>
      <c r="BI373" s="102"/>
      <c r="BJ373" s="102"/>
      <c r="BK373" s="97"/>
      <c r="BL373" s="97"/>
      <c r="BM373" s="72"/>
      <c r="BN373" s="96"/>
      <c r="BO373" s="96"/>
      <c r="BP373" s="96"/>
      <c r="BQ373" s="96"/>
    </row>
    <row r="374" spans="18:70" ht="13.8" x14ac:dyDescent="0.25">
      <c r="R374" s="72"/>
      <c r="S374" s="72"/>
      <c r="T374" s="105"/>
      <c r="U374" s="102"/>
      <c r="V374" s="102"/>
      <c r="W374" s="102"/>
      <c r="X374" s="102"/>
      <c r="Y374" s="97"/>
      <c r="Z374" s="97"/>
      <c r="AA374" s="72"/>
      <c r="AB374" s="168"/>
      <c r="AC374" s="168"/>
      <c r="AD374" s="96"/>
      <c r="AE374" s="96"/>
      <c r="AH374" s="72"/>
      <c r="AI374" s="72"/>
      <c r="AJ374" s="72"/>
      <c r="AK374" s="72"/>
      <c r="AL374" s="72"/>
      <c r="AM374" s="105"/>
      <c r="AN374" s="102"/>
      <c r="AO374" s="102"/>
      <c r="AP374" s="102"/>
      <c r="AQ374" s="102"/>
      <c r="AR374" s="97"/>
      <c r="AS374" s="97"/>
      <c r="AT374" s="72"/>
      <c r="AU374" s="96"/>
      <c r="AV374" s="96"/>
      <c r="AW374" s="96"/>
      <c r="AX374" s="96"/>
      <c r="BA374" s="72"/>
      <c r="BB374" s="72"/>
      <c r="BC374" s="72"/>
      <c r="BD374" s="72"/>
      <c r="BE374" s="72"/>
      <c r="BF374" s="105"/>
      <c r="BG374" s="102"/>
      <c r="BH374" s="102"/>
      <c r="BI374" s="102"/>
      <c r="BJ374" s="102"/>
      <c r="BK374" s="97"/>
      <c r="BL374" s="97"/>
      <c r="BM374" s="72"/>
      <c r="BN374" s="96"/>
      <c r="BO374" s="96"/>
      <c r="BP374" s="96"/>
      <c r="BQ374" s="96"/>
    </row>
    <row r="375" spans="18:70" ht="13.8" x14ac:dyDescent="0.25">
      <c r="R375" s="72"/>
      <c r="S375" s="72"/>
      <c r="T375" s="105"/>
      <c r="U375" s="102"/>
      <c r="V375" s="102"/>
      <c r="W375" s="102"/>
      <c r="X375" s="102"/>
      <c r="Y375" s="97"/>
      <c r="Z375" s="97"/>
      <c r="AA375" s="72"/>
      <c r="AB375" s="168"/>
      <c r="AC375" s="168"/>
      <c r="AD375" s="96"/>
      <c r="AE375" s="96"/>
      <c r="AH375" s="72"/>
      <c r="AI375" s="72"/>
      <c r="AJ375" s="72"/>
      <c r="AK375" s="72"/>
      <c r="AL375" s="72"/>
      <c r="AM375" s="105"/>
      <c r="AN375" s="102"/>
      <c r="AO375" s="102"/>
      <c r="AP375" s="102"/>
      <c r="AQ375" s="102"/>
      <c r="AR375" s="97"/>
      <c r="AS375" s="97"/>
      <c r="AT375" s="72"/>
      <c r="AU375" s="96"/>
      <c r="AV375" s="96"/>
      <c r="AW375" s="96"/>
      <c r="AX375" s="96"/>
      <c r="BA375" s="72"/>
      <c r="BB375" s="72"/>
      <c r="BC375" s="72"/>
      <c r="BD375" s="72"/>
      <c r="BE375" s="72"/>
      <c r="BF375" s="105"/>
      <c r="BG375" s="102"/>
      <c r="BH375" s="102"/>
      <c r="BI375" s="102"/>
      <c r="BJ375" s="102"/>
      <c r="BK375" s="97"/>
      <c r="BL375" s="97"/>
      <c r="BM375" s="72"/>
      <c r="BN375" s="96"/>
      <c r="BO375" s="96"/>
      <c r="BP375" s="96"/>
      <c r="BQ375" s="96"/>
    </row>
    <row r="376" spans="18:70" ht="13.8" x14ac:dyDescent="0.25">
      <c r="R376" s="72"/>
      <c r="S376" s="72"/>
      <c r="T376" s="105"/>
      <c r="U376" s="102"/>
      <c r="V376" s="102"/>
      <c r="W376" s="102"/>
      <c r="X376" s="102"/>
      <c r="Y376" s="97"/>
      <c r="Z376" s="97"/>
      <c r="AA376" s="72"/>
      <c r="AB376" s="168"/>
      <c r="AC376" s="168"/>
      <c r="AD376" s="96"/>
      <c r="AE376" s="96"/>
      <c r="AH376" s="72"/>
      <c r="AI376" s="72"/>
      <c r="AJ376" s="72"/>
      <c r="AK376" s="72"/>
      <c r="AL376" s="72"/>
      <c r="AM376" s="105"/>
      <c r="AN376" s="102"/>
      <c r="AO376" s="102"/>
      <c r="AP376" s="102"/>
      <c r="AQ376" s="102"/>
      <c r="AR376" s="97"/>
      <c r="AS376" s="97"/>
      <c r="AT376" s="72"/>
      <c r="AU376" s="96"/>
      <c r="AV376" s="96"/>
      <c r="AW376" s="96"/>
      <c r="AX376" s="96"/>
      <c r="BA376" s="72"/>
      <c r="BB376" s="72"/>
      <c r="BC376" s="72"/>
      <c r="BD376" s="72"/>
      <c r="BE376" s="72"/>
      <c r="BF376" s="105"/>
      <c r="BG376" s="102"/>
      <c r="BH376" s="102"/>
      <c r="BI376" s="102"/>
      <c r="BJ376" s="102"/>
      <c r="BK376" s="97"/>
      <c r="BL376" s="97"/>
      <c r="BM376" s="72"/>
      <c r="BN376" s="96"/>
      <c r="BO376" s="96"/>
      <c r="BP376" s="96"/>
      <c r="BQ376" s="96"/>
    </row>
    <row r="377" spans="18:70" ht="13.8" x14ac:dyDescent="0.25">
      <c r="R377" s="72"/>
      <c r="S377" s="72"/>
      <c r="T377" s="105"/>
      <c r="U377" s="102"/>
      <c r="V377" s="102"/>
      <c r="W377" s="102"/>
      <c r="X377" s="102"/>
      <c r="Y377" s="97"/>
      <c r="Z377" s="97"/>
      <c r="AA377" s="72"/>
      <c r="AB377" s="168"/>
      <c r="AC377" s="168"/>
      <c r="AD377" s="96"/>
      <c r="AE377" s="96"/>
      <c r="AH377" s="72"/>
      <c r="AI377" s="72"/>
      <c r="AJ377" s="72"/>
      <c r="AK377" s="72"/>
      <c r="AL377" s="72"/>
      <c r="AM377" s="105"/>
      <c r="AN377" s="102"/>
      <c r="AO377" s="102"/>
      <c r="AP377" s="102"/>
      <c r="AQ377" s="102"/>
      <c r="AR377" s="97"/>
      <c r="AS377" s="97"/>
      <c r="AT377" s="72"/>
      <c r="AU377" s="96"/>
      <c r="AV377" s="96"/>
      <c r="AW377" s="96"/>
      <c r="AX377" s="96"/>
      <c r="BA377" s="72"/>
      <c r="BB377" s="72"/>
      <c r="BC377" s="72"/>
      <c r="BD377" s="72"/>
      <c r="BE377" s="72"/>
      <c r="BF377" s="105"/>
      <c r="BG377" s="102"/>
      <c r="BH377" s="102"/>
      <c r="BI377" s="102"/>
      <c r="BJ377" s="102"/>
      <c r="BK377" s="97"/>
      <c r="BL377" s="97"/>
      <c r="BM377" s="72"/>
      <c r="BN377" s="96"/>
      <c r="BO377" s="96"/>
      <c r="BP377" s="96"/>
      <c r="BQ377" s="96"/>
    </row>
    <row r="378" spans="18:70" ht="13.8" x14ac:dyDescent="0.25">
      <c r="R378" s="72"/>
      <c r="S378" s="72"/>
      <c r="T378" s="105"/>
      <c r="U378" s="102"/>
      <c r="V378" s="102"/>
      <c r="W378" s="102"/>
      <c r="X378" s="102"/>
      <c r="Y378" s="97"/>
      <c r="Z378" s="97"/>
      <c r="AA378" s="72"/>
      <c r="AB378" s="168"/>
      <c r="AC378" s="72"/>
      <c r="AD378" s="102"/>
      <c r="AE378" s="96"/>
      <c r="AH378" s="72"/>
      <c r="AI378" s="72"/>
      <c r="AJ378" s="72"/>
      <c r="AK378" s="72"/>
      <c r="AL378" s="72"/>
      <c r="AM378" s="72"/>
      <c r="AN378" s="102"/>
      <c r="AO378" s="102"/>
      <c r="AP378" s="102"/>
      <c r="AQ378" s="102"/>
      <c r="AR378" s="97"/>
      <c r="AS378" s="97"/>
      <c r="AT378" s="72"/>
      <c r="AU378" s="72"/>
      <c r="AV378" s="72"/>
      <c r="AW378" s="102"/>
      <c r="AX378" s="96"/>
      <c r="BA378" s="72"/>
      <c r="BB378" s="72"/>
      <c r="BC378" s="72"/>
      <c r="BD378" s="72"/>
      <c r="BE378" s="72"/>
      <c r="BF378" s="72"/>
      <c r="BG378" s="102"/>
      <c r="BH378" s="102"/>
      <c r="BI378" s="102"/>
      <c r="BJ378" s="102"/>
      <c r="BK378" s="97"/>
      <c r="BL378" s="97"/>
      <c r="BM378" s="72"/>
      <c r="BN378" s="72"/>
      <c r="BO378" s="72"/>
      <c r="BP378" s="102"/>
      <c r="BQ378" s="96"/>
    </row>
    <row r="379" spans="18:70" ht="13.8" x14ac:dyDescent="0.25">
      <c r="R379" s="72"/>
      <c r="S379" s="72"/>
      <c r="T379" s="105"/>
      <c r="U379" s="102"/>
      <c r="V379" s="102"/>
      <c r="W379" s="102"/>
      <c r="X379" s="102"/>
      <c r="Y379" s="97"/>
      <c r="Z379" s="97"/>
      <c r="AA379" s="72"/>
      <c r="AB379" s="168"/>
      <c r="AC379" s="72"/>
      <c r="AD379" s="102"/>
      <c r="AE379" s="96"/>
      <c r="AH379" s="72"/>
      <c r="AI379" s="72"/>
      <c r="AJ379" s="72"/>
      <c r="AK379" s="72"/>
      <c r="AL379" s="72"/>
      <c r="AM379" s="105"/>
      <c r="AN379" s="168"/>
      <c r="AO379" s="168"/>
      <c r="AP379" s="168"/>
      <c r="AQ379" s="168"/>
      <c r="AR379" s="97"/>
      <c r="AS379" s="102"/>
      <c r="AT379" s="72"/>
      <c r="AU379" s="72"/>
      <c r="AV379" s="72"/>
      <c r="AW379" s="102"/>
      <c r="AX379" s="96"/>
      <c r="BA379" s="72"/>
      <c r="BB379" s="72"/>
      <c r="BC379" s="72"/>
      <c r="BD379" s="72"/>
      <c r="BE379" s="72"/>
      <c r="BF379" s="105"/>
      <c r="BG379" s="168"/>
      <c r="BH379" s="168"/>
      <c r="BI379" s="168"/>
      <c r="BJ379" s="168"/>
      <c r="BK379" s="97"/>
      <c r="BL379" s="102"/>
      <c r="BM379" s="72"/>
      <c r="BN379" s="72"/>
      <c r="BO379" s="72"/>
      <c r="BP379" s="102"/>
      <c r="BQ379" s="96"/>
    </row>
    <row r="380" spans="18:70" ht="13.8" x14ac:dyDescent="0.25">
      <c r="R380" s="72"/>
      <c r="S380" s="72"/>
      <c r="T380" s="105"/>
      <c r="U380" s="102"/>
      <c r="V380" s="102"/>
      <c r="W380" s="102"/>
      <c r="X380" s="102"/>
      <c r="Y380" s="97"/>
      <c r="Z380" s="97"/>
      <c r="AA380" s="72"/>
      <c r="AB380" s="168"/>
      <c r="AC380" s="168"/>
      <c r="AD380" s="96"/>
      <c r="AE380" s="102"/>
      <c r="AF380" s="97"/>
      <c r="AH380" s="72"/>
      <c r="AI380" s="72"/>
      <c r="AJ380" s="72"/>
      <c r="AK380" s="72"/>
      <c r="AL380" s="72"/>
      <c r="AM380" s="105"/>
      <c r="AN380" s="168"/>
      <c r="AO380" s="96"/>
      <c r="AP380" s="168"/>
      <c r="AQ380" s="97"/>
      <c r="AR380" s="97"/>
      <c r="AS380" s="72"/>
      <c r="AT380" s="95"/>
      <c r="AU380" s="96"/>
      <c r="AV380" s="96"/>
      <c r="AW380" s="96"/>
      <c r="AX380" s="102"/>
      <c r="AY380" s="97"/>
      <c r="BA380" s="72"/>
      <c r="BB380" s="72"/>
      <c r="BC380" s="72"/>
      <c r="BD380" s="72"/>
      <c r="BE380" s="72"/>
      <c r="BF380" s="105"/>
      <c r="BG380" s="168"/>
      <c r="BH380" s="96"/>
      <c r="BI380" s="168"/>
      <c r="BJ380" s="97"/>
      <c r="BK380" s="97"/>
      <c r="BL380" s="72"/>
      <c r="BM380" s="95"/>
      <c r="BN380" s="96"/>
      <c r="BO380" s="96"/>
      <c r="BP380" s="96"/>
      <c r="BQ380" s="102"/>
      <c r="BR380" s="97"/>
    </row>
    <row r="381" spans="18:70" ht="13.8" x14ac:dyDescent="0.25">
      <c r="R381" s="72"/>
      <c r="S381" s="72"/>
      <c r="T381" s="105"/>
      <c r="U381" s="102"/>
      <c r="V381" s="102"/>
      <c r="W381" s="102"/>
      <c r="X381" s="102"/>
      <c r="Y381" s="97"/>
      <c r="Z381" s="97"/>
      <c r="AA381" s="72"/>
      <c r="AB381" s="72"/>
      <c r="AC381" s="168"/>
      <c r="AD381" s="96"/>
      <c r="AE381" s="96"/>
      <c r="AH381" s="72"/>
      <c r="AI381" s="72"/>
      <c r="AJ381" s="72"/>
      <c r="AK381" s="72"/>
      <c r="AL381" s="72"/>
      <c r="AM381" s="105"/>
      <c r="AN381" s="102"/>
      <c r="AO381" s="102"/>
      <c r="AP381" s="102"/>
      <c r="AQ381" s="102"/>
      <c r="AR381" s="97"/>
      <c r="AS381" s="97"/>
      <c r="AT381" s="72"/>
      <c r="AU381" s="96"/>
      <c r="AV381" s="96"/>
      <c r="AW381" s="96"/>
      <c r="AX381" s="96"/>
      <c r="BA381" s="72"/>
      <c r="BB381" s="72"/>
      <c r="BC381" s="72"/>
      <c r="BD381" s="72"/>
      <c r="BE381" s="72"/>
      <c r="BF381" s="105"/>
      <c r="BG381" s="102"/>
      <c r="BH381" s="102"/>
      <c r="BI381" s="102"/>
      <c r="BJ381" s="102"/>
      <c r="BK381" s="97"/>
      <c r="BL381" s="97"/>
      <c r="BM381" s="72"/>
      <c r="BN381" s="96"/>
      <c r="BO381" s="96"/>
      <c r="BP381" s="96"/>
      <c r="BQ381" s="96"/>
    </row>
    <row r="382" spans="18:70" ht="13.8" x14ac:dyDescent="0.25">
      <c r="R382" s="72"/>
      <c r="S382" s="72"/>
      <c r="T382" s="105"/>
      <c r="U382" s="102"/>
      <c r="V382" s="102"/>
      <c r="W382" s="102"/>
      <c r="X382" s="102"/>
      <c r="Y382" s="97"/>
      <c r="Z382" s="97"/>
      <c r="AA382" s="72"/>
      <c r="AB382" s="72"/>
      <c r="AC382" s="168"/>
      <c r="AD382" s="96"/>
      <c r="AE382" s="96"/>
      <c r="AH382" s="72"/>
      <c r="AI382" s="72"/>
      <c r="AJ382" s="72"/>
      <c r="AK382" s="72"/>
      <c r="AL382" s="72"/>
      <c r="AM382" s="72"/>
      <c r="AN382" s="102"/>
      <c r="AO382" s="102"/>
      <c r="AP382" s="102"/>
      <c r="AQ382" s="102"/>
      <c r="AR382" s="97"/>
      <c r="AS382" s="97"/>
      <c r="AT382" s="72"/>
      <c r="AU382" s="96"/>
      <c r="AV382" s="96"/>
      <c r="AW382" s="96"/>
      <c r="AX382" s="96"/>
      <c r="BA382" s="72"/>
      <c r="BB382" s="72"/>
      <c r="BC382" s="72"/>
      <c r="BD382" s="72"/>
      <c r="BE382" s="72"/>
      <c r="BF382" s="72"/>
      <c r="BG382" s="102"/>
      <c r="BH382" s="102"/>
      <c r="BI382" s="102"/>
      <c r="BJ382" s="102"/>
      <c r="BK382" s="97"/>
      <c r="BL382" s="97"/>
      <c r="BM382" s="72"/>
      <c r="BN382" s="96"/>
      <c r="BO382" s="96"/>
      <c r="BP382" s="96"/>
      <c r="BQ382" s="96"/>
    </row>
    <row r="383" spans="18:70" ht="13.8" x14ac:dyDescent="0.25">
      <c r="R383" s="72"/>
      <c r="S383" s="72"/>
      <c r="T383" s="105"/>
      <c r="U383" s="102"/>
      <c r="V383" s="102"/>
      <c r="W383" s="102"/>
      <c r="X383" s="102"/>
      <c r="Y383" s="97"/>
      <c r="Z383" s="97"/>
      <c r="AA383" s="72"/>
      <c r="AB383" s="168"/>
      <c r="AC383" s="168"/>
      <c r="AD383" s="96"/>
      <c r="AE383" s="96"/>
      <c r="AH383" s="72"/>
      <c r="AI383" s="72"/>
      <c r="AJ383" s="72"/>
      <c r="AK383" s="72"/>
      <c r="AL383" s="72"/>
      <c r="AM383" s="105"/>
      <c r="AN383" s="168"/>
      <c r="AO383" s="168"/>
      <c r="AP383" s="168"/>
      <c r="AQ383" s="168"/>
      <c r="AR383" s="97"/>
      <c r="AS383" s="97"/>
      <c r="AT383" s="72"/>
      <c r="AU383" s="96"/>
      <c r="AV383" s="96"/>
      <c r="AW383" s="96"/>
      <c r="AX383" s="96"/>
      <c r="BA383" s="72"/>
      <c r="BB383" s="72"/>
      <c r="BC383" s="72"/>
      <c r="BD383" s="72"/>
      <c r="BE383" s="72"/>
      <c r="BF383" s="105"/>
      <c r="BG383" s="168"/>
      <c r="BH383" s="168"/>
      <c r="BI383" s="168"/>
      <c r="BJ383" s="168"/>
      <c r="BK383" s="97"/>
      <c r="BL383" s="97"/>
      <c r="BM383" s="72"/>
      <c r="BN383" s="96"/>
      <c r="BO383" s="96"/>
      <c r="BP383" s="96"/>
      <c r="BQ383" s="96"/>
    </row>
    <row r="384" spans="18:70" ht="13.8" x14ac:dyDescent="0.25">
      <c r="R384" s="72"/>
      <c r="S384" s="72"/>
      <c r="T384" s="105"/>
      <c r="U384" s="102"/>
      <c r="V384" s="102"/>
      <c r="W384" s="102"/>
      <c r="X384" s="102"/>
      <c r="Y384" s="97"/>
      <c r="Z384" s="97"/>
      <c r="AA384" s="72"/>
      <c r="AB384" s="168"/>
      <c r="AC384" s="168"/>
      <c r="AD384" s="96"/>
      <c r="AE384" s="96"/>
      <c r="AH384" s="72"/>
      <c r="AI384" s="72"/>
      <c r="AJ384" s="72"/>
      <c r="AK384" s="72"/>
      <c r="AL384" s="72"/>
      <c r="AM384" s="105"/>
      <c r="AN384" s="102"/>
      <c r="AO384" s="102"/>
      <c r="AP384" s="102"/>
      <c r="AQ384" s="102"/>
      <c r="AR384" s="97"/>
      <c r="AS384" s="97"/>
      <c r="AT384" s="72"/>
      <c r="AU384" s="96"/>
      <c r="AV384" s="96"/>
      <c r="AW384" s="96"/>
      <c r="AX384" s="96"/>
      <c r="BA384" s="72"/>
      <c r="BB384" s="72"/>
      <c r="BC384" s="72"/>
      <c r="BD384" s="72"/>
      <c r="BE384" s="72"/>
      <c r="BF384" s="105"/>
      <c r="BG384" s="102"/>
      <c r="BH384" s="102"/>
      <c r="BI384" s="102"/>
      <c r="BJ384" s="102"/>
      <c r="BK384" s="97"/>
      <c r="BL384" s="97"/>
      <c r="BM384" s="72"/>
      <c r="BN384" s="96"/>
      <c r="BO384" s="96"/>
      <c r="BP384" s="96"/>
      <c r="BQ384" s="96"/>
    </row>
    <row r="385" spans="18:70" ht="13.8" x14ac:dyDescent="0.25">
      <c r="R385" s="72"/>
      <c r="S385" s="72"/>
      <c r="T385" s="105"/>
      <c r="U385" s="102"/>
      <c r="V385" s="102"/>
      <c r="W385" s="102"/>
      <c r="X385" s="102"/>
      <c r="Y385" s="97"/>
      <c r="Z385" s="97"/>
      <c r="AA385" s="72"/>
      <c r="AB385" s="168"/>
      <c r="AC385" s="168"/>
      <c r="AD385" s="96"/>
      <c r="AE385" s="96"/>
      <c r="AH385" s="72"/>
      <c r="AI385" s="72"/>
      <c r="AJ385" s="72"/>
      <c r="AK385" s="72"/>
      <c r="AL385" s="72"/>
      <c r="AM385" s="105"/>
      <c r="AN385" s="102"/>
      <c r="AO385" s="102"/>
      <c r="AP385" s="102"/>
      <c r="AQ385" s="102"/>
      <c r="AR385" s="97"/>
      <c r="AS385" s="97"/>
      <c r="AT385" s="72"/>
      <c r="AU385" s="96"/>
      <c r="AV385" s="96"/>
      <c r="AW385" s="96"/>
      <c r="AX385" s="96"/>
      <c r="BA385" s="72"/>
      <c r="BB385" s="72"/>
      <c r="BC385" s="72"/>
      <c r="BD385" s="72"/>
      <c r="BE385" s="72"/>
      <c r="BF385" s="105"/>
      <c r="BG385" s="102"/>
      <c r="BH385" s="102"/>
      <c r="BI385" s="102"/>
      <c r="BJ385" s="102"/>
      <c r="BK385" s="97"/>
      <c r="BL385" s="97"/>
      <c r="BM385" s="72"/>
      <c r="BN385" s="96"/>
      <c r="BO385" s="96"/>
      <c r="BP385" s="96"/>
      <c r="BQ385" s="96"/>
    </row>
    <row r="386" spans="18:70" ht="13.8" x14ac:dyDescent="0.25">
      <c r="R386" s="72"/>
      <c r="S386" s="72"/>
      <c r="T386" s="105"/>
      <c r="U386" s="102"/>
      <c r="V386" s="102"/>
      <c r="W386" s="102"/>
      <c r="X386" s="102"/>
      <c r="Y386" s="97"/>
      <c r="Z386" s="97"/>
      <c r="AA386" s="72"/>
      <c r="AB386" s="168"/>
      <c r="AC386" s="168"/>
      <c r="AD386" s="96"/>
      <c r="AE386" s="96"/>
      <c r="AH386" s="72"/>
      <c r="AI386" s="72"/>
      <c r="AJ386" s="72"/>
      <c r="AK386" s="72"/>
      <c r="AL386" s="72"/>
      <c r="AM386" s="105"/>
      <c r="AN386" s="102"/>
      <c r="AO386" s="102"/>
      <c r="AP386" s="102"/>
      <c r="AQ386" s="102"/>
      <c r="AR386" s="97"/>
      <c r="AS386" s="97"/>
      <c r="AT386" s="72"/>
      <c r="AU386" s="96"/>
      <c r="AV386" s="96"/>
      <c r="AW386" s="96"/>
      <c r="AX386" s="96"/>
      <c r="BA386" s="72"/>
      <c r="BB386" s="72"/>
      <c r="BC386" s="72"/>
      <c r="BD386" s="72"/>
      <c r="BE386" s="72"/>
      <c r="BF386" s="105"/>
      <c r="BG386" s="102"/>
      <c r="BH386" s="102"/>
      <c r="BI386" s="102"/>
      <c r="BJ386" s="102"/>
      <c r="BK386" s="97"/>
      <c r="BL386" s="97"/>
      <c r="BM386" s="72"/>
      <c r="BN386" s="96"/>
      <c r="BO386" s="96"/>
      <c r="BP386" s="96"/>
      <c r="BQ386" s="96"/>
    </row>
    <row r="387" spans="18:70" ht="13.8" x14ac:dyDescent="0.25">
      <c r="R387" s="72"/>
      <c r="S387" s="72"/>
      <c r="T387" s="72"/>
      <c r="U387" s="102"/>
      <c r="V387" s="102"/>
      <c r="W387" s="102"/>
      <c r="X387" s="102"/>
      <c r="Y387" s="97"/>
      <c r="Z387" s="97"/>
      <c r="AA387" s="72"/>
      <c r="AB387" s="168"/>
      <c r="AC387" s="168"/>
      <c r="AD387" s="96"/>
      <c r="AE387" s="96"/>
      <c r="AH387" s="72"/>
      <c r="AI387" s="72"/>
      <c r="AJ387" s="72"/>
      <c r="AK387" s="72"/>
      <c r="AL387" s="72"/>
      <c r="AM387" s="105"/>
      <c r="AN387" s="102"/>
      <c r="AO387" s="102"/>
      <c r="AP387" s="102"/>
      <c r="AQ387" s="102"/>
      <c r="AR387" s="97"/>
      <c r="AS387" s="97"/>
      <c r="AT387" s="72"/>
      <c r="AU387" s="96"/>
      <c r="AV387" s="96"/>
      <c r="AW387" s="96"/>
      <c r="AX387" s="96"/>
      <c r="BA387" s="72"/>
      <c r="BB387" s="72"/>
      <c r="BC387" s="72"/>
      <c r="BD387" s="72"/>
      <c r="BE387" s="72"/>
      <c r="BF387" s="105"/>
      <c r="BG387" s="102"/>
      <c r="BH387" s="102"/>
      <c r="BI387" s="102"/>
      <c r="BJ387" s="102"/>
      <c r="BK387" s="97"/>
      <c r="BL387" s="97"/>
      <c r="BM387" s="72"/>
      <c r="BN387" s="96"/>
      <c r="BO387" s="96"/>
      <c r="BP387" s="96"/>
      <c r="BQ387" s="96"/>
    </row>
    <row r="388" spans="18:70" ht="13.8" x14ac:dyDescent="0.25">
      <c r="R388" s="72"/>
      <c r="S388" s="72"/>
      <c r="T388" s="105"/>
      <c r="U388" s="168"/>
      <c r="V388" s="168"/>
      <c r="W388" s="168"/>
      <c r="X388" s="168"/>
      <c r="Y388" s="97"/>
      <c r="Z388" s="102"/>
      <c r="AA388" s="72"/>
      <c r="AB388" s="168"/>
      <c r="AC388" s="168"/>
      <c r="AD388" s="96"/>
      <c r="AE388" s="96"/>
      <c r="AH388" s="72"/>
      <c r="AI388" s="72"/>
      <c r="AJ388" s="72"/>
      <c r="AK388" s="72"/>
      <c r="AL388" s="72"/>
      <c r="AM388" s="105"/>
      <c r="AN388" s="102"/>
      <c r="AO388" s="102"/>
      <c r="AP388" s="102"/>
      <c r="AQ388" s="102"/>
      <c r="AR388" s="97"/>
      <c r="AS388" s="97"/>
      <c r="AT388" s="72"/>
      <c r="AU388" s="96"/>
      <c r="AV388" s="96"/>
      <c r="AW388" s="96"/>
      <c r="AX388" s="96"/>
      <c r="BA388" s="72"/>
      <c r="BB388" s="72"/>
      <c r="BC388" s="72"/>
      <c r="BD388" s="72"/>
      <c r="BE388" s="72"/>
      <c r="BF388" s="105"/>
      <c r="BG388" s="102"/>
      <c r="BH388" s="102"/>
      <c r="BI388" s="102"/>
      <c r="BJ388" s="102"/>
      <c r="BK388" s="97"/>
      <c r="BL388" s="97"/>
      <c r="BM388" s="72"/>
      <c r="BN388" s="96"/>
      <c r="BO388" s="96"/>
      <c r="BP388" s="96"/>
      <c r="BQ388" s="96"/>
    </row>
    <row r="389" spans="18:70" ht="13.8" x14ac:dyDescent="0.25">
      <c r="R389" s="72"/>
      <c r="S389" s="72"/>
      <c r="T389" s="105"/>
      <c r="U389" s="168"/>
      <c r="V389" s="96"/>
      <c r="W389" s="168"/>
      <c r="X389" s="97"/>
      <c r="Y389" s="97"/>
      <c r="Z389" s="72"/>
      <c r="AA389" s="95"/>
      <c r="AB389" s="168"/>
      <c r="AC389" s="168"/>
      <c r="AD389" s="96"/>
      <c r="AE389" s="96"/>
      <c r="AH389" s="72"/>
      <c r="AI389" s="72"/>
      <c r="AJ389" s="72"/>
      <c r="AK389" s="72"/>
      <c r="AL389" s="72"/>
      <c r="AM389" s="105"/>
      <c r="AN389" s="102"/>
      <c r="AO389" s="102"/>
      <c r="AP389" s="102"/>
      <c r="AQ389" s="102"/>
      <c r="AR389" s="97"/>
      <c r="AS389" s="97"/>
      <c r="AT389" s="72"/>
      <c r="AU389" s="96"/>
      <c r="AV389" s="96"/>
      <c r="AW389" s="96"/>
      <c r="AX389" s="96"/>
      <c r="BA389" s="72"/>
      <c r="BB389" s="72"/>
      <c r="BC389" s="72"/>
      <c r="BD389" s="72"/>
      <c r="BE389" s="72"/>
      <c r="BF389" s="105"/>
      <c r="BG389" s="102"/>
      <c r="BH389" s="102"/>
      <c r="BI389" s="102"/>
      <c r="BJ389" s="102"/>
      <c r="BK389" s="97"/>
      <c r="BL389" s="97"/>
      <c r="BM389" s="72"/>
      <c r="BN389" s="96"/>
      <c r="BO389" s="96"/>
      <c r="BP389" s="96"/>
      <c r="BQ389" s="96"/>
    </row>
    <row r="390" spans="18:70" ht="13.8" x14ac:dyDescent="0.25">
      <c r="R390" s="72"/>
      <c r="S390" s="72"/>
      <c r="T390" s="105"/>
      <c r="U390" s="102"/>
      <c r="V390" s="102"/>
      <c r="W390" s="102"/>
      <c r="X390" s="102"/>
      <c r="Y390" s="97"/>
      <c r="Z390" s="97"/>
      <c r="AA390" s="72"/>
      <c r="AB390" s="168"/>
      <c r="AC390" s="168"/>
      <c r="AD390" s="96"/>
      <c r="AE390" s="96"/>
      <c r="AH390" s="72"/>
      <c r="AI390" s="72"/>
      <c r="AJ390" s="72"/>
      <c r="AK390" s="72"/>
      <c r="AL390" s="72"/>
      <c r="AM390" s="105"/>
      <c r="AN390" s="102"/>
      <c r="AO390" s="102"/>
      <c r="AP390" s="102"/>
      <c r="AQ390" s="102"/>
      <c r="AR390" s="97"/>
      <c r="AS390" s="97"/>
      <c r="AT390" s="72"/>
      <c r="AU390" s="96"/>
      <c r="AV390" s="96"/>
      <c r="AW390" s="96"/>
      <c r="AX390" s="96"/>
      <c r="BA390" s="72"/>
      <c r="BB390" s="72"/>
      <c r="BC390" s="72"/>
      <c r="BD390" s="72"/>
      <c r="BE390" s="72"/>
      <c r="BF390" s="105"/>
      <c r="BG390" s="102"/>
      <c r="BH390" s="102"/>
      <c r="BI390" s="102"/>
      <c r="BJ390" s="102"/>
      <c r="BK390" s="97"/>
      <c r="BL390" s="97"/>
      <c r="BM390" s="72"/>
      <c r="BN390" s="96"/>
      <c r="BO390" s="96"/>
      <c r="BP390" s="96"/>
      <c r="BQ390" s="96"/>
    </row>
    <row r="391" spans="18:70" ht="13.8" x14ac:dyDescent="0.25">
      <c r="R391" s="72"/>
      <c r="S391" s="72"/>
      <c r="T391" s="72"/>
      <c r="U391" s="102"/>
      <c r="V391" s="102"/>
      <c r="W391" s="102"/>
      <c r="X391" s="102"/>
      <c r="Y391" s="97"/>
      <c r="Z391" s="97"/>
      <c r="AA391" s="72"/>
      <c r="AB391" s="168"/>
      <c r="AC391" s="168"/>
      <c r="AD391" s="96"/>
      <c r="AE391" s="96"/>
      <c r="AH391" s="72"/>
      <c r="AI391" s="72"/>
      <c r="AJ391" s="72"/>
      <c r="AK391" s="72"/>
      <c r="AL391" s="72"/>
      <c r="AM391" s="105"/>
      <c r="AN391" s="102"/>
      <c r="AO391" s="102"/>
      <c r="AP391" s="102"/>
      <c r="AQ391" s="102"/>
      <c r="AR391" s="97"/>
      <c r="AS391" s="97"/>
      <c r="AT391" s="72"/>
      <c r="AU391" s="96"/>
      <c r="AV391" s="96"/>
      <c r="AW391" s="96"/>
      <c r="AX391" s="96"/>
      <c r="BA391" s="72"/>
      <c r="BB391" s="72"/>
      <c r="BC391" s="72"/>
      <c r="BD391" s="72"/>
      <c r="BE391" s="72"/>
      <c r="BF391" s="105"/>
      <c r="BG391" s="102"/>
      <c r="BH391" s="102"/>
      <c r="BI391" s="102"/>
      <c r="BJ391" s="102"/>
      <c r="BK391" s="97"/>
      <c r="BL391" s="97"/>
      <c r="BM391" s="72"/>
      <c r="BN391" s="96"/>
      <c r="BO391" s="96"/>
      <c r="BP391" s="96"/>
      <c r="BQ391" s="96"/>
    </row>
    <row r="392" spans="18:70" ht="13.8" x14ac:dyDescent="0.25">
      <c r="R392" s="72"/>
      <c r="S392" s="72"/>
      <c r="T392" s="105"/>
      <c r="U392" s="168"/>
      <c r="V392" s="168"/>
      <c r="W392" s="168"/>
      <c r="X392" s="168"/>
      <c r="Y392" s="97"/>
      <c r="Z392" s="97"/>
      <c r="AA392" s="72"/>
      <c r="AB392" s="168"/>
      <c r="AC392" s="168"/>
      <c r="AD392" s="96"/>
      <c r="AE392" s="96"/>
      <c r="AH392" s="72"/>
      <c r="AI392" s="72"/>
      <c r="AJ392" s="72"/>
      <c r="AK392" s="72"/>
      <c r="AL392" s="72"/>
      <c r="AM392" s="105"/>
      <c r="AN392" s="102"/>
      <c r="AO392" s="102"/>
      <c r="AP392" s="102"/>
      <c r="AQ392" s="102"/>
      <c r="AR392" s="97"/>
      <c r="AS392" s="97"/>
      <c r="AT392" s="72"/>
      <c r="AU392" s="96"/>
      <c r="AV392" s="96"/>
      <c r="AW392" s="96"/>
      <c r="AX392" s="96"/>
      <c r="BA392" s="72"/>
      <c r="BB392" s="72"/>
      <c r="BC392" s="72"/>
      <c r="BD392" s="72"/>
      <c r="BE392" s="72"/>
      <c r="BF392" s="105"/>
      <c r="BG392" s="102"/>
      <c r="BH392" s="102"/>
      <c r="BI392" s="102"/>
      <c r="BJ392" s="102"/>
      <c r="BK392" s="97"/>
      <c r="BL392" s="97"/>
      <c r="BM392" s="72"/>
      <c r="BN392" s="96"/>
      <c r="BO392" s="96"/>
      <c r="BP392" s="96"/>
      <c r="BQ392" s="96"/>
    </row>
    <row r="393" spans="18:70" ht="13.8" x14ac:dyDescent="0.25">
      <c r="R393" s="72"/>
      <c r="S393" s="72"/>
      <c r="T393" s="105"/>
      <c r="U393" s="102"/>
      <c r="V393" s="102"/>
      <c r="W393" s="102"/>
      <c r="X393" s="102"/>
      <c r="Y393" s="97"/>
      <c r="Z393" s="97"/>
      <c r="AA393" s="72"/>
      <c r="AB393" s="168"/>
      <c r="AC393" s="168"/>
      <c r="AD393" s="96"/>
      <c r="AE393" s="96"/>
      <c r="AH393" s="72"/>
      <c r="AI393" s="72"/>
      <c r="AJ393" s="72"/>
      <c r="AK393" s="72"/>
      <c r="AL393" s="72"/>
      <c r="AM393" s="105"/>
      <c r="AN393" s="102"/>
      <c r="AO393" s="102"/>
      <c r="AP393" s="102"/>
      <c r="AQ393" s="102"/>
      <c r="AR393" s="97"/>
      <c r="AS393" s="97"/>
      <c r="AT393" s="72"/>
      <c r="AU393" s="96"/>
      <c r="AV393" s="96"/>
      <c r="AW393" s="96"/>
      <c r="AX393" s="96"/>
      <c r="BA393" s="72"/>
      <c r="BB393" s="72"/>
      <c r="BC393" s="72"/>
      <c r="BD393" s="72"/>
      <c r="BE393" s="72"/>
      <c r="BF393" s="105"/>
      <c r="BG393" s="102"/>
      <c r="BH393" s="102"/>
      <c r="BI393" s="102"/>
      <c r="BJ393" s="102"/>
      <c r="BK393" s="97"/>
      <c r="BL393" s="97"/>
      <c r="BM393" s="72"/>
      <c r="BN393" s="96"/>
      <c r="BO393" s="96"/>
      <c r="BP393" s="96"/>
      <c r="BQ393" s="96"/>
    </row>
    <row r="394" spans="18:70" ht="13.8" x14ac:dyDescent="0.25">
      <c r="R394" s="72"/>
      <c r="S394" s="72"/>
      <c r="T394" s="105"/>
      <c r="U394" s="102"/>
      <c r="V394" s="102"/>
      <c r="W394" s="102"/>
      <c r="X394" s="102"/>
      <c r="Y394" s="97"/>
      <c r="Z394" s="97"/>
      <c r="AA394" s="72"/>
      <c r="AB394" s="168"/>
      <c r="AC394" s="168"/>
      <c r="AD394" s="96"/>
      <c r="AE394" s="96"/>
      <c r="AH394" s="72"/>
      <c r="AI394" s="72"/>
      <c r="AJ394" s="72"/>
      <c r="AK394" s="72"/>
      <c r="AL394" s="72"/>
      <c r="AM394" s="105"/>
      <c r="AN394" s="102"/>
      <c r="AO394" s="102"/>
      <c r="AP394" s="102"/>
      <c r="AQ394" s="102"/>
      <c r="AR394" s="97"/>
      <c r="AS394" s="97"/>
      <c r="AT394" s="72"/>
      <c r="AU394" s="96"/>
      <c r="AV394" s="96"/>
      <c r="AW394" s="96"/>
      <c r="AX394" s="96"/>
      <c r="BA394" s="72"/>
      <c r="BB394" s="72"/>
      <c r="BC394" s="72"/>
      <c r="BD394" s="72"/>
      <c r="BE394" s="72"/>
      <c r="BF394" s="105"/>
      <c r="BG394" s="102"/>
      <c r="BH394" s="102"/>
      <c r="BI394" s="102"/>
      <c r="BJ394" s="102"/>
      <c r="BK394" s="97"/>
      <c r="BL394" s="97"/>
      <c r="BM394" s="72"/>
      <c r="BN394" s="96"/>
      <c r="BO394" s="96"/>
      <c r="BP394" s="96"/>
      <c r="BQ394" s="96"/>
    </row>
    <row r="395" spans="18:70" ht="13.8" x14ac:dyDescent="0.25">
      <c r="R395" s="72"/>
      <c r="S395" s="72"/>
      <c r="T395" s="105"/>
      <c r="U395" s="102"/>
      <c r="V395" s="102"/>
      <c r="W395" s="102"/>
      <c r="X395" s="102"/>
      <c r="Y395" s="97"/>
      <c r="Z395" s="97"/>
      <c r="AA395" s="72"/>
      <c r="AB395" s="168"/>
      <c r="AC395" s="168"/>
      <c r="AD395" s="96"/>
      <c r="AE395" s="96"/>
      <c r="AH395" s="72"/>
      <c r="AI395" s="72"/>
      <c r="AJ395" s="72"/>
      <c r="AK395" s="72"/>
      <c r="AL395" s="72"/>
      <c r="AM395" s="105"/>
      <c r="AN395" s="102"/>
      <c r="AO395" s="102"/>
      <c r="AP395" s="102"/>
      <c r="AQ395" s="102"/>
      <c r="AR395" s="97"/>
      <c r="AS395" s="97"/>
      <c r="AT395" s="72"/>
      <c r="AU395" s="96"/>
      <c r="AV395" s="96"/>
      <c r="AW395" s="96"/>
      <c r="AX395" s="96"/>
      <c r="BA395" s="72"/>
      <c r="BB395" s="72"/>
      <c r="BC395" s="72"/>
      <c r="BD395" s="72"/>
      <c r="BE395" s="72"/>
      <c r="BF395" s="105"/>
      <c r="BG395" s="102"/>
      <c r="BH395" s="102"/>
      <c r="BI395" s="102"/>
      <c r="BJ395" s="102"/>
      <c r="BK395" s="97"/>
      <c r="BL395" s="97"/>
      <c r="BM395" s="72"/>
      <c r="BN395" s="96"/>
      <c r="BO395" s="96"/>
      <c r="BP395" s="96"/>
      <c r="BQ395" s="96"/>
    </row>
    <row r="396" spans="18:70" ht="13.8" x14ac:dyDescent="0.25">
      <c r="R396" s="72"/>
      <c r="S396" s="72"/>
      <c r="T396" s="105"/>
      <c r="U396" s="102"/>
      <c r="V396" s="102"/>
      <c r="W396" s="102"/>
      <c r="X396" s="102"/>
      <c r="Y396" s="97"/>
      <c r="Z396" s="97"/>
      <c r="AA396" s="72"/>
      <c r="AB396" s="168"/>
      <c r="AC396" s="168"/>
      <c r="AD396" s="96"/>
      <c r="AE396" s="96"/>
      <c r="AH396" s="72"/>
      <c r="AI396" s="72"/>
      <c r="AJ396" s="72"/>
      <c r="AK396" s="72"/>
      <c r="AL396" s="72"/>
      <c r="AM396" s="105"/>
      <c r="AN396" s="102"/>
      <c r="AO396" s="102"/>
      <c r="AP396" s="102"/>
      <c r="AQ396" s="102"/>
      <c r="AR396" s="97"/>
      <c r="AS396" s="97"/>
      <c r="AT396" s="72"/>
      <c r="AU396" s="96"/>
      <c r="AV396" s="96"/>
      <c r="AW396" s="96"/>
      <c r="AX396" s="96"/>
      <c r="BA396" s="72"/>
      <c r="BB396" s="72"/>
      <c r="BC396" s="72"/>
      <c r="BD396" s="72"/>
      <c r="BE396" s="72"/>
      <c r="BF396" s="105"/>
      <c r="BG396" s="102"/>
      <c r="BH396" s="102"/>
      <c r="BI396" s="102"/>
      <c r="BJ396" s="102"/>
      <c r="BK396" s="97"/>
      <c r="BL396" s="97"/>
      <c r="BM396" s="72"/>
      <c r="BN396" s="96"/>
      <c r="BO396" s="96"/>
      <c r="BP396" s="96"/>
      <c r="BQ396" s="96"/>
    </row>
    <row r="397" spans="18:70" ht="13.8" x14ac:dyDescent="0.25">
      <c r="R397" s="72"/>
      <c r="S397" s="72"/>
      <c r="T397" s="105"/>
      <c r="U397" s="102"/>
      <c r="V397" s="102"/>
      <c r="W397" s="102"/>
      <c r="X397" s="102"/>
      <c r="Y397" s="97"/>
      <c r="Z397" s="97"/>
      <c r="AA397" s="72"/>
      <c r="AB397" s="168"/>
      <c r="AC397" s="168"/>
      <c r="AD397" s="96"/>
      <c r="AE397" s="96"/>
      <c r="AH397" s="72"/>
      <c r="AI397" s="72"/>
      <c r="AJ397" s="72"/>
      <c r="AK397" s="72"/>
      <c r="AL397" s="72"/>
      <c r="AM397" s="105"/>
      <c r="AN397" s="102"/>
      <c r="AO397" s="102"/>
      <c r="AP397" s="102"/>
      <c r="AQ397" s="102"/>
      <c r="AR397" s="97"/>
      <c r="AS397" s="97"/>
      <c r="AT397" s="72"/>
      <c r="AU397" s="96"/>
      <c r="AV397" s="96"/>
      <c r="AW397" s="96"/>
      <c r="AX397" s="96"/>
      <c r="BA397" s="72"/>
      <c r="BB397" s="72"/>
      <c r="BC397" s="72"/>
      <c r="BD397" s="72"/>
      <c r="BE397" s="72"/>
      <c r="BF397" s="105"/>
      <c r="BG397" s="102"/>
      <c r="BH397" s="102"/>
      <c r="BI397" s="102"/>
      <c r="BJ397" s="102"/>
      <c r="BK397" s="97"/>
      <c r="BL397" s="97"/>
      <c r="BM397" s="72"/>
      <c r="BN397" s="96"/>
      <c r="BO397" s="96"/>
      <c r="BP397" s="96"/>
      <c r="BQ397" s="96"/>
    </row>
    <row r="398" spans="18:70" ht="13.8" x14ac:dyDescent="0.25">
      <c r="R398" s="72"/>
      <c r="S398" s="72"/>
      <c r="T398" s="105"/>
      <c r="U398" s="102"/>
      <c r="V398" s="102"/>
      <c r="W398" s="102"/>
      <c r="X398" s="102"/>
      <c r="Y398" s="97"/>
      <c r="Z398" s="97"/>
      <c r="AA398" s="72"/>
      <c r="AB398" s="168"/>
      <c r="AC398" s="96"/>
      <c r="AD398" s="102"/>
      <c r="AE398" s="96"/>
      <c r="AH398" s="72"/>
      <c r="AI398" s="72"/>
      <c r="AJ398" s="72"/>
      <c r="AK398" s="72"/>
      <c r="AL398" s="72"/>
      <c r="AM398" s="72"/>
      <c r="AN398" s="102"/>
      <c r="AO398" s="102"/>
      <c r="AP398" s="102"/>
      <c r="AQ398" s="102"/>
      <c r="AR398" s="97"/>
      <c r="AS398" s="97"/>
      <c r="AT398" s="72"/>
      <c r="AU398" s="102"/>
      <c r="AV398" s="96"/>
      <c r="AW398" s="102"/>
      <c r="AX398" s="96"/>
      <c r="BA398" s="72"/>
      <c r="BB398" s="72"/>
      <c r="BC398" s="72"/>
      <c r="BD398" s="72"/>
      <c r="BE398" s="72"/>
      <c r="BF398" s="72"/>
      <c r="BG398" s="102"/>
      <c r="BH398" s="102"/>
      <c r="BI398" s="102"/>
      <c r="BJ398" s="102"/>
      <c r="BK398" s="97"/>
      <c r="BL398" s="97"/>
      <c r="BM398" s="72"/>
      <c r="BN398" s="102"/>
      <c r="BO398" s="96"/>
      <c r="BP398" s="102"/>
      <c r="BQ398" s="96"/>
    </row>
    <row r="399" spans="18:70" ht="13.8" x14ac:dyDescent="0.25">
      <c r="R399" s="72"/>
      <c r="S399" s="72"/>
      <c r="T399" s="105"/>
      <c r="U399" s="102"/>
      <c r="V399" s="102"/>
      <c r="W399" s="102"/>
      <c r="X399" s="102"/>
      <c r="Y399" s="97"/>
      <c r="Z399" s="97"/>
      <c r="AA399" s="72"/>
      <c r="AB399" s="168"/>
      <c r="AC399" s="96"/>
      <c r="AD399" s="102"/>
      <c r="AE399" s="96"/>
      <c r="AH399" s="72"/>
      <c r="AI399" s="72"/>
      <c r="AJ399" s="72"/>
      <c r="AK399" s="72"/>
      <c r="AL399" s="72"/>
      <c r="AM399" s="105"/>
      <c r="AN399" s="168"/>
      <c r="AO399" s="168"/>
      <c r="AP399" s="168"/>
      <c r="AQ399" s="168"/>
      <c r="AR399" s="97"/>
      <c r="AS399" s="102"/>
      <c r="AT399" s="72"/>
      <c r="AU399" s="102"/>
      <c r="AV399" s="96"/>
      <c r="AW399" s="102"/>
      <c r="AX399" s="96"/>
      <c r="BA399" s="72"/>
      <c r="BB399" s="72"/>
      <c r="BC399" s="72"/>
      <c r="BD399" s="72"/>
      <c r="BE399" s="72"/>
      <c r="BF399" s="105"/>
      <c r="BG399" s="168"/>
      <c r="BH399" s="168"/>
      <c r="BI399" s="168"/>
      <c r="BJ399" s="168"/>
      <c r="BK399" s="97"/>
      <c r="BL399" s="102"/>
      <c r="BM399" s="72"/>
      <c r="BN399" s="102"/>
      <c r="BO399" s="96"/>
      <c r="BP399" s="102"/>
      <c r="BQ399" s="96"/>
    </row>
    <row r="400" spans="18:70" ht="13.8" x14ac:dyDescent="0.25">
      <c r="R400" s="72"/>
      <c r="S400" s="72"/>
      <c r="T400" s="105"/>
      <c r="U400" s="102"/>
      <c r="V400" s="102"/>
      <c r="W400" s="102"/>
      <c r="X400" s="102"/>
      <c r="Y400" s="97"/>
      <c r="Z400" s="97"/>
      <c r="AA400" s="72"/>
      <c r="AB400" s="168"/>
      <c r="AC400" s="168"/>
      <c r="AD400" s="96"/>
      <c r="AE400" s="102"/>
      <c r="AF400" s="97"/>
      <c r="AH400" s="72"/>
      <c r="AI400" s="72"/>
      <c r="AJ400" s="72"/>
      <c r="AK400" s="72"/>
      <c r="AL400" s="72"/>
      <c r="AM400" s="105"/>
      <c r="AN400" s="168"/>
      <c r="AO400" s="96"/>
      <c r="AP400" s="168"/>
      <c r="AQ400" s="97"/>
      <c r="AR400" s="97"/>
      <c r="AS400" s="72"/>
      <c r="AT400" s="95"/>
      <c r="AU400" s="96"/>
      <c r="AV400" s="96"/>
      <c r="AW400" s="96"/>
      <c r="AX400" s="102"/>
      <c r="AY400" s="97"/>
      <c r="BA400" s="72"/>
      <c r="BB400" s="72"/>
      <c r="BC400" s="72"/>
      <c r="BD400" s="72"/>
      <c r="BE400" s="72"/>
      <c r="BF400" s="105"/>
      <c r="BG400" s="168"/>
      <c r="BH400" s="96"/>
      <c r="BI400" s="168"/>
      <c r="BJ400" s="97"/>
      <c r="BK400" s="97"/>
      <c r="BL400" s="72"/>
      <c r="BM400" s="95"/>
      <c r="BN400" s="96"/>
      <c r="BO400" s="96"/>
      <c r="BP400" s="96"/>
      <c r="BQ400" s="102"/>
      <c r="BR400" s="97"/>
    </row>
    <row r="401" spans="18:69" ht="13.8" x14ac:dyDescent="0.25">
      <c r="R401" s="72"/>
      <c r="S401" s="72"/>
      <c r="T401" s="105"/>
      <c r="U401" s="102"/>
      <c r="V401" s="102"/>
      <c r="W401" s="102"/>
      <c r="X401" s="102"/>
      <c r="Y401" s="97"/>
      <c r="Z401" s="97"/>
      <c r="AA401" s="72"/>
      <c r="AB401" s="102"/>
      <c r="AC401" s="168"/>
      <c r="AD401" s="96"/>
      <c r="AE401" s="96"/>
      <c r="AH401" s="72"/>
      <c r="AI401" s="72"/>
      <c r="AJ401" s="72"/>
      <c r="AK401" s="72"/>
      <c r="AL401" s="72"/>
      <c r="AM401" s="105"/>
      <c r="AN401" s="102"/>
      <c r="AO401" s="102"/>
      <c r="AP401" s="102"/>
      <c r="AQ401" s="102"/>
      <c r="AR401" s="97"/>
      <c r="AS401" s="97"/>
      <c r="AT401" s="72"/>
      <c r="AU401" s="96"/>
      <c r="AV401" s="96"/>
      <c r="AW401" s="96"/>
      <c r="AX401" s="96"/>
      <c r="BA401" s="72"/>
      <c r="BB401" s="72"/>
      <c r="BC401" s="72"/>
      <c r="BD401" s="72"/>
      <c r="BE401" s="72"/>
      <c r="BF401" s="105"/>
      <c r="BG401" s="102"/>
      <c r="BH401" s="102"/>
      <c r="BI401" s="102"/>
      <c r="BJ401" s="102"/>
      <c r="BK401" s="97"/>
      <c r="BL401" s="97"/>
      <c r="BM401" s="72"/>
      <c r="BN401" s="96"/>
      <c r="BO401" s="96"/>
      <c r="BP401" s="96"/>
      <c r="BQ401" s="96"/>
    </row>
    <row r="402" spans="18:69" ht="13.8" x14ac:dyDescent="0.25">
      <c r="R402" s="72"/>
      <c r="S402" s="72"/>
      <c r="T402" s="105"/>
      <c r="U402" s="102"/>
      <c r="V402" s="102"/>
      <c r="W402" s="102"/>
      <c r="X402" s="102"/>
      <c r="Y402" s="97"/>
      <c r="Z402" s="97"/>
      <c r="AA402" s="72"/>
      <c r="AB402" s="102"/>
      <c r="AC402" s="168"/>
      <c r="AD402" s="96"/>
      <c r="AE402" s="96"/>
      <c r="AH402" s="72"/>
      <c r="AI402" s="72"/>
      <c r="AJ402" s="72"/>
      <c r="AK402" s="72"/>
      <c r="AL402" s="72"/>
      <c r="AM402" s="72"/>
      <c r="AN402" s="102"/>
      <c r="AO402" s="102"/>
      <c r="AP402" s="102"/>
      <c r="AQ402" s="102"/>
      <c r="AR402" s="97"/>
      <c r="AS402" s="97"/>
      <c r="AT402" s="72"/>
      <c r="AU402" s="96"/>
      <c r="AV402" s="96"/>
      <c r="AW402" s="96"/>
      <c r="AX402" s="96"/>
      <c r="BA402" s="72"/>
      <c r="BB402" s="72"/>
      <c r="BC402" s="72"/>
      <c r="BD402" s="72"/>
      <c r="BE402" s="72"/>
      <c r="BF402" s="72"/>
      <c r="BG402" s="102"/>
      <c r="BH402" s="102"/>
      <c r="BI402" s="102"/>
      <c r="BJ402" s="102"/>
      <c r="BK402" s="97"/>
      <c r="BL402" s="97"/>
      <c r="BM402" s="72"/>
      <c r="BN402" s="96"/>
      <c r="BO402" s="96"/>
      <c r="BP402" s="96"/>
      <c r="BQ402" s="96"/>
    </row>
    <row r="403" spans="18:69" ht="13.8" x14ac:dyDescent="0.25">
      <c r="R403" s="72"/>
      <c r="S403" s="72"/>
      <c r="T403" s="105"/>
      <c r="U403" s="102"/>
      <c r="V403" s="102"/>
      <c r="W403" s="102"/>
      <c r="X403" s="102"/>
      <c r="Y403" s="97"/>
      <c r="Z403" s="97"/>
      <c r="AA403" s="72"/>
      <c r="AB403" s="168"/>
      <c r="AC403" s="168"/>
      <c r="AD403" s="96"/>
      <c r="AE403" s="96"/>
      <c r="AH403" s="72"/>
      <c r="AI403" s="72"/>
      <c r="AJ403" s="72"/>
      <c r="AK403" s="72"/>
      <c r="AL403" s="72"/>
      <c r="AM403" s="105"/>
      <c r="AN403" s="168"/>
      <c r="AO403" s="168"/>
      <c r="AP403" s="168"/>
      <c r="AQ403" s="168"/>
      <c r="AR403" s="97"/>
      <c r="AS403" s="97"/>
      <c r="AT403" s="72"/>
      <c r="AU403" s="96"/>
      <c r="AV403" s="96"/>
      <c r="AW403" s="96"/>
      <c r="AX403" s="96"/>
      <c r="BA403" s="72"/>
      <c r="BB403" s="72"/>
      <c r="BC403" s="72"/>
      <c r="BD403" s="72"/>
      <c r="BE403" s="72"/>
      <c r="BF403" s="105"/>
      <c r="BG403" s="168"/>
      <c r="BH403" s="168"/>
      <c r="BI403" s="168"/>
      <c r="BJ403" s="168"/>
      <c r="BK403" s="97"/>
      <c r="BL403" s="97"/>
      <c r="BM403" s="72"/>
      <c r="BN403" s="96"/>
      <c r="BO403" s="96"/>
      <c r="BP403" s="96"/>
      <c r="BQ403" s="96"/>
    </row>
    <row r="404" spans="18:69" ht="13.8" x14ac:dyDescent="0.25">
      <c r="R404" s="72"/>
      <c r="S404" s="72"/>
      <c r="T404" s="105"/>
      <c r="U404" s="102"/>
      <c r="V404" s="102"/>
      <c r="W404" s="102"/>
      <c r="X404" s="102"/>
      <c r="Y404" s="97"/>
      <c r="Z404" s="97"/>
      <c r="AA404" s="72"/>
      <c r="AB404" s="168"/>
      <c r="AC404" s="168"/>
      <c r="AD404" s="96"/>
      <c r="AE404" s="96"/>
      <c r="AH404" s="72"/>
      <c r="AI404" s="72"/>
      <c r="AJ404" s="72"/>
      <c r="AK404" s="72"/>
      <c r="AL404" s="72"/>
      <c r="AM404" s="105"/>
      <c r="AN404" s="102"/>
      <c r="AO404" s="102"/>
      <c r="AP404" s="102"/>
      <c r="AQ404" s="102"/>
      <c r="AR404" s="97"/>
      <c r="AS404" s="97"/>
      <c r="AT404" s="72"/>
      <c r="AU404" s="96"/>
      <c r="AV404" s="96"/>
      <c r="AW404" s="96"/>
      <c r="AX404" s="96"/>
      <c r="BA404" s="72"/>
      <c r="BB404" s="72"/>
      <c r="BC404" s="72"/>
      <c r="BD404" s="72"/>
      <c r="BE404" s="72"/>
      <c r="BF404" s="105"/>
      <c r="BG404" s="102"/>
      <c r="BH404" s="102"/>
      <c r="BI404" s="102"/>
      <c r="BJ404" s="102"/>
      <c r="BK404" s="97"/>
      <c r="BL404" s="97"/>
      <c r="BM404" s="72"/>
      <c r="BN404" s="96"/>
      <c r="BO404" s="96"/>
      <c r="BP404" s="96"/>
      <c r="BQ404" s="96"/>
    </row>
    <row r="405" spans="18:69" ht="13.8" x14ac:dyDescent="0.25">
      <c r="R405" s="72"/>
      <c r="S405" s="72"/>
      <c r="T405" s="105"/>
      <c r="U405" s="102"/>
      <c r="V405" s="102"/>
      <c r="W405" s="102"/>
      <c r="X405" s="102"/>
      <c r="Y405" s="97"/>
      <c r="Z405" s="97"/>
      <c r="AA405" s="72"/>
      <c r="AB405" s="168"/>
      <c r="AC405" s="168"/>
      <c r="AD405" s="96"/>
      <c r="AE405" s="96"/>
      <c r="AH405" s="72"/>
      <c r="AI405" s="72"/>
      <c r="AJ405" s="72"/>
      <c r="AK405" s="72"/>
      <c r="AL405" s="72"/>
      <c r="AM405" s="105"/>
      <c r="AN405" s="102"/>
      <c r="AO405" s="102"/>
      <c r="AP405" s="102"/>
      <c r="AQ405" s="102"/>
      <c r="AR405" s="97"/>
      <c r="AS405" s="97"/>
      <c r="AT405" s="72"/>
      <c r="AU405" s="96"/>
      <c r="AV405" s="96"/>
      <c r="AW405" s="96"/>
      <c r="AX405" s="96"/>
      <c r="BA405" s="72"/>
      <c r="BB405" s="72"/>
      <c r="BC405" s="72"/>
      <c r="BD405" s="72"/>
      <c r="BE405" s="72"/>
      <c r="BF405" s="105"/>
      <c r="BG405" s="102"/>
      <c r="BH405" s="102"/>
      <c r="BI405" s="102"/>
      <c r="BJ405" s="102"/>
      <c r="BK405" s="97"/>
      <c r="BL405" s="97"/>
      <c r="BM405" s="72"/>
      <c r="BN405" s="96"/>
      <c r="BO405" s="96"/>
      <c r="BP405" s="96"/>
      <c r="BQ405" s="96"/>
    </row>
    <row r="406" spans="18:69" ht="13.8" x14ac:dyDescent="0.25">
      <c r="R406" s="72"/>
      <c r="S406" s="72"/>
      <c r="T406" s="105"/>
      <c r="U406" s="102"/>
      <c r="V406" s="102"/>
      <c r="W406" s="102"/>
      <c r="X406" s="102"/>
      <c r="Y406" s="97"/>
      <c r="Z406" s="97"/>
      <c r="AA406" s="72"/>
      <c r="AB406" s="168"/>
      <c r="AC406" s="168"/>
      <c r="AD406" s="96"/>
      <c r="AE406" s="96"/>
      <c r="AH406" s="72"/>
      <c r="AI406" s="72"/>
      <c r="AJ406" s="72"/>
      <c r="AK406" s="72"/>
      <c r="AL406" s="72"/>
      <c r="AM406" s="105"/>
      <c r="AN406" s="102"/>
      <c r="AO406" s="102"/>
      <c r="AP406" s="102"/>
      <c r="AQ406" s="102"/>
      <c r="AR406" s="97"/>
      <c r="AS406" s="97"/>
      <c r="AT406" s="72"/>
      <c r="AU406" s="96"/>
      <c r="AV406" s="96"/>
      <c r="AW406" s="96"/>
      <c r="AX406" s="96"/>
      <c r="BA406" s="72"/>
      <c r="BB406" s="72"/>
      <c r="BC406" s="72"/>
      <c r="BD406" s="72"/>
      <c r="BE406" s="72"/>
      <c r="BF406" s="105"/>
      <c r="BG406" s="102"/>
      <c r="BH406" s="102"/>
      <c r="BI406" s="102"/>
      <c r="BJ406" s="102"/>
      <c r="BK406" s="97"/>
      <c r="BL406" s="97"/>
      <c r="BM406" s="72"/>
      <c r="BN406" s="96"/>
      <c r="BO406" s="96"/>
      <c r="BP406" s="96"/>
      <c r="BQ406" s="96"/>
    </row>
    <row r="407" spans="18:69" ht="13.8" x14ac:dyDescent="0.25">
      <c r="R407" s="72"/>
      <c r="S407" s="72"/>
      <c r="T407" s="72"/>
      <c r="U407" s="102"/>
      <c r="V407" s="102"/>
      <c r="W407" s="102"/>
      <c r="X407" s="102"/>
      <c r="Y407" s="97"/>
      <c r="Z407" s="97"/>
      <c r="AA407" s="72"/>
      <c r="AB407" s="168"/>
      <c r="AC407" s="168"/>
      <c r="AD407" s="96"/>
      <c r="AE407" s="96"/>
      <c r="AH407" s="72"/>
      <c r="AI407" s="72"/>
      <c r="AJ407" s="72"/>
      <c r="AK407" s="72"/>
      <c r="AL407" s="72"/>
      <c r="AM407" s="105"/>
      <c r="AN407" s="102"/>
      <c r="AO407" s="102"/>
      <c r="AP407" s="102"/>
      <c r="AQ407" s="102"/>
      <c r="AR407" s="97"/>
      <c r="AS407" s="97"/>
      <c r="AT407" s="72"/>
      <c r="AU407" s="96"/>
      <c r="AV407" s="96"/>
      <c r="AW407" s="96"/>
      <c r="AX407" s="96"/>
      <c r="BA407" s="72"/>
      <c r="BB407" s="72"/>
      <c r="BC407" s="72"/>
      <c r="BD407" s="72"/>
      <c r="BE407" s="72"/>
      <c r="BF407" s="105"/>
      <c r="BG407" s="102"/>
      <c r="BH407" s="102"/>
      <c r="BI407" s="102"/>
      <c r="BJ407" s="102"/>
      <c r="BK407" s="97"/>
      <c r="BL407" s="97"/>
      <c r="BM407" s="72"/>
      <c r="BN407" s="96"/>
      <c r="BO407" s="96"/>
      <c r="BP407" s="96"/>
      <c r="BQ407" s="96"/>
    </row>
    <row r="408" spans="18:69" ht="13.8" x14ac:dyDescent="0.25">
      <c r="R408" s="72"/>
      <c r="S408" s="72"/>
      <c r="T408" s="105"/>
      <c r="U408" s="168"/>
      <c r="V408" s="168"/>
      <c r="W408" s="168"/>
      <c r="X408" s="168"/>
      <c r="Y408" s="97"/>
      <c r="Z408" s="102"/>
      <c r="AA408" s="72"/>
      <c r="AB408" s="168"/>
      <c r="AC408" s="168"/>
      <c r="AD408" s="96"/>
      <c r="AE408" s="96"/>
      <c r="AH408" s="72"/>
      <c r="AI408" s="72"/>
      <c r="AJ408" s="72"/>
      <c r="AK408" s="72"/>
      <c r="AL408" s="72"/>
      <c r="AM408" s="105"/>
      <c r="AN408" s="102"/>
      <c r="AO408" s="102"/>
      <c r="AP408" s="102"/>
      <c r="AQ408" s="102"/>
      <c r="AR408" s="97"/>
      <c r="AS408" s="97"/>
      <c r="AT408" s="72"/>
      <c r="AU408" s="96"/>
      <c r="AV408" s="96"/>
      <c r="AW408" s="96"/>
      <c r="AX408" s="96"/>
      <c r="BA408" s="72"/>
      <c r="BB408" s="72"/>
      <c r="BC408" s="72"/>
      <c r="BD408" s="72"/>
      <c r="BE408" s="72"/>
      <c r="BF408" s="105"/>
      <c r="BG408" s="102"/>
      <c r="BH408" s="102"/>
      <c r="BI408" s="102"/>
      <c r="BJ408" s="102"/>
      <c r="BK408" s="97"/>
      <c r="BL408" s="97"/>
      <c r="BM408" s="72"/>
      <c r="BN408" s="96"/>
      <c r="BO408" s="96"/>
      <c r="BP408" s="96"/>
      <c r="BQ408" s="96"/>
    </row>
    <row r="409" spans="18:69" ht="13.8" x14ac:dyDescent="0.25">
      <c r="R409" s="72"/>
      <c r="S409" s="72"/>
      <c r="T409" s="105"/>
      <c r="U409" s="168"/>
      <c r="V409" s="96"/>
      <c r="W409" s="168"/>
      <c r="X409" s="97"/>
      <c r="Y409" s="97"/>
      <c r="Z409" s="72"/>
      <c r="AA409" s="95"/>
      <c r="AB409" s="168"/>
      <c r="AC409" s="168"/>
      <c r="AD409" s="96"/>
      <c r="AE409" s="96"/>
      <c r="AH409" s="72"/>
      <c r="AI409" s="72"/>
      <c r="AJ409" s="72"/>
      <c r="AK409" s="72"/>
      <c r="AL409" s="72"/>
      <c r="AM409" s="105"/>
      <c r="AN409" s="102"/>
      <c r="AO409" s="102"/>
      <c r="AP409" s="102"/>
      <c r="AQ409" s="102"/>
      <c r="AR409" s="97"/>
      <c r="AS409" s="97"/>
      <c r="AT409" s="72"/>
      <c r="AU409" s="96"/>
      <c r="AV409" s="96"/>
      <c r="AW409" s="96"/>
      <c r="AX409" s="96"/>
      <c r="BA409" s="72"/>
      <c r="BB409" s="72"/>
      <c r="BC409" s="72"/>
      <c r="BD409" s="72"/>
      <c r="BE409" s="72"/>
      <c r="BF409" s="105"/>
      <c r="BG409" s="102"/>
      <c r="BH409" s="102"/>
      <c r="BI409" s="102"/>
      <c r="BJ409" s="102"/>
      <c r="BK409" s="97"/>
      <c r="BL409" s="97"/>
      <c r="BM409" s="72"/>
      <c r="BN409" s="96"/>
      <c r="BO409" s="96"/>
      <c r="BP409" s="96"/>
      <c r="BQ409" s="96"/>
    </row>
    <row r="410" spans="18:69" ht="13.8" x14ac:dyDescent="0.25">
      <c r="R410" s="72"/>
      <c r="S410" s="72"/>
      <c r="T410" s="105"/>
      <c r="U410" s="102"/>
      <c r="V410" s="102"/>
      <c r="W410" s="102"/>
      <c r="X410" s="102"/>
      <c r="Y410" s="97"/>
      <c r="Z410" s="97"/>
      <c r="AA410" s="72"/>
      <c r="AB410" s="168"/>
      <c r="AC410" s="168"/>
      <c r="AD410" s="96"/>
      <c r="AE410" s="96"/>
      <c r="AH410" s="72"/>
      <c r="AI410" s="72"/>
      <c r="AJ410" s="72"/>
      <c r="AK410" s="72"/>
      <c r="AL410" s="72"/>
      <c r="AM410" s="105"/>
      <c r="AN410" s="102"/>
      <c r="AO410" s="102"/>
      <c r="AP410" s="102"/>
      <c r="AQ410" s="102"/>
      <c r="AR410" s="97"/>
      <c r="AS410" s="97"/>
      <c r="AT410" s="72"/>
      <c r="AU410" s="96"/>
      <c r="AV410" s="96"/>
      <c r="AW410" s="96"/>
      <c r="AX410" s="96"/>
      <c r="BA410" s="72"/>
      <c r="BB410" s="72"/>
      <c r="BC410" s="72"/>
      <c r="BD410" s="72"/>
      <c r="BE410" s="72"/>
      <c r="BF410" s="105"/>
      <c r="BG410" s="102"/>
      <c r="BH410" s="102"/>
      <c r="BI410" s="102"/>
      <c r="BJ410" s="102"/>
      <c r="BK410" s="97"/>
      <c r="BL410" s="97"/>
      <c r="BM410" s="72"/>
      <c r="BN410" s="96"/>
      <c r="BO410" s="96"/>
      <c r="BP410" s="96"/>
      <c r="BQ410" s="96"/>
    </row>
    <row r="411" spans="18:69" ht="13.8" x14ac:dyDescent="0.25">
      <c r="R411" s="72"/>
      <c r="S411" s="72"/>
      <c r="T411" s="72"/>
      <c r="U411" s="102"/>
      <c r="V411" s="102"/>
      <c r="W411" s="102"/>
      <c r="X411" s="102"/>
      <c r="Y411" s="97"/>
      <c r="Z411" s="97"/>
      <c r="AA411" s="72"/>
      <c r="AB411" s="168"/>
      <c r="AC411" s="168"/>
      <c r="AD411" s="96"/>
      <c r="AE411" s="96"/>
      <c r="AH411" s="72"/>
      <c r="AI411" s="72"/>
      <c r="AJ411" s="72"/>
      <c r="AK411" s="72"/>
      <c r="AL411" s="72"/>
      <c r="AM411" s="105"/>
      <c r="AN411" s="102"/>
      <c r="AO411" s="102"/>
      <c r="AP411" s="102"/>
      <c r="AQ411" s="102"/>
      <c r="AR411" s="97"/>
      <c r="AS411" s="97"/>
      <c r="AT411" s="72"/>
      <c r="AU411" s="96"/>
      <c r="AV411" s="96"/>
      <c r="AW411" s="96"/>
      <c r="AX411" s="96"/>
      <c r="BA411" s="72"/>
      <c r="BB411" s="72"/>
      <c r="BC411" s="72"/>
      <c r="BD411" s="72"/>
      <c r="BE411" s="72"/>
      <c r="BF411" s="105"/>
      <c r="BG411" s="102"/>
      <c r="BH411" s="102"/>
      <c r="BI411" s="102"/>
      <c r="BJ411" s="102"/>
      <c r="BK411" s="97"/>
      <c r="BL411" s="97"/>
      <c r="BM411" s="72"/>
      <c r="BN411" s="96"/>
      <c r="BO411" s="96"/>
      <c r="BP411" s="96"/>
      <c r="BQ411" s="96"/>
    </row>
    <row r="412" spans="18:69" ht="13.8" x14ac:dyDescent="0.25">
      <c r="R412" s="72"/>
      <c r="S412" s="72"/>
      <c r="T412" s="105"/>
      <c r="U412" s="168"/>
      <c r="V412" s="168"/>
      <c r="W412" s="168"/>
      <c r="X412" s="168"/>
      <c r="Y412" s="97"/>
      <c r="Z412" s="97"/>
      <c r="AA412" s="72"/>
      <c r="AB412" s="168"/>
      <c r="AC412" s="168"/>
      <c r="AD412" s="96"/>
      <c r="AE412" s="96"/>
      <c r="AH412" s="72"/>
      <c r="AI412" s="72"/>
      <c r="AJ412" s="72"/>
      <c r="AK412" s="72"/>
      <c r="AL412" s="72"/>
      <c r="AM412" s="105"/>
      <c r="AN412" s="102"/>
      <c r="AO412" s="102"/>
      <c r="AP412" s="102"/>
      <c r="AQ412" s="102"/>
      <c r="AR412" s="97"/>
      <c r="AS412" s="97"/>
      <c r="AT412" s="72"/>
      <c r="AU412" s="96"/>
      <c r="AV412" s="96"/>
      <c r="AW412" s="96"/>
      <c r="AX412" s="96"/>
      <c r="BA412" s="72"/>
      <c r="BB412" s="72"/>
      <c r="BC412" s="72"/>
      <c r="BD412" s="72"/>
      <c r="BE412" s="72"/>
      <c r="BF412" s="105"/>
      <c r="BG412" s="102"/>
      <c r="BH412" s="102"/>
      <c r="BI412" s="102"/>
      <c r="BJ412" s="102"/>
      <c r="BK412" s="97"/>
      <c r="BL412" s="97"/>
      <c r="BM412" s="72"/>
      <c r="BN412" s="96"/>
      <c r="BO412" s="96"/>
      <c r="BP412" s="96"/>
      <c r="BQ412" s="96"/>
    </row>
    <row r="413" spans="18:69" ht="13.8" x14ac:dyDescent="0.25">
      <c r="R413" s="72"/>
      <c r="S413" s="72"/>
      <c r="T413" s="105"/>
      <c r="U413" s="102"/>
      <c r="V413" s="102"/>
      <c r="W413" s="102"/>
      <c r="X413" s="102"/>
      <c r="Y413" s="97"/>
      <c r="Z413" s="97"/>
      <c r="AA413" s="72"/>
      <c r="AB413" s="168"/>
      <c r="AC413" s="168"/>
      <c r="AD413" s="96"/>
      <c r="AE413" s="96"/>
      <c r="AH413" s="72"/>
      <c r="AI413" s="72"/>
      <c r="AJ413" s="72"/>
      <c r="AK413" s="72"/>
      <c r="AL413" s="72"/>
      <c r="AM413" s="105"/>
      <c r="AN413" s="102"/>
      <c r="AO413" s="102"/>
      <c r="AP413" s="102"/>
      <c r="AQ413" s="102"/>
      <c r="AR413" s="97"/>
      <c r="AS413" s="97"/>
      <c r="AT413" s="72"/>
      <c r="AU413" s="96"/>
      <c r="AV413" s="96"/>
      <c r="AW413" s="96"/>
      <c r="AX413" s="96"/>
      <c r="BA413" s="72"/>
      <c r="BB413" s="72"/>
      <c r="BC413" s="72"/>
      <c r="BD413" s="72"/>
      <c r="BE413" s="72"/>
      <c r="BF413" s="105"/>
      <c r="BG413" s="102"/>
      <c r="BH413" s="102"/>
      <c r="BI413" s="102"/>
      <c r="BJ413" s="102"/>
      <c r="BK413" s="97"/>
      <c r="BL413" s="97"/>
      <c r="BM413" s="72"/>
      <c r="BN413" s="96"/>
      <c r="BO413" s="96"/>
      <c r="BP413" s="96"/>
      <c r="BQ413" s="96"/>
    </row>
    <row r="414" spans="18:69" ht="13.8" x14ac:dyDescent="0.25">
      <c r="R414" s="72"/>
      <c r="S414" s="72"/>
      <c r="T414" s="105"/>
      <c r="U414" s="102"/>
      <c r="V414" s="102"/>
      <c r="W414" s="102"/>
      <c r="X414" s="102"/>
      <c r="Y414" s="97"/>
      <c r="Z414" s="97"/>
      <c r="AA414" s="72"/>
      <c r="AB414" s="168"/>
      <c r="AC414" s="168"/>
      <c r="AD414" s="96"/>
      <c r="AE414" s="96"/>
      <c r="AH414" s="72"/>
      <c r="AI414" s="72"/>
      <c r="AJ414" s="72"/>
      <c r="AK414" s="72"/>
      <c r="AL414" s="72"/>
      <c r="AM414" s="105"/>
      <c r="AN414" s="102"/>
      <c r="AO414" s="102"/>
      <c r="AP414" s="102"/>
      <c r="AQ414" s="102"/>
      <c r="AR414" s="97"/>
      <c r="AS414" s="97"/>
      <c r="AT414" s="72"/>
      <c r="AU414" s="96"/>
      <c r="AV414" s="96"/>
      <c r="AW414" s="96"/>
      <c r="AX414" s="96"/>
      <c r="BA414" s="72"/>
      <c r="BB414" s="72"/>
      <c r="BC414" s="72"/>
      <c r="BD414" s="72"/>
      <c r="BE414" s="72"/>
      <c r="BF414" s="105"/>
      <c r="BG414" s="102"/>
      <c r="BH414" s="102"/>
      <c r="BI414" s="102"/>
      <c r="BJ414" s="102"/>
      <c r="BK414" s="97"/>
      <c r="BL414" s="97"/>
      <c r="BM414" s="72"/>
      <c r="BN414" s="96"/>
      <c r="BO414" s="96"/>
      <c r="BP414" s="96"/>
      <c r="BQ414" s="96"/>
    </row>
    <row r="415" spans="18:69" ht="13.8" x14ac:dyDescent="0.25">
      <c r="R415" s="72"/>
      <c r="S415" s="72"/>
      <c r="T415" s="105"/>
      <c r="U415" s="102"/>
      <c r="V415" s="102"/>
      <c r="W415" s="102"/>
      <c r="X415" s="102"/>
      <c r="Y415" s="97"/>
      <c r="Z415" s="97"/>
      <c r="AA415" s="72"/>
      <c r="AB415" s="168"/>
      <c r="AC415" s="168"/>
      <c r="AD415" s="96"/>
      <c r="AE415" s="96"/>
      <c r="AH415" s="72"/>
      <c r="AI415" s="72"/>
      <c r="AJ415" s="72"/>
      <c r="AK415" s="72"/>
      <c r="AL415" s="72"/>
      <c r="AM415" s="105"/>
      <c r="AN415" s="102"/>
      <c r="AO415" s="102"/>
      <c r="AP415" s="102"/>
      <c r="AQ415" s="102"/>
      <c r="AR415" s="97"/>
      <c r="AS415" s="97"/>
      <c r="AT415" s="72"/>
      <c r="AU415" s="96"/>
      <c r="AV415" s="96"/>
      <c r="AW415" s="96"/>
      <c r="AX415" s="96"/>
      <c r="BA415" s="72"/>
      <c r="BB415" s="72"/>
      <c r="BC415" s="72"/>
      <c r="BD415" s="72"/>
      <c r="BE415" s="72"/>
      <c r="BF415" s="105"/>
      <c r="BG415" s="102"/>
      <c r="BH415" s="102"/>
      <c r="BI415" s="102"/>
      <c r="BJ415" s="102"/>
      <c r="BK415" s="97"/>
      <c r="BL415" s="97"/>
      <c r="BM415" s="72"/>
      <c r="BN415" s="96"/>
      <c r="BO415" s="96"/>
      <c r="BP415" s="96"/>
      <c r="BQ415" s="96"/>
    </row>
    <row r="416" spans="18:69" ht="13.8" x14ac:dyDescent="0.25">
      <c r="R416" s="72"/>
      <c r="S416" s="72"/>
      <c r="T416" s="105"/>
      <c r="U416" s="102"/>
      <c r="V416" s="102"/>
      <c r="W416" s="102"/>
      <c r="X416" s="102"/>
      <c r="Y416" s="97"/>
      <c r="Z416" s="97"/>
      <c r="AA416" s="72"/>
      <c r="AB416" s="168"/>
      <c r="AC416" s="168"/>
      <c r="AD416" s="96"/>
      <c r="AE416" s="96"/>
      <c r="AH416" s="72"/>
      <c r="AI416" s="72"/>
      <c r="AJ416" s="72"/>
      <c r="AK416" s="72"/>
      <c r="AL416" s="72"/>
      <c r="AM416" s="105"/>
      <c r="AN416" s="102"/>
      <c r="AO416" s="102"/>
      <c r="AP416" s="102"/>
      <c r="AQ416" s="102"/>
      <c r="AR416" s="97"/>
      <c r="AS416" s="97"/>
      <c r="AT416" s="72"/>
      <c r="AU416" s="96"/>
      <c r="AV416" s="96"/>
      <c r="AW416" s="96"/>
      <c r="AX416" s="96"/>
      <c r="BA416" s="72"/>
      <c r="BB416" s="72"/>
      <c r="BC416" s="72"/>
      <c r="BD416" s="72"/>
      <c r="BE416" s="72"/>
      <c r="BF416" s="105"/>
      <c r="BG416" s="102"/>
      <c r="BH416" s="102"/>
      <c r="BI416" s="102"/>
      <c r="BJ416" s="102"/>
      <c r="BK416" s="97"/>
      <c r="BL416" s="97"/>
      <c r="BM416" s="72"/>
      <c r="BN416" s="96"/>
      <c r="BO416" s="96"/>
      <c r="BP416" s="96"/>
      <c r="BQ416" s="96"/>
    </row>
    <row r="417" spans="18:69" ht="13.8" x14ac:dyDescent="0.25">
      <c r="R417" s="72"/>
      <c r="S417" s="72"/>
      <c r="T417" s="105"/>
      <c r="U417" s="102"/>
      <c r="V417" s="102"/>
      <c r="W417" s="102"/>
      <c r="X417" s="102"/>
      <c r="Y417" s="97"/>
      <c r="Z417" s="97"/>
      <c r="AA417" s="72"/>
      <c r="AB417" s="168"/>
      <c r="AC417" s="168"/>
      <c r="AD417" s="96"/>
      <c r="AE417" s="96"/>
      <c r="AH417" s="72"/>
      <c r="AI417" s="72"/>
      <c r="AJ417" s="72"/>
      <c r="AK417" s="72"/>
      <c r="AL417" s="72"/>
      <c r="AM417" s="105"/>
      <c r="AN417" s="102"/>
      <c r="AO417" s="102"/>
      <c r="AP417" s="102"/>
      <c r="AQ417" s="102"/>
      <c r="AR417" s="97"/>
      <c r="AS417" s="97"/>
      <c r="AT417" s="72"/>
      <c r="AU417" s="96"/>
      <c r="AV417" s="96"/>
      <c r="AW417" s="96"/>
      <c r="AX417" s="96"/>
      <c r="BA417" s="72"/>
      <c r="BB417" s="72"/>
      <c r="BC417" s="72"/>
      <c r="BD417" s="72"/>
      <c r="BE417" s="72"/>
      <c r="BF417" s="105"/>
      <c r="BG417" s="102"/>
      <c r="BH417" s="102"/>
      <c r="BI417" s="102"/>
      <c r="BJ417" s="102"/>
      <c r="BK417" s="97"/>
      <c r="BL417" s="97"/>
      <c r="BM417" s="72"/>
      <c r="BN417" s="96"/>
      <c r="BO417" s="96"/>
      <c r="BP417" s="96"/>
      <c r="BQ417" s="96"/>
    </row>
    <row r="418" spans="18:69" ht="13.8" x14ac:dyDescent="0.25">
      <c r="R418" s="72"/>
      <c r="S418" s="72"/>
      <c r="T418" s="105"/>
      <c r="U418" s="102"/>
      <c r="V418" s="102"/>
      <c r="W418" s="102"/>
      <c r="X418" s="102"/>
      <c r="Y418" s="97"/>
      <c r="Z418" s="97"/>
      <c r="AA418" s="72"/>
      <c r="AB418" s="168"/>
      <c r="AC418" s="96"/>
      <c r="AD418" s="102"/>
      <c r="AE418" s="96"/>
      <c r="AH418" s="72"/>
      <c r="AI418" s="72"/>
      <c r="AJ418" s="72"/>
      <c r="AK418" s="72"/>
      <c r="AL418" s="72"/>
      <c r="AM418" s="72"/>
      <c r="AN418" s="102"/>
      <c r="AO418" s="102"/>
      <c r="AP418" s="102"/>
      <c r="AQ418" s="102"/>
      <c r="AR418" s="97"/>
      <c r="AS418" s="97"/>
      <c r="AT418" s="72"/>
      <c r="AU418" s="102"/>
      <c r="AV418" s="96"/>
      <c r="AW418" s="102"/>
      <c r="AX418" s="96"/>
      <c r="BA418" s="72"/>
      <c r="BB418" s="72"/>
      <c r="BC418" s="72"/>
      <c r="BD418" s="72"/>
      <c r="BE418" s="72"/>
      <c r="BF418" s="72"/>
      <c r="BG418" s="102"/>
      <c r="BH418" s="102"/>
      <c r="BI418" s="102"/>
      <c r="BJ418" s="102"/>
      <c r="BK418" s="97"/>
      <c r="BL418" s="97"/>
      <c r="BM418" s="72"/>
      <c r="BN418" s="102"/>
      <c r="BO418" s="96"/>
      <c r="BP418" s="102"/>
      <c r="BQ418" s="96"/>
    </row>
    <row r="419" spans="18:69" ht="13.8" x14ac:dyDescent="0.25">
      <c r="R419" s="72"/>
      <c r="S419" s="72"/>
      <c r="T419" s="105"/>
      <c r="U419" s="102"/>
      <c r="V419" s="102"/>
      <c r="W419" s="102"/>
      <c r="X419" s="102"/>
      <c r="Y419" s="97"/>
      <c r="Z419" s="97"/>
      <c r="AA419" s="72"/>
      <c r="AB419" s="168"/>
      <c r="AC419" s="72"/>
      <c r="AD419" s="102"/>
      <c r="AE419" s="96"/>
      <c r="AH419" s="72"/>
      <c r="AI419" s="72"/>
      <c r="AJ419" s="72"/>
      <c r="AK419" s="72"/>
      <c r="AL419" s="72"/>
      <c r="AM419" s="105"/>
      <c r="AN419" s="168"/>
      <c r="AO419" s="168"/>
      <c r="AP419" s="168"/>
      <c r="AQ419" s="168"/>
      <c r="AR419" s="97"/>
      <c r="AS419" s="102"/>
      <c r="AT419" s="72"/>
      <c r="AU419" s="102"/>
      <c r="AV419" s="96"/>
      <c r="AW419" s="102"/>
      <c r="AX419" s="96"/>
      <c r="BA419" s="72"/>
      <c r="BB419" s="72"/>
      <c r="BC419" s="72"/>
      <c r="BD419" s="72"/>
      <c r="BE419" s="72"/>
      <c r="BF419" s="105"/>
      <c r="BG419" s="168"/>
      <c r="BH419" s="168"/>
      <c r="BI419" s="168"/>
      <c r="BJ419" s="168"/>
      <c r="BK419" s="97"/>
      <c r="BL419" s="102"/>
      <c r="BM419" s="72"/>
      <c r="BN419" s="72"/>
      <c r="BO419" s="72"/>
      <c r="BP419" s="102"/>
      <c r="BQ419" s="96"/>
    </row>
    <row r="420" spans="18:69" ht="13.8" x14ac:dyDescent="0.25">
      <c r="R420" s="72"/>
      <c r="S420" s="72"/>
      <c r="T420" s="105"/>
      <c r="U420" s="102"/>
      <c r="V420" s="102"/>
      <c r="W420" s="102"/>
      <c r="X420" s="102"/>
      <c r="Y420" s="97"/>
      <c r="Z420" s="97"/>
      <c r="AA420" s="72"/>
      <c r="AB420" s="168"/>
    </row>
    <row r="421" spans="18:69" ht="13.8" x14ac:dyDescent="0.25">
      <c r="R421" s="72"/>
      <c r="S421" s="72"/>
      <c r="T421" s="105"/>
      <c r="U421" s="102"/>
      <c r="V421" s="102"/>
      <c r="W421" s="102"/>
      <c r="X421" s="102"/>
      <c r="Y421" s="97"/>
      <c r="Z421" s="97"/>
      <c r="AA421" s="72"/>
      <c r="AB421" s="102"/>
    </row>
    <row r="422" spans="18:69" ht="13.8" x14ac:dyDescent="0.25">
      <c r="R422" s="72"/>
      <c r="S422" s="72"/>
      <c r="T422" s="105"/>
      <c r="U422" s="102"/>
      <c r="V422" s="102"/>
      <c r="W422" s="102"/>
      <c r="X422" s="102"/>
      <c r="Y422" s="97"/>
      <c r="Z422" s="97"/>
      <c r="AA422" s="72"/>
      <c r="AB422" s="72"/>
    </row>
    <row r="423" spans="18:69" ht="13.8" x14ac:dyDescent="0.25">
      <c r="R423" s="72"/>
      <c r="S423" s="72"/>
      <c r="T423" s="105"/>
      <c r="U423" s="102"/>
      <c r="V423" s="102"/>
      <c r="W423" s="102"/>
      <c r="X423" s="102"/>
      <c r="Y423" s="97"/>
      <c r="Z423" s="97"/>
      <c r="AA423" s="72"/>
    </row>
    <row r="424" spans="18:69" ht="13.8" x14ac:dyDescent="0.25">
      <c r="R424" s="72"/>
      <c r="S424" s="72"/>
      <c r="T424" s="105"/>
      <c r="U424" s="102"/>
      <c r="V424" s="102"/>
      <c r="W424" s="102"/>
      <c r="X424" s="102"/>
      <c r="Y424" s="97"/>
      <c r="Z424" s="97"/>
      <c r="AA424" s="72"/>
    </row>
    <row r="425" spans="18:69" ht="13.8" x14ac:dyDescent="0.25">
      <c r="R425" s="72"/>
      <c r="S425" s="72"/>
      <c r="T425" s="105"/>
      <c r="U425" s="102"/>
      <c r="V425" s="102"/>
      <c r="W425" s="102"/>
      <c r="X425" s="102"/>
      <c r="Y425" s="97"/>
      <c r="Z425" s="97"/>
      <c r="AA425" s="72"/>
    </row>
    <row r="426" spans="18:69" ht="13.8" x14ac:dyDescent="0.25">
      <c r="R426" s="72"/>
      <c r="S426" s="72"/>
      <c r="T426" s="105"/>
      <c r="U426" s="102"/>
      <c r="V426" s="102"/>
      <c r="W426" s="102"/>
      <c r="X426" s="102"/>
      <c r="Y426" s="97"/>
      <c r="Z426" s="97"/>
      <c r="AA426" s="72"/>
    </row>
    <row r="427" spans="18:69" ht="13.8" x14ac:dyDescent="0.25">
      <c r="R427" s="72"/>
      <c r="S427" s="72"/>
      <c r="T427" s="72"/>
      <c r="U427" s="102"/>
      <c r="V427" s="102"/>
      <c r="W427" s="102"/>
      <c r="X427" s="102"/>
      <c r="Y427" s="97"/>
      <c r="Z427" s="97"/>
      <c r="AA427" s="72"/>
    </row>
    <row r="428" spans="18:69" ht="13.8" x14ac:dyDescent="0.25">
      <c r="R428" s="72"/>
      <c r="S428" s="72"/>
      <c r="T428" s="105"/>
      <c r="U428" s="168"/>
      <c r="V428" s="168"/>
      <c r="W428" s="168"/>
      <c r="X428" s="168"/>
      <c r="Y428" s="97"/>
      <c r="Z428" s="102"/>
      <c r="AA428" s="7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2D66-2BB6-4DAD-A0F2-403DB87BBAC5}">
  <dimension ref="A2:AS302"/>
  <sheetViews>
    <sheetView topLeftCell="A236" zoomScale="55" zoomScaleNormal="55" workbookViewId="0">
      <selection activeCell="A236" sqref="A1:XFD1048576"/>
    </sheetView>
  </sheetViews>
  <sheetFormatPr defaultColWidth="9.109375" defaultRowHeight="13.2" x14ac:dyDescent="0.25"/>
  <cols>
    <col min="1" max="1" width="9.109375" style="174"/>
    <col min="2" max="2" width="31.6640625" style="174" customWidth="1"/>
    <col min="3" max="3" width="48.33203125" style="174" customWidth="1"/>
    <col min="4" max="4" width="16.88671875" style="174" bestFit="1" customWidth="1"/>
    <col min="5" max="5" width="18.88671875" style="174" bestFit="1" customWidth="1"/>
    <col min="6" max="6" width="25.109375" style="174" bestFit="1" customWidth="1"/>
    <col min="7" max="7" width="12.109375" style="174" bestFit="1" customWidth="1"/>
    <col min="8" max="8" width="26.33203125" style="174" customWidth="1"/>
    <col min="9" max="11" width="20.5546875" style="174" customWidth="1"/>
    <col min="12" max="12" width="17.6640625" style="174" customWidth="1"/>
    <col min="13" max="13" width="19.44140625" style="174" bestFit="1" customWidth="1"/>
    <col min="14" max="14" width="19.88671875" style="174" customWidth="1"/>
    <col min="15" max="15" width="27.109375" style="174" bestFit="1" customWidth="1"/>
    <col min="16" max="16" width="28" style="174" bestFit="1" customWidth="1"/>
    <col min="17" max="17" width="20.44140625" style="174" bestFit="1" customWidth="1"/>
    <col min="18" max="18" width="30.6640625" style="174" customWidth="1"/>
    <col min="19" max="19" width="28.44140625" style="174" bestFit="1" customWidth="1"/>
    <col min="20" max="20" width="28" style="174" bestFit="1" customWidth="1"/>
    <col min="21" max="22" width="9.109375" style="174"/>
    <col min="23" max="23" width="15.109375" style="174" customWidth="1"/>
    <col min="24" max="24" width="13.88671875" style="174" bestFit="1" customWidth="1"/>
    <col min="25" max="25" width="40.44140625" style="174" customWidth="1"/>
    <col min="26" max="26" width="65.5546875" style="174" bestFit="1" customWidth="1"/>
    <col min="27" max="28" width="13.44140625" style="174" bestFit="1" customWidth="1"/>
    <col min="29" max="29" width="33.44140625" style="174" bestFit="1" customWidth="1"/>
    <col min="30" max="30" width="26.44140625" style="174" bestFit="1" customWidth="1"/>
    <col min="31" max="31" width="16.6640625" style="174" bestFit="1" customWidth="1"/>
    <col min="32" max="32" width="9.109375" style="174"/>
    <col min="33" max="33" width="42.44140625" style="174" customWidth="1"/>
    <col min="34" max="34" width="47.109375" style="174" bestFit="1" customWidth="1"/>
    <col min="35" max="35" width="28.109375" style="174" bestFit="1" customWidth="1"/>
    <col min="36" max="36" width="17.109375" style="174" bestFit="1" customWidth="1"/>
    <col min="37" max="37" width="27.6640625" style="174" bestFit="1" customWidth="1"/>
    <col min="38" max="38" width="5.88671875" style="174" bestFit="1" customWidth="1"/>
    <col min="39" max="39" width="24.5546875" style="174" bestFit="1" customWidth="1"/>
    <col min="40" max="40" width="22.88671875" style="174" bestFit="1" customWidth="1"/>
    <col min="41" max="41" width="15.88671875" style="174" bestFit="1" customWidth="1"/>
    <col min="42" max="42" width="17.44140625" style="174" bestFit="1" customWidth="1"/>
    <col min="43" max="43" width="9.109375" style="174"/>
    <col min="44" max="44" width="22" style="174" bestFit="1" customWidth="1"/>
    <col min="45" max="16384" width="9.109375" style="174"/>
  </cols>
  <sheetData>
    <row r="2" spans="1:45" s="176" customFormat="1" ht="17.399999999999999" x14ac:dyDescent="0.3">
      <c r="A2" s="175"/>
      <c r="B2" s="175" t="s">
        <v>374</v>
      </c>
      <c r="C2" s="175"/>
      <c r="D2" s="175"/>
      <c r="E2" s="175"/>
      <c r="G2" s="231" t="s">
        <v>274</v>
      </c>
      <c r="H2" s="232">
        <v>1.35</v>
      </c>
      <c r="I2" s="233"/>
      <c r="W2" s="177" t="s">
        <v>225</v>
      </c>
      <c r="X2" s="177"/>
      <c r="AA2" s="176" t="s">
        <v>325</v>
      </c>
    </row>
    <row r="3" spans="1:45" s="176" customFormat="1" ht="17.399999999999999" x14ac:dyDescent="0.3">
      <c r="B3" s="175" t="s">
        <v>375</v>
      </c>
      <c r="G3" s="234" t="s">
        <v>275</v>
      </c>
      <c r="H3" s="215">
        <v>2</v>
      </c>
      <c r="I3" s="235">
        <f>H3/H2</f>
        <v>1.4814814814814814</v>
      </c>
    </row>
    <row r="4" spans="1:45" s="176" customFormat="1" ht="13.8" x14ac:dyDescent="0.25">
      <c r="B4" s="178"/>
      <c r="D4" s="179"/>
      <c r="E4" s="179"/>
      <c r="F4" s="179"/>
      <c r="G4" s="236" t="s">
        <v>276</v>
      </c>
      <c r="H4" s="237">
        <v>3</v>
      </c>
      <c r="I4" s="238">
        <f>H4/H3</f>
        <v>1.5</v>
      </c>
      <c r="L4" s="180"/>
      <c r="O4" s="239">
        <v>2017</v>
      </c>
      <c r="P4" s="239">
        <v>2050</v>
      </c>
      <c r="Q4" s="181"/>
      <c r="W4" s="182" t="s">
        <v>226</v>
      </c>
      <c r="X4" s="182"/>
      <c r="Y4" s="182" t="s">
        <v>232</v>
      </c>
      <c r="Z4" s="182"/>
      <c r="AA4" s="182"/>
      <c r="AB4" s="182"/>
      <c r="AC4" s="182"/>
      <c r="AD4" s="182"/>
      <c r="AE4" s="182"/>
      <c r="AS4" s="174"/>
    </row>
    <row r="5" spans="1:45" s="176" customFormat="1" ht="13.8" x14ac:dyDescent="0.25">
      <c r="M5" s="240"/>
      <c r="N5" s="241" t="s">
        <v>376</v>
      </c>
      <c r="O5" s="239">
        <v>0.99</v>
      </c>
      <c r="P5" s="239">
        <v>0.2</v>
      </c>
      <c r="W5" s="183" t="s">
        <v>17</v>
      </c>
      <c r="X5" s="183"/>
      <c r="Y5" s="182"/>
      <c r="Z5" s="182"/>
      <c r="AA5" s="182"/>
      <c r="AB5" s="182"/>
      <c r="AC5" s="182"/>
      <c r="AD5" s="182"/>
      <c r="AE5" s="182"/>
      <c r="AI5" s="184" t="s">
        <v>308</v>
      </c>
      <c r="AJ5" s="185"/>
      <c r="AK5" s="185"/>
      <c r="AL5" s="186"/>
      <c r="AM5" s="186"/>
      <c r="AN5" s="185"/>
      <c r="AO5" s="185"/>
      <c r="AP5" s="185"/>
      <c r="AQ5" s="174"/>
      <c r="AS5" s="187"/>
    </row>
    <row r="6" spans="1:45" s="176" customFormat="1" ht="13.8" x14ac:dyDescent="0.25">
      <c r="E6" s="197"/>
      <c r="F6" s="187" t="s">
        <v>0</v>
      </c>
      <c r="G6" s="187"/>
      <c r="H6" s="198"/>
      <c r="I6" s="198"/>
      <c r="J6" s="198"/>
      <c r="K6" s="199"/>
      <c r="L6" s="199"/>
      <c r="M6" s="199"/>
      <c r="O6" s="242"/>
      <c r="P6" s="242"/>
      <c r="W6" s="188" t="s">
        <v>15</v>
      </c>
      <c r="X6" s="188" t="s">
        <v>54</v>
      </c>
      <c r="Y6" s="188" t="s">
        <v>1</v>
      </c>
      <c r="Z6" s="188" t="s">
        <v>2</v>
      </c>
      <c r="AA6" s="188" t="s">
        <v>18</v>
      </c>
      <c r="AB6" s="188" t="s">
        <v>19</v>
      </c>
      <c r="AC6" s="188" t="s">
        <v>20</v>
      </c>
      <c r="AD6" s="188" t="s">
        <v>21</v>
      </c>
      <c r="AE6" s="188" t="s">
        <v>22</v>
      </c>
      <c r="AG6" s="189" t="s">
        <v>327</v>
      </c>
      <c r="AI6" s="190" t="s">
        <v>7</v>
      </c>
      <c r="AJ6" s="190" t="s">
        <v>6</v>
      </c>
      <c r="AK6" s="190" t="s">
        <v>8</v>
      </c>
      <c r="AL6" s="191" t="s">
        <v>9</v>
      </c>
      <c r="AM6" s="191" t="s">
        <v>10</v>
      </c>
      <c r="AN6" s="192" t="s">
        <v>11</v>
      </c>
      <c r="AO6" s="192" t="s">
        <v>12</v>
      </c>
      <c r="AP6" s="192" t="s">
        <v>13</v>
      </c>
      <c r="AQ6" s="174"/>
      <c r="AS6" s="193"/>
    </row>
    <row r="7" spans="1:45" s="176" customFormat="1" ht="20.25" customHeight="1" thickBot="1" x14ac:dyDescent="0.3">
      <c r="B7" s="200" t="s">
        <v>1</v>
      </c>
      <c r="C7" s="201" t="s">
        <v>227</v>
      </c>
      <c r="D7" s="200" t="s">
        <v>3</v>
      </c>
      <c r="E7" s="200" t="s">
        <v>4</v>
      </c>
      <c r="F7" s="202" t="s">
        <v>233</v>
      </c>
      <c r="G7" s="203" t="s">
        <v>14</v>
      </c>
      <c r="H7" s="204" t="s">
        <v>342</v>
      </c>
      <c r="I7" s="205" t="s">
        <v>16</v>
      </c>
      <c r="J7" s="204" t="s">
        <v>50</v>
      </c>
      <c r="K7" s="204" t="s">
        <v>36</v>
      </c>
      <c r="L7" s="204" t="s">
        <v>5</v>
      </c>
      <c r="M7" s="204" t="s">
        <v>34</v>
      </c>
      <c r="N7" s="204" t="s">
        <v>48</v>
      </c>
      <c r="O7" s="243" t="s">
        <v>1020</v>
      </c>
      <c r="P7" s="243" t="s">
        <v>377</v>
      </c>
      <c r="R7" s="206" t="s">
        <v>328</v>
      </c>
      <c r="S7" s="206"/>
      <c r="W7" s="194" t="s">
        <v>228</v>
      </c>
      <c r="X7" s="194" t="s">
        <v>56</v>
      </c>
      <c r="Y7" s="194" t="s">
        <v>27</v>
      </c>
      <c r="Z7" s="194" t="s">
        <v>28</v>
      </c>
      <c r="AA7" s="194" t="s">
        <v>29</v>
      </c>
      <c r="AB7" s="194" t="s">
        <v>30</v>
      </c>
      <c r="AC7" s="194" t="s">
        <v>229</v>
      </c>
      <c r="AD7" s="194" t="s">
        <v>230</v>
      </c>
      <c r="AE7" s="194" t="s">
        <v>31</v>
      </c>
      <c r="AF7" s="195"/>
      <c r="AG7" s="194" t="s">
        <v>28</v>
      </c>
      <c r="AI7" s="87" t="s">
        <v>309</v>
      </c>
      <c r="AJ7" s="87" t="s">
        <v>23</v>
      </c>
      <c r="AK7" s="87" t="s">
        <v>24</v>
      </c>
      <c r="AL7" s="88" t="s">
        <v>9</v>
      </c>
      <c r="AM7" s="88" t="s">
        <v>310</v>
      </c>
      <c r="AN7" s="87" t="s">
        <v>311</v>
      </c>
      <c r="AO7" s="87" t="s">
        <v>25</v>
      </c>
      <c r="AP7" s="87" t="s">
        <v>26</v>
      </c>
      <c r="AQ7" s="174"/>
      <c r="AS7" s="174"/>
    </row>
    <row r="8" spans="1:45" s="176" customFormat="1" ht="17.25" customHeight="1" thickBot="1" x14ac:dyDescent="0.3">
      <c r="A8" s="174"/>
      <c r="B8" s="207" t="s">
        <v>234</v>
      </c>
      <c r="C8" s="207" t="s">
        <v>28</v>
      </c>
      <c r="D8" s="207" t="s">
        <v>32</v>
      </c>
      <c r="E8" s="207" t="s">
        <v>33</v>
      </c>
      <c r="F8" s="208"/>
      <c r="G8" s="209" t="s">
        <v>35</v>
      </c>
      <c r="H8" s="207"/>
      <c r="I8" s="207" t="s">
        <v>303</v>
      </c>
      <c r="J8" s="207" t="s">
        <v>329</v>
      </c>
      <c r="K8" s="207" t="s">
        <v>37</v>
      </c>
      <c r="L8" s="207" t="s">
        <v>38</v>
      </c>
      <c r="M8" s="207" t="s">
        <v>39</v>
      </c>
      <c r="N8" s="207" t="s">
        <v>218</v>
      </c>
      <c r="O8" s="207"/>
      <c r="P8" s="207"/>
      <c r="W8" s="244" t="s">
        <v>302</v>
      </c>
      <c r="Y8" s="195" t="str">
        <f>$B$3&amp;"CHPAUT_"&amp;$Y$4&amp;"_ST"</f>
        <v>INDPCHCHPAUT_N_ST</v>
      </c>
      <c r="Z8" s="176" t="str">
        <f t="shared" ref="Z8:Z25" si="0">AG8</f>
        <v>On-site CHP PCH NEW Standard</v>
      </c>
      <c r="AA8" s="176" t="s">
        <v>206</v>
      </c>
      <c r="AB8" s="176" t="s">
        <v>224</v>
      </c>
      <c r="AC8" s="176" t="s">
        <v>42</v>
      </c>
      <c r="AD8" s="245"/>
      <c r="AE8" s="245"/>
      <c r="AG8" s="176" t="s">
        <v>378</v>
      </c>
      <c r="AI8" s="185"/>
      <c r="AJ8" s="185"/>
      <c r="AK8" s="185"/>
      <c r="AL8" s="186"/>
      <c r="AM8" s="196"/>
      <c r="AQ8" s="174"/>
      <c r="AS8" s="174"/>
    </row>
    <row r="9" spans="1:45" s="176" customFormat="1" ht="15" x14ac:dyDescent="0.25">
      <c r="A9" s="174"/>
      <c r="B9" s="210"/>
      <c r="C9" s="211"/>
      <c r="D9" s="211"/>
      <c r="E9" s="211" t="s">
        <v>231</v>
      </c>
      <c r="F9" s="212"/>
      <c r="G9" s="211"/>
      <c r="H9" s="211"/>
      <c r="I9" s="213" t="s">
        <v>306</v>
      </c>
      <c r="J9" s="211"/>
      <c r="K9" s="211" t="s">
        <v>442</v>
      </c>
      <c r="L9" s="211" t="s">
        <v>440</v>
      </c>
      <c r="M9" s="211" t="s">
        <v>439</v>
      </c>
      <c r="N9" s="211" t="s">
        <v>40</v>
      </c>
      <c r="O9" s="211"/>
      <c r="P9" s="211"/>
      <c r="S9" s="176" t="s">
        <v>444</v>
      </c>
      <c r="Y9" s="195" t="str">
        <f>$B$3&amp;"CHPAUT_"&amp;$Y$4&amp;"_IM"</f>
        <v>INDPCHCHPAUT_N_IM</v>
      </c>
      <c r="Z9" s="176" t="str">
        <f t="shared" si="0"/>
        <v>On-site CHP PCH NEW Improved</v>
      </c>
      <c r="AA9" s="176" t="s">
        <v>206</v>
      </c>
      <c r="AB9" s="176" t="s">
        <v>224</v>
      </c>
      <c r="AC9" s="176" t="s">
        <v>42</v>
      </c>
      <c r="AD9" s="195"/>
      <c r="AE9" s="195"/>
      <c r="AG9" s="176" t="s">
        <v>379</v>
      </c>
      <c r="AJ9" s="185"/>
      <c r="AK9" s="185"/>
      <c r="AL9" s="186"/>
      <c r="AM9" s="196"/>
      <c r="AS9" s="174"/>
    </row>
    <row r="10" spans="1:45" s="176" customFormat="1" ht="13.8" x14ac:dyDescent="0.25">
      <c r="A10" s="174"/>
      <c r="B10" s="176" t="str">
        <f>Y14</f>
        <v>INDPCHFER_N_ST</v>
      </c>
      <c r="C10" s="176" t="str">
        <f>Z14</f>
        <v>Fertlizers Standard</v>
      </c>
      <c r="D10" s="176" t="s">
        <v>426</v>
      </c>
      <c r="F10" s="214">
        <f>G10</f>
        <v>2018</v>
      </c>
      <c r="G10" s="174">
        <f>BASE_YEAR+1</f>
        <v>2018</v>
      </c>
      <c r="H10" s="165">
        <v>0</v>
      </c>
      <c r="I10" s="215">
        <v>0.8</v>
      </c>
      <c r="J10" s="174">
        <v>1</v>
      </c>
      <c r="K10" s="216">
        <f>4*(1/0.9)</f>
        <v>4.4444444444444446</v>
      </c>
      <c r="L10" s="216">
        <f>0.005*K10</f>
        <v>2.2222222222222223E-2</v>
      </c>
      <c r="M10" s="216"/>
      <c r="N10" s="174">
        <v>50</v>
      </c>
      <c r="O10" s="246"/>
      <c r="P10" s="246"/>
      <c r="R10" s="247">
        <v>2386</v>
      </c>
      <c r="S10" s="247">
        <f>R12/R11</f>
        <v>105.03597122302159</v>
      </c>
      <c r="Y10" s="195" t="str">
        <f>$B$3&amp;"CHPAUT_"&amp;$Y$4&amp;"_AD"</f>
        <v>INDPCHCHPAUT_N_AD</v>
      </c>
      <c r="Z10" s="176" t="str">
        <f t="shared" si="0"/>
        <v>On-site CHP PCH NEW Advanced</v>
      </c>
      <c r="AA10" s="176" t="s">
        <v>206</v>
      </c>
      <c r="AB10" s="176" t="s">
        <v>224</v>
      </c>
      <c r="AC10" s="176" t="s">
        <v>42</v>
      </c>
      <c r="AD10" s="195"/>
      <c r="AE10" s="195"/>
      <c r="AG10" s="176" t="s">
        <v>380</v>
      </c>
      <c r="AJ10" s="185"/>
      <c r="AK10" s="185"/>
      <c r="AL10" s="186"/>
      <c r="AS10" s="174"/>
    </row>
    <row r="11" spans="1:45" s="176" customFormat="1" ht="13.8" x14ac:dyDescent="0.25">
      <c r="A11" s="174"/>
      <c r="D11" s="176" t="s">
        <v>423</v>
      </c>
      <c r="F11" s="214">
        <f>F10</f>
        <v>2018</v>
      </c>
      <c r="G11" s="174"/>
      <c r="H11" s="165">
        <v>0.19800000000000001</v>
      </c>
      <c r="I11" s="174"/>
      <c r="J11" s="174"/>
      <c r="K11" s="174"/>
      <c r="L11" s="174"/>
      <c r="M11" s="174"/>
      <c r="O11" s="246"/>
      <c r="P11" s="246"/>
      <c r="R11" s="247">
        <f>R10*278/(0.75*8760)</f>
        <v>100.96012176560122</v>
      </c>
      <c r="S11" s="247"/>
      <c r="T11" s="248">
        <f>S10/K10</f>
        <v>23.633093525179856</v>
      </c>
      <c r="W11" s="176" t="s">
        <v>272</v>
      </c>
      <c r="Y11" s="195" t="str">
        <f>$B$3&amp;"BOI_"&amp;$Y$4&amp;"_ST"</f>
        <v>INDPCHBOI_N_ST</v>
      </c>
      <c r="Z11" s="176" t="str">
        <f t="shared" si="0"/>
        <v>Boilers PCH NEW Standard</v>
      </c>
      <c r="AA11" s="176" t="s">
        <v>206</v>
      </c>
      <c r="AB11" s="176" t="s">
        <v>242</v>
      </c>
      <c r="AD11" s="195"/>
      <c r="AE11" s="195"/>
      <c r="AG11" s="176" t="s">
        <v>381</v>
      </c>
      <c r="AS11" s="174"/>
    </row>
    <row r="12" spans="1:45" s="176" customFormat="1" ht="13.8" x14ac:dyDescent="0.25">
      <c r="A12" s="174"/>
      <c r="D12" s="176" t="s">
        <v>265</v>
      </c>
      <c r="F12" s="214">
        <f t="shared" ref="F12:F22" si="1">F11</f>
        <v>2018</v>
      </c>
      <c r="G12" s="174"/>
      <c r="H12" s="165">
        <v>0</v>
      </c>
      <c r="I12" s="174"/>
      <c r="J12" s="174"/>
      <c r="K12" s="174"/>
      <c r="L12" s="174"/>
      <c r="M12" s="174"/>
      <c r="N12" s="174"/>
      <c r="O12" s="246"/>
      <c r="P12" s="246"/>
      <c r="R12" s="247">
        <f>R10*K10</f>
        <v>10604.444444444445</v>
      </c>
      <c r="S12" s="247"/>
      <c r="T12" s="248"/>
      <c r="Y12" s="195" t="str">
        <f>$B$3&amp;"BOI_"&amp;$Y$4&amp;"_IM"</f>
        <v>INDPCHBOI_N_IM</v>
      </c>
      <c r="Z12" s="176" t="str">
        <f t="shared" si="0"/>
        <v>Boilers PCH NEW Improved</v>
      </c>
      <c r="AA12" s="176" t="s">
        <v>206</v>
      </c>
      <c r="AB12" s="176" t="s">
        <v>242</v>
      </c>
      <c r="AD12" s="195"/>
      <c r="AE12" s="195"/>
      <c r="AG12" s="176" t="s">
        <v>382</v>
      </c>
      <c r="AI12" s="174"/>
      <c r="AJ12" s="174"/>
      <c r="AK12" s="174"/>
      <c r="AL12" s="174"/>
      <c r="AM12" s="174"/>
      <c r="AN12" s="174"/>
      <c r="AO12" s="174"/>
      <c r="AP12" s="174"/>
      <c r="AQ12" s="174"/>
      <c r="AS12" s="174"/>
    </row>
    <row r="13" spans="1:45" ht="13.8" x14ac:dyDescent="0.25">
      <c r="B13" s="176"/>
      <c r="C13" s="176"/>
      <c r="D13" s="176" t="s">
        <v>164</v>
      </c>
      <c r="E13" s="176"/>
      <c r="F13" s="214">
        <f t="shared" si="1"/>
        <v>2018</v>
      </c>
      <c r="H13" s="165">
        <v>0</v>
      </c>
      <c r="O13" s="246"/>
      <c r="P13" s="246"/>
      <c r="T13" s="216"/>
      <c r="W13" s="176"/>
      <c r="X13" s="176"/>
      <c r="Y13" s="195" t="str">
        <f>$B$3&amp;"BOI_"&amp;$Y$4&amp;"_AD"</f>
        <v>INDPCHBOI_N_AD</v>
      </c>
      <c r="Z13" s="176" t="str">
        <f t="shared" si="0"/>
        <v>Boilers PCH NEW Advanced</v>
      </c>
      <c r="AA13" s="176" t="s">
        <v>206</v>
      </c>
      <c r="AB13" s="176" t="s">
        <v>242</v>
      </c>
      <c r="AC13" s="176"/>
      <c r="AD13" s="195"/>
      <c r="AE13" s="195"/>
      <c r="AF13" s="176"/>
      <c r="AG13" s="176" t="s">
        <v>383</v>
      </c>
      <c r="AH13" s="176"/>
      <c r="AR13" s="176"/>
    </row>
    <row r="14" spans="1:45" ht="13.8" x14ac:dyDescent="0.25">
      <c r="B14" s="176"/>
      <c r="C14" s="176"/>
      <c r="D14" s="176" t="s">
        <v>199</v>
      </c>
      <c r="E14" s="176"/>
      <c r="F14" s="214">
        <f t="shared" si="1"/>
        <v>2018</v>
      </c>
      <c r="H14" s="165">
        <v>0.79700000000000004</v>
      </c>
      <c r="O14" s="246"/>
      <c r="P14" s="246"/>
      <c r="T14" s="216"/>
      <c r="W14" s="176" t="s">
        <v>277</v>
      </c>
      <c r="X14" s="176"/>
      <c r="Y14" s="195" t="str">
        <f>$B$3&amp;"FER_"&amp;$Y$4&amp;"_ST"</f>
        <v>INDPCHFER_N_ST</v>
      </c>
      <c r="Z14" s="176" t="str">
        <f t="shared" si="0"/>
        <v>Fertlizers Standard</v>
      </c>
      <c r="AA14" s="176" t="s">
        <v>206</v>
      </c>
      <c r="AB14" s="176" t="s">
        <v>242</v>
      </c>
      <c r="AC14" s="176"/>
      <c r="AD14" s="195"/>
      <c r="AE14" s="195"/>
      <c r="AF14" s="176"/>
      <c r="AG14" s="176" t="s">
        <v>384</v>
      </c>
      <c r="AH14" s="176"/>
      <c r="AR14" s="176"/>
    </row>
    <row r="15" spans="1:45" ht="13.8" x14ac:dyDescent="0.25">
      <c r="B15" s="176" t="s">
        <v>281</v>
      </c>
      <c r="C15" s="176"/>
      <c r="D15" s="176" t="s">
        <v>160</v>
      </c>
      <c r="E15" s="176"/>
      <c r="F15" s="214">
        <f t="shared" si="1"/>
        <v>2018</v>
      </c>
      <c r="H15" s="165">
        <v>0</v>
      </c>
      <c r="O15" s="246"/>
      <c r="P15" s="246"/>
      <c r="T15" s="216"/>
      <c r="W15" s="176"/>
      <c r="X15" s="176"/>
      <c r="Y15" s="195" t="str">
        <f>$B$3&amp;"FER_"&amp;$Y$4&amp;"_IM"</f>
        <v>INDPCHFER_N_IM</v>
      </c>
      <c r="Z15" s="176" t="str">
        <f t="shared" si="0"/>
        <v>Fertlizers Improved</v>
      </c>
      <c r="AA15" s="176" t="s">
        <v>206</v>
      </c>
      <c r="AB15" s="176" t="s">
        <v>242</v>
      </c>
      <c r="AC15" s="176"/>
      <c r="AD15" s="195"/>
      <c r="AE15" s="195"/>
      <c r="AG15" s="176" t="s">
        <v>385</v>
      </c>
      <c r="AH15" s="176"/>
      <c r="AR15" s="176"/>
    </row>
    <row r="16" spans="1:45" ht="15.75" customHeight="1" x14ac:dyDescent="0.25">
      <c r="B16" s="176"/>
      <c r="C16" s="176"/>
      <c r="D16" s="176" t="s">
        <v>144</v>
      </c>
      <c r="E16" s="176"/>
      <c r="F16" s="214">
        <f t="shared" si="1"/>
        <v>2018</v>
      </c>
      <c r="H16" s="165">
        <v>0</v>
      </c>
      <c r="O16" s="246"/>
      <c r="P16" s="246"/>
      <c r="T16" s="216"/>
      <c r="W16" s="176"/>
      <c r="X16" s="176"/>
      <c r="Y16" s="195" t="str">
        <f>$B$3&amp;"FER_"&amp;$Y$4&amp;"_AD"</f>
        <v>INDPCHFER_N_AD</v>
      </c>
      <c r="Z16" s="176" t="str">
        <f t="shared" si="0"/>
        <v>Fertlizers Advanced</v>
      </c>
      <c r="AA16" s="176" t="s">
        <v>206</v>
      </c>
      <c r="AB16" s="176" t="s">
        <v>242</v>
      </c>
      <c r="AC16" s="176"/>
      <c r="AD16" s="195"/>
      <c r="AE16" s="195"/>
      <c r="AG16" s="176" t="s">
        <v>386</v>
      </c>
      <c r="AH16" s="176"/>
      <c r="AR16" s="176"/>
    </row>
    <row r="17" spans="2:34" ht="13.8" x14ac:dyDescent="0.25">
      <c r="B17" s="176"/>
      <c r="C17" s="176"/>
      <c r="D17" s="176" t="s">
        <v>430</v>
      </c>
      <c r="E17" s="176"/>
      <c r="F17" s="214">
        <f t="shared" si="1"/>
        <v>2018</v>
      </c>
      <c r="H17" s="165">
        <v>0</v>
      </c>
      <c r="O17" s="246"/>
      <c r="P17" s="246"/>
      <c r="T17" s="216"/>
      <c r="W17" s="176"/>
      <c r="X17" s="176"/>
      <c r="Y17" s="195" t="str">
        <f>B$3&amp;"PCH_"&amp;$Y$4&amp;"_ST"</f>
        <v>INDPCHPCH_N_ST</v>
      </c>
      <c r="Z17" s="176" t="str">
        <f t="shared" si="0"/>
        <v>Petrochemicals Standard</v>
      </c>
      <c r="AA17" s="176" t="s">
        <v>206</v>
      </c>
      <c r="AB17" s="176" t="s">
        <v>242</v>
      </c>
      <c r="AC17" s="176"/>
      <c r="AD17" s="195"/>
      <c r="AE17" s="195"/>
      <c r="AG17" s="176" t="s">
        <v>387</v>
      </c>
      <c r="AH17" s="176"/>
    </row>
    <row r="18" spans="2:34" ht="13.8" x14ac:dyDescent="0.25">
      <c r="B18" s="176"/>
      <c r="C18" s="176"/>
      <c r="D18" s="176" t="s">
        <v>148</v>
      </c>
      <c r="E18" s="176"/>
      <c r="F18" s="214">
        <f t="shared" si="1"/>
        <v>2018</v>
      </c>
      <c r="H18" s="165">
        <v>0</v>
      </c>
      <c r="O18" s="246"/>
      <c r="P18" s="246"/>
      <c r="T18" s="216"/>
      <c r="W18" s="176"/>
      <c r="X18" s="176"/>
      <c r="Y18" s="195" t="str">
        <f>B$3&amp;"PCH_"&amp;$Y$4&amp;"_IM"</f>
        <v>INDPCHPCH_N_IM</v>
      </c>
      <c r="Z18" s="176" t="str">
        <f t="shared" si="0"/>
        <v>Petrochemicals Improved</v>
      </c>
      <c r="AA18" s="176" t="s">
        <v>206</v>
      </c>
      <c r="AB18" s="176" t="s">
        <v>242</v>
      </c>
      <c r="AC18" s="176"/>
      <c r="AD18" s="195"/>
      <c r="AE18" s="195"/>
      <c r="AG18" s="176" t="s">
        <v>388</v>
      </c>
      <c r="AH18" s="176"/>
    </row>
    <row r="19" spans="2:34" ht="13.8" x14ac:dyDescent="0.25">
      <c r="B19" s="176"/>
      <c r="C19" s="176"/>
      <c r="D19" s="176" t="s">
        <v>154</v>
      </c>
      <c r="E19" s="176"/>
      <c r="F19" s="214">
        <f t="shared" si="1"/>
        <v>2018</v>
      </c>
      <c r="H19" s="165">
        <v>5.0000000000000001E-3</v>
      </c>
      <c r="O19" s="246"/>
      <c r="P19" s="246"/>
      <c r="T19" s="216"/>
      <c r="W19" s="176"/>
      <c r="X19" s="176"/>
      <c r="Y19" s="195" t="str">
        <f>B$3&amp;"PCH_"&amp;$Y$4&amp;"_AD"</f>
        <v>INDPCHPCH_N_AD</v>
      </c>
      <c r="Z19" s="176" t="str">
        <f t="shared" si="0"/>
        <v>Petrochemicals Advanced</v>
      </c>
      <c r="AA19" s="176" t="s">
        <v>206</v>
      </c>
      <c r="AB19" s="176" t="s">
        <v>242</v>
      </c>
      <c r="AC19" s="176"/>
      <c r="AD19" s="195"/>
      <c r="AE19" s="195"/>
      <c r="AG19" s="176" t="s">
        <v>389</v>
      </c>
      <c r="AH19" s="176"/>
    </row>
    <row r="20" spans="2:34" ht="13.8" x14ac:dyDescent="0.25">
      <c r="B20" s="176"/>
      <c r="C20" s="176"/>
      <c r="D20" s="176" t="s">
        <v>150</v>
      </c>
      <c r="E20" s="176"/>
      <c r="F20" s="214">
        <f t="shared" si="1"/>
        <v>2018</v>
      </c>
      <c r="H20" s="165">
        <v>0</v>
      </c>
      <c r="O20" s="246"/>
      <c r="P20" s="246"/>
      <c r="T20" s="216"/>
      <c r="W20" s="176"/>
      <c r="X20" s="176"/>
      <c r="Y20" s="195" t="str">
        <f>B$3&amp;"ACH_"&amp;$Y$4&amp;"_ST"</f>
        <v>INDPCHACH_N_ST</v>
      </c>
      <c r="Z20" s="176" t="str">
        <f t="shared" si="0"/>
        <v>Other Agriculture Chemicalsn Standard</v>
      </c>
      <c r="AA20" s="176" t="s">
        <v>206</v>
      </c>
      <c r="AB20" s="176" t="s">
        <v>242</v>
      </c>
      <c r="AC20" s="176"/>
      <c r="AD20" s="195"/>
      <c r="AE20" s="195"/>
      <c r="AG20" s="176" t="s">
        <v>390</v>
      </c>
      <c r="AH20" s="176"/>
    </row>
    <row r="21" spans="2:34" ht="13.8" x14ac:dyDescent="0.25">
      <c r="B21" s="176"/>
      <c r="C21" s="176"/>
      <c r="D21" s="176" t="s">
        <v>168</v>
      </c>
      <c r="E21" s="176"/>
      <c r="F21" s="214">
        <f t="shared" si="1"/>
        <v>2018</v>
      </c>
      <c r="H21" s="165">
        <v>0</v>
      </c>
      <c r="O21" s="246"/>
      <c r="P21" s="246"/>
      <c r="T21" s="216"/>
      <c r="W21" s="176"/>
      <c r="X21" s="176"/>
      <c r="Y21" s="195" t="str">
        <f>B$3&amp;"ACH_"&amp;$Y$4&amp;"_IM"</f>
        <v>INDPCHACH_N_IM</v>
      </c>
      <c r="Z21" s="176" t="str">
        <f t="shared" si="0"/>
        <v>Other Agriculture Chemicalsn Improved</v>
      </c>
      <c r="AA21" s="176" t="s">
        <v>206</v>
      </c>
      <c r="AB21" s="176" t="s">
        <v>242</v>
      </c>
      <c r="AC21" s="176"/>
      <c r="AD21" s="195"/>
      <c r="AE21" s="195"/>
      <c r="AG21" s="176" t="s">
        <v>391</v>
      </c>
      <c r="AH21" s="176"/>
    </row>
    <row r="22" spans="2:34" ht="13.8" x14ac:dyDescent="0.25">
      <c r="B22" s="176"/>
      <c r="C22" s="176"/>
      <c r="D22" s="176" t="s">
        <v>162</v>
      </c>
      <c r="E22" s="176"/>
      <c r="F22" s="214">
        <f t="shared" si="1"/>
        <v>2018</v>
      </c>
      <c r="H22" s="165">
        <v>0</v>
      </c>
      <c r="O22" s="246"/>
      <c r="P22" s="246"/>
      <c r="T22" s="216"/>
      <c r="W22" s="176"/>
      <c r="X22" s="176"/>
      <c r="Y22" s="195" t="str">
        <f>B$3&amp;"ACH_"&amp;$Y$4&amp;"_AD"</f>
        <v>INDPCHACH_N_AD</v>
      </c>
      <c r="Z22" s="176" t="str">
        <f t="shared" si="0"/>
        <v>Other Agriculture Chemicalsn Advanced</v>
      </c>
      <c r="AA22" s="176" t="s">
        <v>206</v>
      </c>
      <c r="AB22" s="176" t="s">
        <v>242</v>
      </c>
      <c r="AC22" s="176"/>
      <c r="AD22" s="195"/>
      <c r="AE22" s="195"/>
      <c r="AG22" s="176" t="s">
        <v>392</v>
      </c>
      <c r="AH22" s="176"/>
    </row>
    <row r="23" spans="2:34" ht="13.8" x14ac:dyDescent="0.25">
      <c r="B23" s="219"/>
      <c r="C23" s="219"/>
      <c r="D23" s="219"/>
      <c r="E23" s="219" t="s">
        <v>420</v>
      </c>
      <c r="F23" s="220">
        <f>F17</f>
        <v>2018</v>
      </c>
      <c r="G23" s="221"/>
      <c r="H23" s="223"/>
      <c r="I23" s="221"/>
      <c r="J23" s="221"/>
      <c r="K23" s="221"/>
      <c r="L23" s="221"/>
      <c r="M23" s="221"/>
      <c r="N23" s="221"/>
      <c r="O23" s="249"/>
      <c r="P23" s="249"/>
      <c r="T23" s="216"/>
      <c r="W23" s="176"/>
      <c r="X23" s="176"/>
      <c r="Y23" s="195" t="str">
        <f>B$3&amp;"OCH_"&amp;$Y$4&amp;"_ST"</f>
        <v>INDPCHOCH_N_ST</v>
      </c>
      <c r="Z23" s="176" t="str">
        <f t="shared" si="0"/>
        <v>Other Chemicals Standard</v>
      </c>
      <c r="AA23" s="176" t="s">
        <v>206</v>
      </c>
      <c r="AB23" s="176" t="s">
        <v>242</v>
      </c>
      <c r="AC23" s="176"/>
      <c r="AD23" s="195"/>
      <c r="AE23" s="195"/>
      <c r="AG23" s="176" t="s">
        <v>393</v>
      </c>
      <c r="AH23" s="176"/>
    </row>
    <row r="24" spans="2:34" ht="13.8" x14ac:dyDescent="0.25">
      <c r="B24" s="176" t="str">
        <f>Y15</f>
        <v>INDPCHFER_N_IM</v>
      </c>
      <c r="C24" s="176" t="str">
        <f>Z15</f>
        <v>Fertlizers Improved</v>
      </c>
      <c r="D24" s="176" t="str">
        <f>D10</f>
        <v>INDCOASUB</v>
      </c>
      <c r="E24" s="176"/>
      <c r="F24" s="214">
        <f>G24</f>
        <v>2025</v>
      </c>
      <c r="G24" s="174">
        <f>BASE_YEAR+8</f>
        <v>2025</v>
      </c>
      <c r="H24" s="165">
        <f>MIN(H10*$I$3,1)</f>
        <v>0</v>
      </c>
      <c r="I24" s="215">
        <f>AVERAGE(I38,I10)</f>
        <v>0.87</v>
      </c>
      <c r="J24" s="174">
        <v>1</v>
      </c>
      <c r="K24" s="216">
        <f>4.97808043106438*(1/0.9)</f>
        <v>5.5312004789604226</v>
      </c>
      <c r="L24" s="224">
        <f>0.005*K24</f>
        <v>2.7656002394802114E-2</v>
      </c>
      <c r="N24" s="174">
        <v>50</v>
      </c>
      <c r="O24" s="246"/>
      <c r="P24" s="246"/>
      <c r="T24" s="216"/>
      <c r="W24" s="176"/>
      <c r="X24" s="176"/>
      <c r="Y24" s="195" t="str">
        <f>B$3&amp;"OCH_"&amp;$Y$4&amp;"_IM"</f>
        <v>INDPCHOCH_N_IM</v>
      </c>
      <c r="Z24" s="176" t="str">
        <f t="shared" si="0"/>
        <v>Other Chemicals Improved</v>
      </c>
      <c r="AA24" s="176" t="s">
        <v>206</v>
      </c>
      <c r="AB24" s="176" t="s">
        <v>242</v>
      </c>
      <c r="AC24" s="176"/>
      <c r="AD24" s="195"/>
      <c r="AE24" s="195"/>
      <c r="AG24" s="176" t="s">
        <v>394</v>
      </c>
      <c r="AH24" s="176"/>
    </row>
    <row r="25" spans="2:34" ht="13.8" x14ac:dyDescent="0.25">
      <c r="B25" s="176"/>
      <c r="C25" s="176"/>
      <c r="D25" s="176" t="str">
        <f t="shared" ref="D25:D36" si="2">D11</f>
        <v>INDPCHHTH</v>
      </c>
      <c r="E25" s="176"/>
      <c r="F25" s="214">
        <f>F24</f>
        <v>2025</v>
      </c>
      <c r="H25" s="165">
        <f t="shared" ref="H25:H36" si="3">MIN(H11*$I$3,1)</f>
        <v>0.29333333333333333</v>
      </c>
      <c r="N25" s="176"/>
      <c r="O25" s="246"/>
      <c r="P25" s="246"/>
      <c r="T25" s="216"/>
      <c r="W25" s="176"/>
      <c r="X25" s="176"/>
      <c r="Y25" s="195" t="str">
        <f>B$3&amp;"OCH_"&amp;$Y$4&amp;"_AD"</f>
        <v>INDPCHOCH_N_AD</v>
      </c>
      <c r="Z25" s="176" t="str">
        <f t="shared" si="0"/>
        <v>Other Chemicals Advanced</v>
      </c>
      <c r="AA25" s="176" t="s">
        <v>206</v>
      </c>
      <c r="AB25" s="176" t="s">
        <v>242</v>
      </c>
      <c r="AC25" s="176"/>
      <c r="AD25" s="195"/>
      <c r="AE25" s="195"/>
      <c r="AG25" s="176" t="s">
        <v>395</v>
      </c>
      <c r="AH25" s="176"/>
    </row>
    <row r="26" spans="2:34" ht="13.8" x14ac:dyDescent="0.25">
      <c r="B26" s="176"/>
      <c r="C26" s="176"/>
      <c r="D26" s="176" t="str">
        <f t="shared" si="2"/>
        <v>INDOILHFO</v>
      </c>
      <c r="E26" s="176"/>
      <c r="F26" s="214">
        <f t="shared" ref="F26:F36" si="4">F25</f>
        <v>2025</v>
      </c>
      <c r="H26" s="165">
        <f t="shared" si="3"/>
        <v>0</v>
      </c>
      <c r="O26" s="246"/>
      <c r="P26" s="246"/>
      <c r="T26" s="216"/>
      <c r="AH26" s="176"/>
    </row>
    <row r="27" spans="2:34" ht="13.8" x14ac:dyDescent="0.25">
      <c r="B27" s="176"/>
      <c r="C27" s="176"/>
      <c r="D27" s="176" t="str">
        <f t="shared" si="2"/>
        <v>INDGASNAT</v>
      </c>
      <c r="E27" s="176"/>
      <c r="F27" s="214">
        <f t="shared" si="4"/>
        <v>2025</v>
      </c>
      <c r="H27" s="165">
        <f t="shared" si="3"/>
        <v>0</v>
      </c>
      <c r="O27" s="246"/>
      <c r="P27" s="246"/>
      <c r="T27" s="216"/>
      <c r="AH27" s="176"/>
    </row>
    <row r="28" spans="2:34" ht="13.8" x14ac:dyDescent="0.25">
      <c r="B28" s="176"/>
      <c r="C28" s="176"/>
      <c r="D28" s="176" t="str">
        <f t="shared" si="2"/>
        <v>INDELC</v>
      </c>
      <c r="E28" s="176"/>
      <c r="F28" s="214">
        <f t="shared" si="4"/>
        <v>2025</v>
      </c>
      <c r="H28" s="165">
        <f t="shared" si="3"/>
        <v>1</v>
      </c>
      <c r="O28" s="246"/>
      <c r="P28" s="246"/>
      <c r="T28" s="216"/>
      <c r="AH28" s="176"/>
    </row>
    <row r="29" spans="2:34" ht="13.8" x14ac:dyDescent="0.25">
      <c r="B29" s="176" t="s">
        <v>281</v>
      </c>
      <c r="C29" s="176"/>
      <c r="D29" s="176" t="str">
        <f t="shared" si="2"/>
        <v>INDOILPCK</v>
      </c>
      <c r="E29" s="176"/>
      <c r="F29" s="214">
        <f t="shared" si="4"/>
        <v>2025</v>
      </c>
      <c r="H29" s="165">
        <f t="shared" si="3"/>
        <v>0</v>
      </c>
      <c r="O29" s="246"/>
      <c r="P29" s="246"/>
      <c r="T29" s="216"/>
    </row>
    <row r="30" spans="2:34" ht="13.8" x14ac:dyDescent="0.25">
      <c r="B30" s="176"/>
      <c r="C30" s="176"/>
      <c r="D30" s="176" t="str">
        <f t="shared" si="2"/>
        <v>INDCOACOC</v>
      </c>
      <c r="E30" s="176"/>
      <c r="F30" s="214">
        <f t="shared" si="4"/>
        <v>2025</v>
      </c>
      <c r="H30" s="165">
        <f t="shared" si="3"/>
        <v>0</v>
      </c>
      <c r="O30" s="246"/>
      <c r="P30" s="246"/>
      <c r="T30" s="216"/>
    </row>
    <row r="31" spans="2:34" ht="13.8" x14ac:dyDescent="0.25">
      <c r="B31" s="176"/>
      <c r="C31" s="176"/>
      <c r="D31" s="176" t="str">
        <f t="shared" si="2"/>
        <v>INDCOABCO</v>
      </c>
      <c r="E31" s="176"/>
      <c r="F31" s="214">
        <f t="shared" si="4"/>
        <v>2025</v>
      </c>
      <c r="H31" s="165">
        <f t="shared" si="3"/>
        <v>0</v>
      </c>
      <c r="O31" s="246"/>
      <c r="P31" s="246"/>
      <c r="T31" s="216"/>
    </row>
    <row r="32" spans="2:34" ht="13.8" x14ac:dyDescent="0.25">
      <c r="B32" s="176"/>
      <c r="C32" s="176"/>
      <c r="D32" s="176" t="str">
        <f t="shared" si="2"/>
        <v>INDCOABKB</v>
      </c>
      <c r="E32" s="176"/>
      <c r="F32" s="214">
        <f t="shared" si="4"/>
        <v>2025</v>
      </c>
      <c r="H32" s="165">
        <f t="shared" si="3"/>
        <v>0</v>
      </c>
      <c r="O32" s="246"/>
      <c r="P32" s="246"/>
      <c r="T32" s="216"/>
    </row>
    <row r="33" spans="2:25" ht="13.8" x14ac:dyDescent="0.25">
      <c r="B33" s="176"/>
      <c r="C33" s="176"/>
      <c r="D33" s="176" t="str">
        <f t="shared" si="2"/>
        <v>INDOILLPG</v>
      </c>
      <c r="E33" s="176"/>
      <c r="F33" s="214">
        <f t="shared" si="4"/>
        <v>2025</v>
      </c>
      <c r="H33" s="165">
        <f t="shared" si="3"/>
        <v>7.4074074074074068E-3</v>
      </c>
      <c r="O33" s="246"/>
      <c r="P33" s="246"/>
      <c r="T33" s="216"/>
    </row>
    <row r="34" spans="2:25" ht="13.8" x14ac:dyDescent="0.25">
      <c r="B34" s="176"/>
      <c r="C34" s="176"/>
      <c r="D34" s="176" t="str">
        <f t="shared" si="2"/>
        <v>INDOILDSL</v>
      </c>
      <c r="E34" s="176"/>
      <c r="F34" s="214">
        <f t="shared" si="4"/>
        <v>2025</v>
      </c>
      <c r="H34" s="165">
        <f t="shared" si="3"/>
        <v>0</v>
      </c>
      <c r="O34" s="246"/>
      <c r="P34" s="246"/>
      <c r="T34" s="216"/>
    </row>
    <row r="35" spans="2:25" ht="13.8" x14ac:dyDescent="0.25">
      <c r="B35" s="176"/>
      <c r="C35" s="176"/>
      <c r="D35" s="176" t="str">
        <f t="shared" si="2"/>
        <v>INDBIOLOG</v>
      </c>
      <c r="E35" s="176"/>
      <c r="F35" s="214">
        <f t="shared" si="4"/>
        <v>2025</v>
      </c>
      <c r="H35" s="165">
        <f t="shared" si="3"/>
        <v>0</v>
      </c>
      <c r="O35" s="246"/>
      <c r="P35" s="246"/>
      <c r="T35" s="216"/>
    </row>
    <row r="36" spans="2:25" ht="13.8" x14ac:dyDescent="0.25">
      <c r="B36" s="176"/>
      <c r="C36" s="176"/>
      <c r="D36" s="176" t="str">
        <f t="shared" si="2"/>
        <v>INDOILOTH</v>
      </c>
      <c r="E36" s="176"/>
      <c r="F36" s="214">
        <f t="shared" si="4"/>
        <v>2025</v>
      </c>
      <c r="H36" s="165">
        <f t="shared" si="3"/>
        <v>0</v>
      </c>
      <c r="O36" s="246"/>
      <c r="P36" s="246"/>
      <c r="T36" s="216"/>
    </row>
    <row r="37" spans="2:25" ht="13.8" x14ac:dyDescent="0.25">
      <c r="B37" s="219"/>
      <c r="C37" s="219"/>
      <c r="D37" s="219"/>
      <c r="E37" s="219" t="str">
        <f>E23</f>
        <v>INDFER</v>
      </c>
      <c r="F37" s="220">
        <f>F31</f>
        <v>2025</v>
      </c>
      <c r="G37" s="221"/>
      <c r="H37" s="223"/>
      <c r="I37" s="221"/>
      <c r="J37" s="221"/>
      <c r="K37" s="221"/>
      <c r="L37" s="221"/>
      <c r="M37" s="221"/>
      <c r="N37" s="221"/>
      <c r="O37" s="249"/>
      <c r="P37" s="249"/>
      <c r="T37" s="216"/>
    </row>
    <row r="38" spans="2:25" ht="13.8" x14ac:dyDescent="0.25">
      <c r="B38" s="176" t="str">
        <f>Y16</f>
        <v>INDPCHFER_N_AD</v>
      </c>
      <c r="C38" s="176" t="str">
        <f>Z16</f>
        <v>Fertlizers Advanced</v>
      </c>
      <c r="D38" s="176" t="str">
        <f t="shared" ref="D38:D49" si="5">D24</f>
        <v>INDCOASUB</v>
      </c>
      <c r="E38" s="176"/>
      <c r="F38" s="214">
        <f>G38</f>
        <v>2030</v>
      </c>
      <c r="G38" s="174">
        <f>BASE_YEAR+13</f>
        <v>2030</v>
      </c>
      <c r="H38" s="165">
        <f>MIN(H24*$I$4,1)</f>
        <v>0</v>
      </c>
      <c r="I38" s="176">
        <v>0.94</v>
      </c>
      <c r="J38" s="174">
        <v>1</v>
      </c>
      <c r="K38" s="216">
        <f>6.19532119453653*(1/0.9)</f>
        <v>6.8836902161516997</v>
      </c>
      <c r="L38" s="224">
        <f>0.005*K38</f>
        <v>3.44184510807585E-2</v>
      </c>
      <c r="N38" s="174">
        <v>50</v>
      </c>
      <c r="O38" s="246"/>
      <c r="P38" s="246"/>
      <c r="T38" s="216"/>
    </row>
    <row r="39" spans="2:25" ht="13.8" x14ac:dyDescent="0.25">
      <c r="B39" s="176"/>
      <c r="C39" s="176"/>
      <c r="D39" s="176" t="str">
        <f t="shared" si="5"/>
        <v>INDPCHHTH</v>
      </c>
      <c r="E39" s="176"/>
      <c r="F39" s="214">
        <f>F38</f>
        <v>2030</v>
      </c>
      <c r="H39" s="165">
        <v>0.2</v>
      </c>
      <c r="N39" s="176"/>
      <c r="O39" s="246"/>
      <c r="P39" s="246"/>
      <c r="T39" s="216"/>
    </row>
    <row r="40" spans="2:25" ht="13.8" x14ac:dyDescent="0.25">
      <c r="B40" s="176"/>
      <c r="C40" s="176"/>
      <c r="D40" s="176" t="str">
        <f t="shared" si="5"/>
        <v>INDOILHFO</v>
      </c>
      <c r="E40" s="176"/>
      <c r="F40" s="214">
        <f t="shared" ref="F40:F50" si="6">F39</f>
        <v>2030</v>
      </c>
      <c r="H40" s="165">
        <f t="shared" ref="H40:H49" si="7">MIN(H26*$I$4,1)</f>
        <v>0</v>
      </c>
      <c r="O40" s="246"/>
      <c r="P40" s="246"/>
      <c r="T40" s="216"/>
      <c r="W40" s="176"/>
      <c r="X40" s="176"/>
      <c r="Y40" s="195"/>
    </row>
    <row r="41" spans="2:25" ht="13.8" x14ac:dyDescent="0.25">
      <c r="B41" s="176"/>
      <c r="C41" s="176"/>
      <c r="D41" s="176" t="str">
        <f t="shared" si="5"/>
        <v>INDGASNAT</v>
      </c>
      <c r="E41" s="176"/>
      <c r="F41" s="214">
        <f t="shared" si="6"/>
        <v>2030</v>
      </c>
      <c r="H41" s="165">
        <f t="shared" si="7"/>
        <v>0</v>
      </c>
      <c r="O41" s="246"/>
      <c r="P41" s="246"/>
      <c r="T41" s="216"/>
      <c r="W41" s="176"/>
      <c r="X41" s="176"/>
      <c r="Y41" s="195"/>
    </row>
    <row r="42" spans="2:25" ht="13.8" x14ac:dyDescent="0.25">
      <c r="B42" s="176"/>
      <c r="C42" s="176"/>
      <c r="D42" s="176" t="str">
        <f t="shared" si="5"/>
        <v>INDELC</v>
      </c>
      <c r="E42" s="176"/>
      <c r="F42" s="214">
        <f t="shared" si="6"/>
        <v>2030</v>
      </c>
      <c r="H42" s="165">
        <f t="shared" si="7"/>
        <v>1</v>
      </c>
      <c r="O42" s="246"/>
      <c r="P42" s="246"/>
      <c r="T42" s="216"/>
      <c r="W42" s="176"/>
      <c r="X42" s="176"/>
      <c r="Y42" s="195"/>
    </row>
    <row r="43" spans="2:25" ht="13.8" x14ac:dyDescent="0.25">
      <c r="B43" s="176" t="s">
        <v>281</v>
      </c>
      <c r="C43" s="176"/>
      <c r="D43" s="176" t="str">
        <f t="shared" si="5"/>
        <v>INDOILPCK</v>
      </c>
      <c r="E43" s="176"/>
      <c r="F43" s="214">
        <f t="shared" si="6"/>
        <v>2030</v>
      </c>
      <c r="H43" s="165">
        <f t="shared" si="7"/>
        <v>0</v>
      </c>
      <c r="O43" s="246"/>
      <c r="P43" s="246"/>
      <c r="T43" s="216"/>
      <c r="W43" s="176"/>
      <c r="X43" s="176"/>
      <c r="Y43" s="195"/>
    </row>
    <row r="44" spans="2:25" ht="13.8" x14ac:dyDescent="0.25">
      <c r="B44" s="176"/>
      <c r="C44" s="176"/>
      <c r="D44" s="176" t="str">
        <f t="shared" si="5"/>
        <v>INDCOACOC</v>
      </c>
      <c r="E44" s="176"/>
      <c r="F44" s="214">
        <f t="shared" si="6"/>
        <v>2030</v>
      </c>
      <c r="H44" s="165">
        <f t="shared" si="7"/>
        <v>0</v>
      </c>
      <c r="O44" s="246"/>
      <c r="P44" s="246"/>
      <c r="T44" s="216"/>
      <c r="W44" s="176"/>
      <c r="X44" s="176"/>
      <c r="Y44" s="195"/>
    </row>
    <row r="45" spans="2:25" ht="13.8" x14ac:dyDescent="0.25">
      <c r="B45" s="176"/>
      <c r="C45" s="176"/>
      <c r="D45" s="176" t="str">
        <f t="shared" si="5"/>
        <v>INDCOABCO</v>
      </c>
      <c r="E45" s="176"/>
      <c r="F45" s="214">
        <f t="shared" si="6"/>
        <v>2030</v>
      </c>
      <c r="H45" s="165">
        <f t="shared" si="7"/>
        <v>0</v>
      </c>
      <c r="O45" s="246"/>
      <c r="P45" s="246"/>
      <c r="T45" s="216"/>
      <c r="W45" s="176"/>
      <c r="X45" s="176"/>
      <c r="Y45" s="195"/>
    </row>
    <row r="46" spans="2:25" ht="13.8" x14ac:dyDescent="0.25">
      <c r="B46" s="176"/>
      <c r="C46" s="176"/>
      <c r="D46" s="176" t="str">
        <f t="shared" si="5"/>
        <v>INDCOABKB</v>
      </c>
      <c r="E46" s="176"/>
      <c r="F46" s="214">
        <f t="shared" si="6"/>
        <v>2030</v>
      </c>
      <c r="H46" s="165">
        <f t="shared" si="7"/>
        <v>0</v>
      </c>
      <c r="O46" s="246"/>
      <c r="P46" s="246"/>
      <c r="T46" s="216"/>
      <c r="W46" s="176"/>
      <c r="X46" s="176"/>
      <c r="Y46" s="195"/>
    </row>
    <row r="47" spans="2:25" ht="13.8" x14ac:dyDescent="0.25">
      <c r="B47" s="176"/>
      <c r="C47" s="176"/>
      <c r="D47" s="176" t="str">
        <f t="shared" si="5"/>
        <v>INDOILLPG</v>
      </c>
      <c r="E47" s="176"/>
      <c r="F47" s="214">
        <f t="shared" si="6"/>
        <v>2030</v>
      </c>
      <c r="H47" s="165">
        <f t="shared" si="7"/>
        <v>1.111111111111111E-2</v>
      </c>
      <c r="O47" s="246"/>
      <c r="P47" s="246"/>
      <c r="T47" s="216"/>
      <c r="W47" s="176"/>
      <c r="X47" s="176"/>
      <c r="Y47" s="195"/>
    </row>
    <row r="48" spans="2:25" ht="13.8" x14ac:dyDescent="0.25">
      <c r="B48" s="176"/>
      <c r="C48" s="176"/>
      <c r="D48" s="176" t="str">
        <f t="shared" si="5"/>
        <v>INDOILDSL</v>
      </c>
      <c r="E48" s="176"/>
      <c r="F48" s="214">
        <f t="shared" si="6"/>
        <v>2030</v>
      </c>
      <c r="H48" s="165">
        <f t="shared" si="7"/>
        <v>0</v>
      </c>
      <c r="O48" s="246"/>
      <c r="P48" s="246"/>
      <c r="T48" s="216"/>
      <c r="W48" s="176"/>
      <c r="X48" s="176"/>
      <c r="Y48" s="195"/>
    </row>
    <row r="49" spans="2:25" ht="13.8" x14ac:dyDescent="0.25">
      <c r="B49" s="176"/>
      <c r="C49" s="176"/>
      <c r="D49" s="176" t="str">
        <f t="shared" si="5"/>
        <v>INDBIOLOG</v>
      </c>
      <c r="E49" s="176"/>
      <c r="F49" s="214">
        <f t="shared" si="6"/>
        <v>2030</v>
      </c>
      <c r="H49" s="165">
        <f t="shared" si="7"/>
        <v>0</v>
      </c>
      <c r="O49" s="246"/>
      <c r="P49" s="246"/>
      <c r="T49" s="216"/>
      <c r="W49" s="176"/>
      <c r="X49" s="176"/>
      <c r="Y49" s="195"/>
    </row>
    <row r="50" spans="2:25" ht="14.4" x14ac:dyDescent="0.3">
      <c r="B50" s="176"/>
      <c r="C50" s="176"/>
      <c r="D50" s="227" t="s">
        <v>1077</v>
      </c>
      <c r="E50" s="176"/>
      <c r="F50" s="214">
        <f t="shared" si="6"/>
        <v>2030</v>
      </c>
      <c r="H50" s="165">
        <v>0.2</v>
      </c>
      <c r="O50" s="246"/>
      <c r="P50" s="246"/>
      <c r="T50" s="216"/>
      <c r="W50" s="176"/>
      <c r="X50" s="176"/>
      <c r="Y50" s="195"/>
    </row>
    <row r="51" spans="2:25" ht="13.8" x14ac:dyDescent="0.25">
      <c r="B51" s="219"/>
      <c r="C51" s="219"/>
      <c r="D51" s="219"/>
      <c r="E51" s="219" t="str">
        <f>E37</f>
        <v>INDFER</v>
      </c>
      <c r="F51" s="220">
        <f>F45</f>
        <v>2030</v>
      </c>
      <c r="G51" s="221"/>
      <c r="H51" s="221"/>
      <c r="I51" s="221"/>
      <c r="J51" s="221"/>
      <c r="K51" s="221"/>
      <c r="L51" s="221"/>
      <c r="M51" s="221"/>
      <c r="N51" s="221"/>
      <c r="O51" s="249"/>
      <c r="P51" s="249"/>
      <c r="T51" s="216"/>
      <c r="W51" s="176"/>
      <c r="X51" s="176"/>
      <c r="Y51" s="195"/>
    </row>
    <row r="52" spans="2:25" ht="13.8" x14ac:dyDescent="0.25">
      <c r="T52" s="216"/>
      <c r="W52" s="176"/>
      <c r="X52" s="176"/>
      <c r="Y52" s="195"/>
    </row>
    <row r="53" spans="2:25" ht="13.8" x14ac:dyDescent="0.25">
      <c r="T53" s="216"/>
      <c r="W53" s="176"/>
      <c r="X53" s="176"/>
      <c r="Y53" s="195"/>
    </row>
    <row r="54" spans="2:25" ht="13.8" x14ac:dyDescent="0.25">
      <c r="T54" s="216"/>
      <c r="W54" s="176"/>
      <c r="X54" s="176"/>
      <c r="Y54" s="195"/>
    </row>
    <row r="55" spans="2:25" ht="13.8" x14ac:dyDescent="0.25">
      <c r="B55" s="176"/>
      <c r="C55" s="176"/>
      <c r="D55" s="176"/>
      <c r="E55" s="197"/>
      <c r="F55" s="187" t="s">
        <v>0</v>
      </c>
      <c r="G55" s="187"/>
      <c r="H55" s="198"/>
      <c r="I55" s="198"/>
      <c r="J55" s="198"/>
      <c r="K55" s="199"/>
      <c r="L55" s="199"/>
      <c r="M55" s="199"/>
      <c r="N55" s="176"/>
      <c r="O55" s="219"/>
      <c r="P55" s="219"/>
      <c r="T55" s="216"/>
      <c r="W55" s="176"/>
      <c r="X55" s="176"/>
      <c r="Y55" s="195"/>
    </row>
    <row r="56" spans="2:25" ht="13.8" x14ac:dyDescent="0.25">
      <c r="B56" s="200" t="s">
        <v>1</v>
      </c>
      <c r="C56" s="201" t="s">
        <v>227</v>
      </c>
      <c r="D56" s="200" t="s">
        <v>3</v>
      </c>
      <c r="E56" s="200" t="s">
        <v>4</v>
      </c>
      <c r="F56" s="202" t="s">
        <v>233</v>
      </c>
      <c r="G56" s="203" t="s">
        <v>14</v>
      </c>
      <c r="H56" s="204" t="s">
        <v>342</v>
      </c>
      <c r="I56" s="205" t="s">
        <v>16</v>
      </c>
      <c r="J56" s="204" t="s">
        <v>50</v>
      </c>
      <c r="K56" s="204" t="s">
        <v>36</v>
      </c>
      <c r="L56" s="204" t="s">
        <v>5</v>
      </c>
      <c r="M56" s="204" t="s">
        <v>34</v>
      </c>
      <c r="N56" s="204" t="s">
        <v>48</v>
      </c>
      <c r="O56" s="243" t="s">
        <v>1020</v>
      </c>
      <c r="P56" s="243" t="s">
        <v>377</v>
      </c>
      <c r="T56" s="216"/>
      <c r="W56" s="176"/>
      <c r="X56" s="176"/>
      <c r="Y56" s="195"/>
    </row>
    <row r="57" spans="2:25" ht="28.2" thickBot="1" x14ac:dyDescent="0.3">
      <c r="B57" s="207" t="s">
        <v>234</v>
      </c>
      <c r="C57" s="207" t="s">
        <v>28</v>
      </c>
      <c r="D57" s="207" t="s">
        <v>32</v>
      </c>
      <c r="E57" s="207" t="s">
        <v>33</v>
      </c>
      <c r="F57" s="208"/>
      <c r="G57" s="209" t="s">
        <v>35</v>
      </c>
      <c r="H57" s="207"/>
      <c r="I57" s="207" t="s">
        <v>303</v>
      </c>
      <c r="J57" s="207" t="s">
        <v>329</v>
      </c>
      <c r="K57" s="207" t="s">
        <v>37</v>
      </c>
      <c r="L57" s="207" t="s">
        <v>38</v>
      </c>
      <c r="M57" s="207" t="s">
        <v>39</v>
      </c>
      <c r="N57" s="207" t="s">
        <v>218</v>
      </c>
      <c r="O57" s="207"/>
      <c r="P57" s="207"/>
      <c r="T57" s="216"/>
      <c r="W57" s="176"/>
      <c r="X57" s="176"/>
      <c r="Y57" s="195"/>
    </row>
    <row r="58" spans="2:25" ht="15" x14ac:dyDescent="0.25">
      <c r="B58" s="210"/>
      <c r="C58" s="211"/>
      <c r="D58" s="211"/>
      <c r="E58" s="211" t="s">
        <v>231</v>
      </c>
      <c r="F58" s="212"/>
      <c r="G58" s="211"/>
      <c r="H58" s="211"/>
      <c r="I58" s="213" t="s">
        <v>306</v>
      </c>
      <c r="J58" s="211"/>
      <c r="K58" s="211" t="s">
        <v>442</v>
      </c>
      <c r="L58" s="211" t="s">
        <v>440</v>
      </c>
      <c r="M58" s="211" t="s">
        <v>439</v>
      </c>
      <c r="N58" s="211" t="s">
        <v>40</v>
      </c>
      <c r="O58" s="211"/>
      <c r="P58" s="211"/>
      <c r="R58" s="176"/>
      <c r="S58" s="176" t="s">
        <v>444</v>
      </c>
      <c r="T58" s="216"/>
      <c r="W58" s="176"/>
      <c r="X58" s="176"/>
      <c r="Y58" s="195"/>
    </row>
    <row r="59" spans="2:25" ht="13.8" x14ac:dyDescent="0.25">
      <c r="B59" s="176" t="str">
        <f>Y17</f>
        <v>INDPCHPCH_N_ST</v>
      </c>
      <c r="C59" s="176" t="str">
        <f>Z17</f>
        <v>Petrochemicals Standard</v>
      </c>
      <c r="D59" s="176" t="s">
        <v>426</v>
      </c>
      <c r="E59" s="176"/>
      <c r="F59" s="214">
        <f>G59</f>
        <v>2018</v>
      </c>
      <c r="G59" s="174">
        <f>BASE_YEAR+1</f>
        <v>2018</v>
      </c>
      <c r="H59" s="173">
        <v>0</v>
      </c>
      <c r="I59" s="215">
        <v>0.8</v>
      </c>
      <c r="J59" s="174">
        <v>1</v>
      </c>
      <c r="K59" s="216">
        <f>15*(1/0.9)</f>
        <v>16.666666666666668</v>
      </c>
      <c r="L59" s="216">
        <f>0.005*K59</f>
        <v>8.3333333333333343E-2</v>
      </c>
      <c r="N59" s="174">
        <v>50</v>
      </c>
      <c r="O59" s="246"/>
      <c r="P59" s="246"/>
      <c r="R59" s="250">
        <v>14</v>
      </c>
      <c r="S59" s="250">
        <f>R61/R60</f>
        <v>393.88489208633092</v>
      </c>
      <c r="T59" s="248"/>
      <c r="W59" s="176"/>
      <c r="X59" s="176"/>
      <c r="Y59" s="195"/>
    </row>
    <row r="60" spans="2:25" ht="13.8" x14ac:dyDescent="0.25">
      <c r="B60" s="176"/>
      <c r="C60" s="176"/>
      <c r="D60" s="176" t="s">
        <v>423</v>
      </c>
      <c r="E60" s="176"/>
      <c r="F60" s="214">
        <f>F59</f>
        <v>2018</v>
      </c>
      <c r="H60" s="173">
        <v>0.19800000000000001</v>
      </c>
      <c r="K60" s="216"/>
      <c r="L60" s="216"/>
      <c r="N60" s="176"/>
      <c r="O60" s="246"/>
      <c r="P60" s="246"/>
      <c r="R60" s="250">
        <f>R59*278/(0.75*8760)</f>
        <v>0.59238964992389653</v>
      </c>
      <c r="S60" s="250"/>
      <c r="T60" s="216">
        <f>S59/K59</f>
        <v>23.633093525179852</v>
      </c>
      <c r="W60" s="176"/>
      <c r="X60" s="176"/>
      <c r="Y60" s="195"/>
    </row>
    <row r="61" spans="2:25" ht="13.8" x14ac:dyDescent="0.25">
      <c r="B61" s="176"/>
      <c r="C61" s="176"/>
      <c r="D61" s="176" t="s">
        <v>265</v>
      </c>
      <c r="E61" s="176"/>
      <c r="F61" s="214">
        <f t="shared" ref="F61:F71" si="8">F60</f>
        <v>2018</v>
      </c>
      <c r="H61" s="173">
        <v>0</v>
      </c>
      <c r="K61" s="216"/>
      <c r="L61" s="216"/>
      <c r="O61" s="246"/>
      <c r="P61" s="246"/>
      <c r="R61" s="250">
        <f>R59*K59</f>
        <v>233.33333333333334</v>
      </c>
      <c r="S61" s="250"/>
      <c r="T61" s="216"/>
      <c r="W61" s="176"/>
      <c r="X61" s="176"/>
      <c r="Y61" s="195"/>
    </row>
    <row r="62" spans="2:25" ht="13.8" x14ac:dyDescent="0.25">
      <c r="B62" s="176"/>
      <c r="C62" s="176"/>
      <c r="D62" s="176" t="s">
        <v>164</v>
      </c>
      <c r="E62" s="176"/>
      <c r="F62" s="214">
        <f t="shared" si="8"/>
        <v>2018</v>
      </c>
      <c r="H62" s="173">
        <v>0</v>
      </c>
      <c r="K62" s="216"/>
      <c r="L62" s="216"/>
      <c r="O62" s="246"/>
      <c r="P62" s="246"/>
      <c r="T62" s="216"/>
      <c r="W62" s="176"/>
      <c r="X62" s="176"/>
      <c r="Y62" s="195"/>
    </row>
    <row r="63" spans="2:25" ht="13.8" x14ac:dyDescent="0.25">
      <c r="B63" s="176"/>
      <c r="C63" s="176"/>
      <c r="D63" s="176" t="s">
        <v>199</v>
      </c>
      <c r="E63" s="176"/>
      <c r="F63" s="214">
        <f t="shared" si="8"/>
        <v>2018</v>
      </c>
      <c r="H63" s="173">
        <v>0.79700000000000004</v>
      </c>
      <c r="K63" s="216"/>
      <c r="L63" s="216"/>
      <c r="O63" s="246"/>
      <c r="P63" s="246"/>
      <c r="T63" s="216"/>
      <c r="W63" s="176"/>
      <c r="X63" s="176"/>
      <c r="Y63" s="195"/>
    </row>
    <row r="64" spans="2:25" ht="13.8" x14ac:dyDescent="0.25">
      <c r="B64" s="176" t="s">
        <v>281</v>
      </c>
      <c r="C64" s="176"/>
      <c r="D64" s="176" t="s">
        <v>160</v>
      </c>
      <c r="E64" s="176"/>
      <c r="F64" s="214">
        <f t="shared" si="8"/>
        <v>2018</v>
      </c>
      <c r="H64" s="173">
        <v>0</v>
      </c>
      <c r="K64" s="216"/>
      <c r="L64" s="216"/>
      <c r="O64" s="246"/>
      <c r="P64" s="246"/>
      <c r="T64" s="216"/>
      <c r="W64" s="176"/>
      <c r="X64" s="176"/>
      <c r="Y64" s="195"/>
    </row>
    <row r="65" spans="2:25" ht="13.8" x14ac:dyDescent="0.25">
      <c r="B65" s="176"/>
      <c r="C65" s="176"/>
      <c r="D65" s="176" t="s">
        <v>144</v>
      </c>
      <c r="E65" s="176"/>
      <c r="F65" s="214">
        <f t="shared" si="8"/>
        <v>2018</v>
      </c>
      <c r="H65" s="173">
        <v>0</v>
      </c>
      <c r="K65" s="216"/>
      <c r="L65" s="216"/>
      <c r="O65" s="246"/>
      <c r="P65" s="246"/>
      <c r="T65" s="216"/>
      <c r="W65" s="176"/>
      <c r="X65" s="176"/>
      <c r="Y65" s="195"/>
    </row>
    <row r="66" spans="2:25" ht="14.4" x14ac:dyDescent="0.3">
      <c r="B66" s="176"/>
      <c r="C66" s="176"/>
      <c r="D66" s="227" t="s">
        <v>1077</v>
      </c>
      <c r="E66" s="227"/>
      <c r="F66" s="228">
        <f t="shared" si="8"/>
        <v>2018</v>
      </c>
      <c r="G66" s="229"/>
      <c r="H66" s="230">
        <v>0</v>
      </c>
      <c r="K66" s="216"/>
      <c r="L66" s="216"/>
      <c r="O66" s="246"/>
      <c r="P66" s="246"/>
      <c r="T66" s="216"/>
      <c r="W66" s="176"/>
      <c r="X66" s="176"/>
      <c r="Y66" s="195"/>
    </row>
    <row r="67" spans="2:25" ht="13.8" x14ac:dyDescent="0.25">
      <c r="B67" s="176"/>
      <c r="C67" s="176"/>
      <c r="D67" s="176" t="s">
        <v>148</v>
      </c>
      <c r="E67" s="176"/>
      <c r="F67" s="214">
        <f t="shared" si="8"/>
        <v>2018</v>
      </c>
      <c r="H67" s="173">
        <v>0</v>
      </c>
      <c r="K67" s="216"/>
      <c r="L67" s="216"/>
      <c r="O67" s="246"/>
      <c r="P67" s="246"/>
      <c r="T67" s="216"/>
      <c r="W67" s="176"/>
      <c r="X67" s="176"/>
      <c r="Y67" s="195"/>
    </row>
    <row r="68" spans="2:25" ht="13.8" x14ac:dyDescent="0.25">
      <c r="B68" s="176"/>
      <c r="C68" s="176"/>
      <c r="D68" s="176" t="s">
        <v>154</v>
      </c>
      <c r="E68" s="176"/>
      <c r="F68" s="214">
        <f t="shared" si="8"/>
        <v>2018</v>
      </c>
      <c r="H68" s="173">
        <v>5.0000000000000001E-3</v>
      </c>
      <c r="K68" s="216"/>
      <c r="L68" s="216"/>
      <c r="O68" s="246"/>
      <c r="P68" s="246"/>
      <c r="T68" s="216"/>
      <c r="W68" s="176"/>
      <c r="X68" s="176"/>
      <c r="Y68" s="195"/>
    </row>
    <row r="69" spans="2:25" ht="13.8" x14ac:dyDescent="0.25">
      <c r="B69" s="176"/>
      <c r="C69" s="176"/>
      <c r="D69" s="176" t="s">
        <v>150</v>
      </c>
      <c r="E69" s="176"/>
      <c r="F69" s="214">
        <f t="shared" si="8"/>
        <v>2018</v>
      </c>
      <c r="H69" s="173">
        <v>0</v>
      </c>
      <c r="K69" s="216"/>
      <c r="L69" s="216"/>
      <c r="O69" s="246"/>
      <c r="P69" s="246"/>
      <c r="T69" s="216"/>
      <c r="W69" s="176"/>
      <c r="X69" s="176"/>
      <c r="Y69" s="195"/>
    </row>
    <row r="70" spans="2:25" ht="13.8" x14ac:dyDescent="0.25">
      <c r="B70" s="176"/>
      <c r="C70" s="176"/>
      <c r="D70" s="176" t="s">
        <v>168</v>
      </c>
      <c r="E70" s="176"/>
      <c r="F70" s="214">
        <f t="shared" si="8"/>
        <v>2018</v>
      </c>
      <c r="H70" s="173">
        <v>0</v>
      </c>
      <c r="K70" s="216"/>
      <c r="L70" s="216"/>
      <c r="O70" s="246"/>
      <c r="P70" s="246"/>
      <c r="T70" s="216"/>
      <c r="W70" s="176"/>
      <c r="X70" s="176"/>
      <c r="Y70" s="195"/>
    </row>
    <row r="71" spans="2:25" ht="13.8" x14ac:dyDescent="0.25">
      <c r="B71" s="176"/>
      <c r="C71" s="176"/>
      <c r="D71" s="176" t="s">
        <v>162</v>
      </c>
      <c r="E71" s="176"/>
      <c r="F71" s="214">
        <f t="shared" si="8"/>
        <v>2018</v>
      </c>
      <c r="H71" s="173">
        <v>0</v>
      </c>
      <c r="K71" s="216"/>
      <c r="L71" s="216"/>
      <c r="O71" s="246"/>
      <c r="P71" s="246"/>
      <c r="T71" s="216"/>
      <c r="W71" s="176"/>
      <c r="X71" s="176"/>
      <c r="Y71" s="195"/>
    </row>
    <row r="72" spans="2:25" ht="13.8" x14ac:dyDescent="0.25">
      <c r="B72" s="176"/>
      <c r="C72" s="176"/>
      <c r="D72" s="176" t="s">
        <v>599</v>
      </c>
      <c r="E72" s="176"/>
      <c r="F72" s="214">
        <f>F71</f>
        <v>2018</v>
      </c>
      <c r="H72" s="173">
        <v>0.65600000000000003</v>
      </c>
      <c r="K72" s="216"/>
      <c r="L72" s="216"/>
      <c r="O72" s="246"/>
      <c r="P72" s="246"/>
      <c r="T72" s="216"/>
      <c r="W72" s="176"/>
      <c r="X72" s="176"/>
      <c r="Y72" s="195"/>
    </row>
    <row r="73" spans="2:25" ht="13.8" x14ac:dyDescent="0.25">
      <c r="B73" s="219"/>
      <c r="C73" s="219"/>
      <c r="D73" s="219"/>
      <c r="E73" s="219" t="s">
        <v>375</v>
      </c>
      <c r="F73" s="220">
        <f>F66</f>
        <v>2018</v>
      </c>
      <c r="G73" s="221"/>
      <c r="H73" s="221"/>
      <c r="I73" s="221"/>
      <c r="J73" s="221"/>
      <c r="K73" s="223"/>
      <c r="L73" s="223"/>
      <c r="M73" s="221"/>
      <c r="N73" s="221"/>
      <c r="O73" s="249"/>
      <c r="P73" s="249"/>
      <c r="T73" s="216"/>
      <c r="W73" s="176"/>
      <c r="X73" s="176"/>
      <c r="Y73" s="195"/>
    </row>
    <row r="74" spans="2:25" ht="13.8" x14ac:dyDescent="0.25">
      <c r="B74" s="176" t="str">
        <f>Y18</f>
        <v>INDPCHPCH_N_IM</v>
      </c>
      <c r="C74" s="176" t="str">
        <f>Z18</f>
        <v>Petrochemicals Improved</v>
      </c>
      <c r="D74" s="176" t="str">
        <f>D59</f>
        <v>INDCOASUB</v>
      </c>
      <c r="E74" s="176"/>
      <c r="F74" s="214">
        <f>G74</f>
        <v>2025</v>
      </c>
      <c r="G74" s="174">
        <f>BASE_YEAR+8</f>
        <v>2025</v>
      </c>
      <c r="H74" s="173">
        <f t="shared" ref="H74:H86" si="9">MIN(H59*$I$3,1)</f>
        <v>0</v>
      </c>
      <c r="I74" s="215">
        <f>AVERAGE(I89,I59)</f>
        <v>0.87</v>
      </c>
      <c r="J74" s="174">
        <v>1</v>
      </c>
      <c r="K74" s="216">
        <f>45.0624903591965*(1/0.9)</f>
        <v>50.069433732440558</v>
      </c>
      <c r="L74" s="216">
        <f>0.005*K74</f>
        <v>0.2503471686622028</v>
      </c>
      <c r="N74" s="174">
        <v>50</v>
      </c>
      <c r="O74" s="246"/>
      <c r="P74" s="246"/>
      <c r="T74" s="216"/>
      <c r="W74" s="176"/>
      <c r="X74" s="176"/>
      <c r="Y74" s="195"/>
    </row>
    <row r="75" spans="2:25" ht="13.8" x14ac:dyDescent="0.25">
      <c r="B75" s="176"/>
      <c r="C75" s="176"/>
      <c r="D75" s="176" t="str">
        <f t="shared" ref="D75:D87" si="10">D60</f>
        <v>INDPCHHTH</v>
      </c>
      <c r="E75" s="176"/>
      <c r="F75" s="214">
        <f>F74</f>
        <v>2025</v>
      </c>
      <c r="H75" s="173">
        <f t="shared" si="9"/>
        <v>0.29333333333333333</v>
      </c>
      <c r="K75" s="216"/>
      <c r="L75" s="216"/>
      <c r="N75" s="176"/>
      <c r="O75" s="246"/>
      <c r="P75" s="246"/>
      <c r="T75" s="216"/>
      <c r="W75" s="176"/>
      <c r="X75" s="176"/>
      <c r="Y75" s="195"/>
    </row>
    <row r="76" spans="2:25" ht="13.8" x14ac:dyDescent="0.25">
      <c r="B76" s="176"/>
      <c r="C76" s="176"/>
      <c r="D76" s="176" t="str">
        <f t="shared" si="10"/>
        <v>INDOILHFO</v>
      </c>
      <c r="E76" s="176"/>
      <c r="F76" s="214">
        <f t="shared" ref="F76:F86" si="11">F75</f>
        <v>2025</v>
      </c>
      <c r="H76" s="173">
        <f t="shared" si="9"/>
        <v>0</v>
      </c>
      <c r="K76" s="216"/>
      <c r="L76" s="216"/>
      <c r="O76" s="246"/>
      <c r="P76" s="246"/>
      <c r="T76" s="216"/>
      <c r="W76" s="176"/>
      <c r="X76" s="176"/>
      <c r="Y76" s="195"/>
    </row>
    <row r="77" spans="2:25" ht="13.8" x14ac:dyDescent="0.25">
      <c r="B77" s="176"/>
      <c r="C77" s="176"/>
      <c r="D77" s="176" t="str">
        <f t="shared" si="10"/>
        <v>INDGASNAT</v>
      </c>
      <c r="E77" s="176"/>
      <c r="F77" s="214">
        <f t="shared" si="11"/>
        <v>2025</v>
      </c>
      <c r="H77" s="173">
        <f t="shared" si="9"/>
        <v>0</v>
      </c>
      <c r="K77" s="216"/>
      <c r="L77" s="216"/>
      <c r="O77" s="246"/>
      <c r="P77" s="246"/>
      <c r="T77" s="216"/>
      <c r="W77" s="176"/>
      <c r="X77" s="176"/>
      <c r="Y77" s="195"/>
    </row>
    <row r="78" spans="2:25" ht="13.8" x14ac:dyDescent="0.25">
      <c r="B78" s="176"/>
      <c r="C78" s="176"/>
      <c r="D78" s="176" t="str">
        <f t="shared" si="10"/>
        <v>INDELC</v>
      </c>
      <c r="E78" s="176"/>
      <c r="F78" s="214">
        <f t="shared" si="11"/>
        <v>2025</v>
      </c>
      <c r="H78" s="173">
        <f t="shared" si="9"/>
        <v>1</v>
      </c>
      <c r="K78" s="216"/>
      <c r="L78" s="216"/>
      <c r="O78" s="246"/>
      <c r="P78" s="246"/>
      <c r="T78" s="216"/>
      <c r="W78" s="176"/>
      <c r="X78" s="176"/>
      <c r="Y78" s="195"/>
    </row>
    <row r="79" spans="2:25" ht="13.8" x14ac:dyDescent="0.25">
      <c r="B79" s="176" t="s">
        <v>281</v>
      </c>
      <c r="C79" s="176"/>
      <c r="D79" s="176" t="str">
        <f t="shared" si="10"/>
        <v>INDOILPCK</v>
      </c>
      <c r="E79" s="176"/>
      <c r="F79" s="214">
        <f t="shared" si="11"/>
        <v>2025</v>
      </c>
      <c r="H79" s="173">
        <f t="shared" si="9"/>
        <v>0</v>
      </c>
      <c r="K79" s="216"/>
      <c r="L79" s="216"/>
      <c r="O79" s="246"/>
      <c r="P79" s="246"/>
      <c r="T79" s="216"/>
      <c r="W79" s="176"/>
      <c r="X79" s="176"/>
      <c r="Y79" s="195"/>
    </row>
    <row r="80" spans="2:25" ht="13.8" x14ac:dyDescent="0.25">
      <c r="B80" s="176"/>
      <c r="C80" s="176"/>
      <c r="D80" s="176" t="str">
        <f t="shared" si="10"/>
        <v>INDCOACOC</v>
      </c>
      <c r="E80" s="176"/>
      <c r="F80" s="214">
        <f t="shared" si="11"/>
        <v>2025</v>
      </c>
      <c r="H80" s="173">
        <f t="shared" si="9"/>
        <v>0</v>
      </c>
      <c r="K80" s="216"/>
      <c r="L80" s="216"/>
      <c r="O80" s="246"/>
      <c r="P80" s="246"/>
      <c r="T80" s="216"/>
      <c r="W80" s="176"/>
      <c r="X80" s="176"/>
      <c r="Y80" s="195"/>
    </row>
    <row r="81" spans="2:25" ht="14.4" x14ac:dyDescent="0.3">
      <c r="B81" s="176"/>
      <c r="C81" s="176"/>
      <c r="D81" s="227" t="str">
        <f t="shared" si="10"/>
        <v>INDH2L</v>
      </c>
      <c r="E81" s="227"/>
      <c r="F81" s="228">
        <f t="shared" si="11"/>
        <v>2025</v>
      </c>
      <c r="G81" s="229"/>
      <c r="H81" s="230">
        <v>0.1</v>
      </c>
      <c r="K81" s="216"/>
      <c r="L81" s="216"/>
      <c r="O81" s="246"/>
      <c r="P81" s="246"/>
      <c r="T81" s="216"/>
      <c r="W81" s="176"/>
      <c r="X81" s="176"/>
      <c r="Y81" s="195"/>
    </row>
    <row r="82" spans="2:25" ht="13.8" x14ac:dyDescent="0.25">
      <c r="B82" s="176"/>
      <c r="C82" s="176"/>
      <c r="D82" s="176" t="str">
        <f t="shared" si="10"/>
        <v>INDCOABKB</v>
      </c>
      <c r="E82" s="176"/>
      <c r="F82" s="214">
        <f t="shared" si="11"/>
        <v>2025</v>
      </c>
      <c r="H82" s="173">
        <f t="shared" si="9"/>
        <v>0</v>
      </c>
      <c r="K82" s="216"/>
      <c r="L82" s="216"/>
      <c r="O82" s="246"/>
      <c r="P82" s="246"/>
      <c r="T82" s="216"/>
      <c r="W82" s="176"/>
      <c r="X82" s="176"/>
      <c r="Y82" s="195"/>
    </row>
    <row r="83" spans="2:25" ht="13.8" x14ac:dyDescent="0.25">
      <c r="B83" s="176"/>
      <c r="C83" s="176"/>
      <c r="D83" s="176" t="str">
        <f t="shared" si="10"/>
        <v>INDOILLPG</v>
      </c>
      <c r="E83" s="176"/>
      <c r="F83" s="214">
        <f t="shared" si="11"/>
        <v>2025</v>
      </c>
      <c r="H83" s="173">
        <f t="shared" si="9"/>
        <v>7.4074074074074068E-3</v>
      </c>
      <c r="K83" s="216"/>
      <c r="L83" s="216"/>
      <c r="O83" s="246"/>
      <c r="P83" s="246"/>
      <c r="T83" s="216"/>
      <c r="W83" s="176"/>
      <c r="X83" s="176"/>
      <c r="Y83" s="195"/>
    </row>
    <row r="84" spans="2:25" ht="13.8" x14ac:dyDescent="0.25">
      <c r="B84" s="176"/>
      <c r="C84" s="176"/>
      <c r="D84" s="176" t="str">
        <f t="shared" si="10"/>
        <v>INDOILDSL</v>
      </c>
      <c r="E84" s="176"/>
      <c r="F84" s="214">
        <f t="shared" si="11"/>
        <v>2025</v>
      </c>
      <c r="H84" s="173">
        <f t="shared" si="9"/>
        <v>0</v>
      </c>
      <c r="K84" s="216"/>
      <c r="L84" s="216"/>
      <c r="O84" s="246"/>
      <c r="P84" s="246"/>
      <c r="T84" s="216"/>
      <c r="W84" s="176"/>
      <c r="X84" s="176"/>
      <c r="Y84" s="195"/>
    </row>
    <row r="85" spans="2:25" ht="13.8" x14ac:dyDescent="0.25">
      <c r="B85" s="176"/>
      <c r="C85" s="176"/>
      <c r="D85" s="176" t="str">
        <f t="shared" si="10"/>
        <v>INDBIOLOG</v>
      </c>
      <c r="E85" s="176"/>
      <c r="F85" s="214">
        <f t="shared" si="11"/>
        <v>2025</v>
      </c>
      <c r="H85" s="173">
        <f t="shared" si="9"/>
        <v>0</v>
      </c>
      <c r="K85" s="216"/>
      <c r="L85" s="216"/>
      <c r="O85" s="246"/>
      <c r="P85" s="246"/>
      <c r="T85" s="216"/>
      <c r="W85" s="176"/>
      <c r="X85" s="176"/>
      <c r="Y85" s="195"/>
    </row>
    <row r="86" spans="2:25" ht="13.8" x14ac:dyDescent="0.25">
      <c r="B86" s="176"/>
      <c r="C86" s="176"/>
      <c r="D86" s="176" t="str">
        <f t="shared" si="10"/>
        <v>INDOILOTH</v>
      </c>
      <c r="E86" s="176"/>
      <c r="F86" s="214">
        <f t="shared" si="11"/>
        <v>2025</v>
      </c>
      <c r="H86" s="173">
        <f t="shared" si="9"/>
        <v>0</v>
      </c>
      <c r="K86" s="216"/>
      <c r="L86" s="216"/>
      <c r="O86" s="246"/>
      <c r="P86" s="246"/>
      <c r="T86" s="216"/>
      <c r="W86" s="176"/>
      <c r="X86" s="176"/>
      <c r="Y86" s="195"/>
    </row>
    <row r="87" spans="2:25" ht="13.8" x14ac:dyDescent="0.25">
      <c r="B87" s="176"/>
      <c r="C87" s="176"/>
      <c r="D87" s="176" t="str">
        <f t="shared" si="10"/>
        <v>INDOILRFG</v>
      </c>
      <c r="E87" s="176"/>
      <c r="F87" s="214">
        <f>F86</f>
        <v>2025</v>
      </c>
      <c r="H87" s="173"/>
      <c r="K87" s="216"/>
      <c r="L87" s="216"/>
      <c r="O87" s="246"/>
      <c r="P87" s="246"/>
      <c r="T87" s="216"/>
      <c r="W87" s="176"/>
      <c r="X87" s="176"/>
      <c r="Y87" s="195"/>
    </row>
    <row r="88" spans="2:25" ht="13.8" x14ac:dyDescent="0.25">
      <c r="B88" s="219"/>
      <c r="C88" s="219"/>
      <c r="D88" s="219"/>
      <c r="E88" s="219" t="str">
        <f>E73</f>
        <v>INDPCH</v>
      </c>
      <c r="F88" s="220">
        <f>F81</f>
        <v>2025</v>
      </c>
      <c r="G88" s="221"/>
      <c r="H88" s="221"/>
      <c r="I88" s="221"/>
      <c r="J88" s="221"/>
      <c r="K88" s="223"/>
      <c r="L88" s="223"/>
      <c r="M88" s="221"/>
      <c r="N88" s="221"/>
      <c r="O88" s="249"/>
      <c r="P88" s="249"/>
      <c r="T88" s="216"/>
      <c r="W88" s="176"/>
      <c r="X88" s="176"/>
      <c r="Y88" s="195"/>
    </row>
    <row r="89" spans="2:25" ht="13.8" x14ac:dyDescent="0.25">
      <c r="B89" s="176" t="str">
        <f>Y19</f>
        <v>INDPCHPCH_N_AD</v>
      </c>
      <c r="C89" s="176" t="str">
        <f>Z19</f>
        <v>Petrochemicals Advanced</v>
      </c>
      <c r="D89" s="176" t="str">
        <f>D74</f>
        <v>INDCOASUB</v>
      </c>
      <c r="E89" s="176"/>
      <c r="F89" s="214">
        <f>G89</f>
        <v>2030</v>
      </c>
      <c r="G89" s="174">
        <f>BASE_YEAR+13</f>
        <v>2030</v>
      </c>
      <c r="H89" s="173">
        <f t="shared" ref="H89:H101" si="12">MIN(H74*$I$4,1)</f>
        <v>0</v>
      </c>
      <c r="I89" s="176">
        <v>0.94</v>
      </c>
      <c r="J89" s="174">
        <v>1</v>
      </c>
      <c r="K89" s="216">
        <f>135.375202491512*(1/0.9)</f>
        <v>150.41689165723557</v>
      </c>
      <c r="L89" s="216">
        <f>0.005*K89</f>
        <v>0.75208445828617787</v>
      </c>
      <c r="N89" s="174">
        <v>50</v>
      </c>
      <c r="O89" s="246"/>
      <c r="P89" s="246"/>
      <c r="T89" s="216"/>
      <c r="W89" s="176"/>
      <c r="X89" s="176"/>
      <c r="Y89" s="195"/>
    </row>
    <row r="90" spans="2:25" ht="13.8" x14ac:dyDescent="0.25">
      <c r="B90" s="176"/>
      <c r="C90" s="176"/>
      <c r="D90" s="176" t="str">
        <f t="shared" ref="D90:D102" si="13">D75</f>
        <v>INDPCHHTH</v>
      </c>
      <c r="E90" s="176"/>
      <c r="F90" s="214">
        <f>F89</f>
        <v>2030</v>
      </c>
      <c r="H90" s="173">
        <f t="shared" si="12"/>
        <v>0.44</v>
      </c>
      <c r="N90" s="176"/>
      <c r="O90" s="246"/>
      <c r="P90" s="246"/>
      <c r="T90" s="216"/>
      <c r="W90" s="176"/>
      <c r="X90" s="176"/>
      <c r="Y90" s="195"/>
    </row>
    <row r="91" spans="2:25" ht="13.8" x14ac:dyDescent="0.25">
      <c r="B91" s="176"/>
      <c r="C91" s="176"/>
      <c r="D91" s="176" t="str">
        <f t="shared" si="13"/>
        <v>INDOILHFO</v>
      </c>
      <c r="E91" s="176"/>
      <c r="F91" s="214">
        <f t="shared" ref="F91:F101" si="14">F90</f>
        <v>2030</v>
      </c>
      <c r="H91" s="173">
        <f t="shared" si="12"/>
        <v>0</v>
      </c>
      <c r="O91" s="246"/>
      <c r="P91" s="246"/>
      <c r="T91" s="216"/>
      <c r="W91" s="176"/>
      <c r="X91" s="176"/>
      <c r="Y91" s="195"/>
    </row>
    <row r="92" spans="2:25" ht="13.8" x14ac:dyDescent="0.25">
      <c r="B92" s="176"/>
      <c r="C92" s="176"/>
      <c r="D92" s="176" t="str">
        <f t="shared" si="13"/>
        <v>INDGASNAT</v>
      </c>
      <c r="E92" s="176"/>
      <c r="F92" s="214">
        <f t="shared" si="14"/>
        <v>2030</v>
      </c>
      <c r="H92" s="173">
        <f t="shared" si="12"/>
        <v>0</v>
      </c>
      <c r="O92" s="246"/>
      <c r="P92" s="246"/>
      <c r="T92" s="216"/>
      <c r="W92" s="176"/>
      <c r="X92" s="176"/>
      <c r="Y92" s="195"/>
    </row>
    <row r="93" spans="2:25" ht="13.8" x14ac:dyDescent="0.25">
      <c r="B93" s="176"/>
      <c r="C93" s="176"/>
      <c r="D93" s="176" t="str">
        <f t="shared" si="13"/>
        <v>INDELC</v>
      </c>
      <c r="E93" s="176"/>
      <c r="F93" s="214">
        <f t="shared" si="14"/>
        <v>2030</v>
      </c>
      <c r="H93" s="173">
        <f t="shared" si="12"/>
        <v>1</v>
      </c>
      <c r="O93" s="246"/>
      <c r="P93" s="246"/>
      <c r="T93" s="216"/>
      <c r="W93" s="176"/>
      <c r="X93" s="176"/>
      <c r="Y93" s="195"/>
    </row>
    <row r="94" spans="2:25" ht="13.8" x14ac:dyDescent="0.25">
      <c r="B94" s="176" t="s">
        <v>281</v>
      </c>
      <c r="C94" s="176"/>
      <c r="D94" s="176" t="str">
        <f t="shared" si="13"/>
        <v>INDOILPCK</v>
      </c>
      <c r="E94" s="176"/>
      <c r="F94" s="214">
        <f t="shared" si="14"/>
        <v>2030</v>
      </c>
      <c r="H94" s="173">
        <f t="shared" si="12"/>
        <v>0</v>
      </c>
      <c r="O94" s="246"/>
      <c r="P94" s="246"/>
      <c r="T94" s="216"/>
      <c r="W94" s="176"/>
      <c r="X94" s="176"/>
      <c r="Y94" s="195"/>
    </row>
    <row r="95" spans="2:25" ht="13.8" x14ac:dyDescent="0.25">
      <c r="B95" s="176"/>
      <c r="C95" s="176"/>
      <c r="D95" s="176" t="str">
        <f t="shared" si="13"/>
        <v>INDCOACOC</v>
      </c>
      <c r="E95" s="176"/>
      <c r="F95" s="214">
        <f t="shared" si="14"/>
        <v>2030</v>
      </c>
      <c r="H95" s="173">
        <f t="shared" si="12"/>
        <v>0</v>
      </c>
      <c r="O95" s="246"/>
      <c r="P95" s="246"/>
      <c r="T95" s="216"/>
      <c r="W95" s="176"/>
      <c r="X95" s="176"/>
      <c r="Y95" s="195"/>
    </row>
    <row r="96" spans="2:25" ht="14.4" x14ac:dyDescent="0.3">
      <c r="B96" s="176"/>
      <c r="C96" s="176"/>
      <c r="D96" s="227" t="str">
        <f t="shared" si="13"/>
        <v>INDH2L</v>
      </c>
      <c r="E96" s="227"/>
      <c r="F96" s="228">
        <f t="shared" si="14"/>
        <v>2030</v>
      </c>
      <c r="G96" s="229"/>
      <c r="H96" s="230">
        <v>0.2</v>
      </c>
      <c r="O96" s="246"/>
      <c r="P96" s="246"/>
      <c r="T96" s="216"/>
      <c r="W96" s="176"/>
      <c r="X96" s="176"/>
      <c r="Y96" s="195"/>
    </row>
    <row r="97" spans="2:25" ht="13.8" x14ac:dyDescent="0.25">
      <c r="B97" s="176"/>
      <c r="C97" s="176"/>
      <c r="D97" s="176" t="str">
        <f t="shared" si="13"/>
        <v>INDCOABKB</v>
      </c>
      <c r="E97" s="176"/>
      <c r="F97" s="214">
        <f t="shared" si="14"/>
        <v>2030</v>
      </c>
      <c r="H97" s="173">
        <f t="shared" si="12"/>
        <v>0</v>
      </c>
      <c r="O97" s="246"/>
      <c r="P97" s="246"/>
      <c r="T97" s="216"/>
      <c r="W97" s="176"/>
      <c r="X97" s="176"/>
      <c r="Y97" s="195"/>
    </row>
    <row r="98" spans="2:25" ht="13.8" x14ac:dyDescent="0.25">
      <c r="B98" s="176"/>
      <c r="C98" s="176"/>
      <c r="D98" s="176" t="str">
        <f t="shared" si="13"/>
        <v>INDOILLPG</v>
      </c>
      <c r="E98" s="176"/>
      <c r="F98" s="214">
        <f t="shared" si="14"/>
        <v>2030</v>
      </c>
      <c r="H98" s="173">
        <f t="shared" si="12"/>
        <v>1.111111111111111E-2</v>
      </c>
      <c r="O98" s="246"/>
      <c r="P98" s="246"/>
      <c r="T98" s="216"/>
      <c r="W98" s="176"/>
      <c r="X98" s="176"/>
      <c r="Y98" s="195"/>
    </row>
    <row r="99" spans="2:25" ht="13.8" x14ac:dyDescent="0.25">
      <c r="B99" s="176"/>
      <c r="C99" s="176"/>
      <c r="D99" s="176" t="str">
        <f t="shared" si="13"/>
        <v>INDOILDSL</v>
      </c>
      <c r="E99" s="176"/>
      <c r="F99" s="214">
        <f t="shared" si="14"/>
        <v>2030</v>
      </c>
      <c r="H99" s="173">
        <f t="shared" si="12"/>
        <v>0</v>
      </c>
      <c r="O99" s="246"/>
      <c r="P99" s="246"/>
      <c r="T99" s="216"/>
      <c r="W99" s="176"/>
      <c r="X99" s="176"/>
      <c r="Y99" s="195"/>
    </row>
    <row r="100" spans="2:25" ht="13.8" x14ac:dyDescent="0.25">
      <c r="B100" s="176"/>
      <c r="C100" s="176"/>
      <c r="D100" s="176" t="str">
        <f t="shared" si="13"/>
        <v>INDBIOLOG</v>
      </c>
      <c r="E100" s="176"/>
      <c r="F100" s="214">
        <f t="shared" si="14"/>
        <v>2030</v>
      </c>
      <c r="H100" s="173">
        <f t="shared" si="12"/>
        <v>0</v>
      </c>
      <c r="O100" s="246"/>
      <c r="P100" s="246"/>
      <c r="T100" s="216"/>
      <c r="W100" s="176"/>
      <c r="X100" s="176"/>
      <c r="Y100" s="195"/>
    </row>
    <row r="101" spans="2:25" ht="13.8" x14ac:dyDescent="0.25">
      <c r="B101" s="176"/>
      <c r="C101" s="176"/>
      <c r="D101" s="176" t="str">
        <f t="shared" si="13"/>
        <v>INDOILOTH</v>
      </c>
      <c r="E101" s="176"/>
      <c r="F101" s="214">
        <f t="shared" si="14"/>
        <v>2030</v>
      </c>
      <c r="H101" s="173">
        <f t="shared" si="12"/>
        <v>0</v>
      </c>
      <c r="O101" s="246"/>
      <c r="P101" s="246"/>
      <c r="T101" s="216"/>
      <c r="W101" s="176"/>
      <c r="X101" s="176"/>
      <c r="Y101" s="195"/>
    </row>
    <row r="102" spans="2:25" ht="13.8" x14ac:dyDescent="0.25">
      <c r="B102" s="176"/>
      <c r="C102" s="176"/>
      <c r="D102" s="176" t="str">
        <f t="shared" si="13"/>
        <v>INDOILRFG</v>
      </c>
      <c r="E102" s="176"/>
      <c r="F102" s="214">
        <f>F101</f>
        <v>2030</v>
      </c>
      <c r="H102" s="173"/>
      <c r="O102" s="246"/>
      <c r="P102" s="246"/>
      <c r="T102" s="216"/>
      <c r="W102" s="176"/>
      <c r="X102" s="176"/>
      <c r="Y102" s="195"/>
    </row>
    <row r="103" spans="2:25" ht="13.8" x14ac:dyDescent="0.25">
      <c r="B103" s="219"/>
      <c r="C103" s="219"/>
      <c r="D103" s="219"/>
      <c r="E103" s="219" t="str">
        <f>E88</f>
        <v>INDPCH</v>
      </c>
      <c r="F103" s="220">
        <f>F96</f>
        <v>2030</v>
      </c>
      <c r="G103" s="221"/>
      <c r="H103" s="221"/>
      <c r="I103" s="221"/>
      <c r="J103" s="221"/>
      <c r="K103" s="221"/>
      <c r="L103" s="221"/>
      <c r="M103" s="221"/>
      <c r="N103" s="221"/>
      <c r="O103" s="249"/>
      <c r="P103" s="249"/>
      <c r="T103" s="216"/>
      <c r="W103" s="176"/>
      <c r="X103" s="176"/>
      <c r="Y103" s="195"/>
    </row>
    <row r="104" spans="2:25" ht="13.8" x14ac:dyDescent="0.25">
      <c r="T104" s="216"/>
      <c r="W104" s="176"/>
      <c r="X104" s="176"/>
      <c r="Y104" s="195"/>
    </row>
    <row r="105" spans="2:25" ht="13.8" x14ac:dyDescent="0.25">
      <c r="T105" s="216"/>
      <c r="W105" s="176"/>
      <c r="X105" s="176"/>
      <c r="Y105" s="195"/>
    </row>
    <row r="106" spans="2:25" ht="13.8" x14ac:dyDescent="0.25">
      <c r="T106" s="216"/>
      <c r="W106" s="176"/>
      <c r="X106" s="176"/>
      <c r="Y106" s="195"/>
    </row>
    <row r="107" spans="2:25" ht="13.8" x14ac:dyDescent="0.25">
      <c r="B107" s="176"/>
      <c r="C107" s="176"/>
      <c r="D107" s="176"/>
      <c r="E107" s="197"/>
      <c r="F107" s="187" t="s">
        <v>0</v>
      </c>
      <c r="G107" s="187"/>
      <c r="H107" s="198"/>
      <c r="I107" s="198"/>
      <c r="J107" s="198"/>
      <c r="K107" s="199"/>
      <c r="L107" s="199"/>
      <c r="M107" s="199"/>
      <c r="N107" s="176"/>
      <c r="O107" s="219"/>
      <c r="P107" s="219"/>
      <c r="T107" s="216"/>
      <c r="W107" s="176"/>
      <c r="X107" s="176"/>
      <c r="Y107" s="195"/>
    </row>
    <row r="108" spans="2:25" ht="13.8" x14ac:dyDescent="0.25">
      <c r="B108" s="200" t="s">
        <v>1</v>
      </c>
      <c r="C108" s="201" t="s">
        <v>227</v>
      </c>
      <c r="D108" s="200" t="s">
        <v>3</v>
      </c>
      <c r="E108" s="200" t="s">
        <v>4</v>
      </c>
      <c r="F108" s="202" t="s">
        <v>233</v>
      </c>
      <c r="G108" s="203" t="s">
        <v>14</v>
      </c>
      <c r="H108" s="204" t="s">
        <v>342</v>
      </c>
      <c r="I108" s="205" t="s">
        <v>16</v>
      </c>
      <c r="J108" s="204" t="s">
        <v>50</v>
      </c>
      <c r="K108" s="204" t="s">
        <v>36</v>
      </c>
      <c r="L108" s="204" t="s">
        <v>5</v>
      </c>
      <c r="M108" s="204" t="s">
        <v>34</v>
      </c>
      <c r="N108" s="204" t="s">
        <v>48</v>
      </c>
      <c r="O108" s="243" t="s">
        <v>1020</v>
      </c>
      <c r="P108" s="243" t="s">
        <v>377</v>
      </c>
      <c r="T108" s="216"/>
      <c r="W108" s="176"/>
      <c r="X108" s="176"/>
      <c r="Y108" s="195"/>
    </row>
    <row r="109" spans="2:25" ht="28.2" thickBot="1" x14ac:dyDescent="0.3">
      <c r="B109" s="207" t="s">
        <v>234</v>
      </c>
      <c r="C109" s="207" t="s">
        <v>28</v>
      </c>
      <c r="D109" s="207" t="s">
        <v>32</v>
      </c>
      <c r="E109" s="207" t="s">
        <v>33</v>
      </c>
      <c r="F109" s="208"/>
      <c r="G109" s="209" t="s">
        <v>35</v>
      </c>
      <c r="H109" s="207"/>
      <c r="I109" s="207" t="s">
        <v>303</v>
      </c>
      <c r="J109" s="207" t="s">
        <v>329</v>
      </c>
      <c r="K109" s="207" t="s">
        <v>37</v>
      </c>
      <c r="L109" s="207" t="s">
        <v>38</v>
      </c>
      <c r="M109" s="207" t="s">
        <v>39</v>
      </c>
      <c r="N109" s="207" t="s">
        <v>218</v>
      </c>
      <c r="O109" s="207"/>
      <c r="P109" s="207"/>
      <c r="T109" s="216"/>
      <c r="W109" s="176"/>
      <c r="X109" s="176"/>
      <c r="Y109" s="195"/>
    </row>
    <row r="110" spans="2:25" ht="15" x14ac:dyDescent="0.25">
      <c r="B110" s="210"/>
      <c r="C110" s="211"/>
      <c r="D110" s="211"/>
      <c r="E110" s="211" t="s">
        <v>231</v>
      </c>
      <c r="F110" s="212"/>
      <c r="G110" s="211"/>
      <c r="H110" s="211"/>
      <c r="I110" s="213" t="s">
        <v>306</v>
      </c>
      <c r="J110" s="211"/>
      <c r="K110" s="211" t="s">
        <v>442</v>
      </c>
      <c r="L110" s="211" t="s">
        <v>440</v>
      </c>
      <c r="M110" s="211" t="s">
        <v>439</v>
      </c>
      <c r="N110" s="211" t="s">
        <v>40</v>
      </c>
      <c r="O110" s="211"/>
      <c r="P110" s="211"/>
      <c r="R110" s="176"/>
      <c r="S110" s="176" t="s">
        <v>444</v>
      </c>
      <c r="W110" s="176"/>
      <c r="X110" s="176"/>
      <c r="Y110" s="195"/>
    </row>
    <row r="111" spans="2:25" ht="13.8" x14ac:dyDescent="0.25">
      <c r="B111" s="176" t="str">
        <f>Y20</f>
        <v>INDPCHACH_N_ST</v>
      </c>
      <c r="C111" s="176" t="str">
        <f>Z20</f>
        <v>Other Agriculture Chemicalsn Standard</v>
      </c>
      <c r="D111" s="176" t="s">
        <v>426</v>
      </c>
      <c r="E111" s="176"/>
      <c r="F111" s="214">
        <f>G111</f>
        <v>2018</v>
      </c>
      <c r="G111" s="174">
        <f>BASE_YEAR+1</f>
        <v>2018</v>
      </c>
      <c r="H111" s="173">
        <v>0</v>
      </c>
      <c r="I111" s="215">
        <v>0.8</v>
      </c>
      <c r="J111" s="174">
        <v>1</v>
      </c>
      <c r="K111" s="216">
        <f>2.5*(1/0.9)</f>
        <v>2.7777777777777777</v>
      </c>
      <c r="L111" s="216">
        <f>0.005*K111</f>
        <v>1.3888888888888888E-2</v>
      </c>
      <c r="N111" s="174">
        <v>50</v>
      </c>
      <c r="O111" s="246"/>
      <c r="P111" s="246"/>
      <c r="R111" s="218">
        <v>1627</v>
      </c>
      <c r="S111" s="218">
        <f>R113/R112</f>
        <v>65.647482014388487</v>
      </c>
      <c r="W111" s="176"/>
      <c r="X111" s="176"/>
      <c r="Y111" s="195"/>
    </row>
    <row r="112" spans="2:25" ht="13.8" x14ac:dyDescent="0.25">
      <c r="B112" s="176"/>
      <c r="C112" s="176"/>
      <c r="D112" s="176" t="s">
        <v>423</v>
      </c>
      <c r="E112" s="176"/>
      <c r="F112" s="214">
        <f>F111</f>
        <v>2018</v>
      </c>
      <c r="H112" s="173">
        <v>0.19800000000000001</v>
      </c>
      <c r="O112" s="246"/>
      <c r="P112" s="246"/>
      <c r="R112" s="218">
        <f>R111*278/(0.75*8760)</f>
        <v>68.844140030441395</v>
      </c>
      <c r="S112" s="218"/>
      <c r="T112" s="251">
        <f>S111/K111</f>
        <v>23.633093525179856</v>
      </c>
      <c r="W112" s="176"/>
      <c r="X112" s="176"/>
      <c r="Y112" s="195"/>
    </row>
    <row r="113" spans="2:25" ht="13.8" x14ac:dyDescent="0.25">
      <c r="B113" s="176"/>
      <c r="C113" s="176"/>
      <c r="D113" s="176" t="s">
        <v>265</v>
      </c>
      <c r="E113" s="176"/>
      <c r="F113" s="214">
        <f t="shared" ref="F113:F118" si="15">F112</f>
        <v>2018</v>
      </c>
      <c r="H113" s="173">
        <v>0</v>
      </c>
      <c r="O113" s="246"/>
      <c r="P113" s="246"/>
      <c r="R113" s="218">
        <f>R111*K111</f>
        <v>4519.4444444444443</v>
      </c>
      <c r="S113" s="218"/>
      <c r="W113" s="176"/>
      <c r="X113" s="176"/>
      <c r="Y113" s="195"/>
    </row>
    <row r="114" spans="2:25" ht="13.8" x14ac:dyDescent="0.25">
      <c r="B114" s="176"/>
      <c r="C114" s="176"/>
      <c r="D114" s="176" t="s">
        <v>164</v>
      </c>
      <c r="E114" s="176"/>
      <c r="F114" s="214">
        <f t="shared" si="15"/>
        <v>2018</v>
      </c>
      <c r="H114" s="173">
        <v>0</v>
      </c>
      <c r="O114" s="246"/>
      <c r="P114" s="246"/>
      <c r="W114" s="176"/>
      <c r="X114" s="176"/>
      <c r="Y114" s="195"/>
    </row>
    <row r="115" spans="2:25" ht="13.8" x14ac:dyDescent="0.25">
      <c r="B115" s="176"/>
      <c r="C115" s="176"/>
      <c r="D115" s="176" t="s">
        <v>199</v>
      </c>
      <c r="E115" s="176"/>
      <c r="F115" s="214">
        <f t="shared" si="15"/>
        <v>2018</v>
      </c>
      <c r="H115" s="173">
        <v>0.79700000000000004</v>
      </c>
      <c r="O115" s="246"/>
      <c r="P115" s="246"/>
      <c r="W115" s="176"/>
      <c r="X115" s="176"/>
      <c r="Y115" s="195"/>
    </row>
    <row r="116" spans="2:25" ht="13.8" x14ac:dyDescent="0.25">
      <c r="B116" s="176" t="s">
        <v>281</v>
      </c>
      <c r="C116" s="176"/>
      <c r="D116" s="176" t="s">
        <v>160</v>
      </c>
      <c r="E116" s="176"/>
      <c r="F116" s="214">
        <f t="shared" si="15"/>
        <v>2018</v>
      </c>
      <c r="H116" s="173">
        <v>0</v>
      </c>
      <c r="O116" s="246"/>
      <c r="P116" s="246"/>
      <c r="W116" s="176"/>
      <c r="X116" s="176"/>
      <c r="Y116" s="195"/>
    </row>
    <row r="117" spans="2:25" ht="13.8" x14ac:dyDescent="0.25">
      <c r="B117" s="176"/>
      <c r="C117" s="176"/>
      <c r="D117" s="176" t="s">
        <v>144</v>
      </c>
      <c r="E117" s="176"/>
      <c r="F117" s="214">
        <f t="shared" si="15"/>
        <v>2018</v>
      </c>
      <c r="H117" s="173">
        <v>0</v>
      </c>
      <c r="O117" s="246"/>
      <c r="P117" s="246"/>
      <c r="W117" s="176"/>
      <c r="X117" s="176"/>
      <c r="Y117" s="195"/>
    </row>
    <row r="118" spans="2:25" ht="13.8" x14ac:dyDescent="0.25">
      <c r="B118" s="176"/>
      <c r="C118" s="176"/>
      <c r="D118" s="176" t="s">
        <v>430</v>
      </c>
      <c r="E118" s="176"/>
      <c r="F118" s="214">
        <f t="shared" si="15"/>
        <v>2018</v>
      </c>
      <c r="H118" s="173">
        <v>0</v>
      </c>
      <c r="O118" s="246"/>
      <c r="P118" s="246"/>
      <c r="W118" s="176"/>
      <c r="X118" s="176"/>
      <c r="Y118" s="195"/>
    </row>
    <row r="119" spans="2:25" ht="13.8" x14ac:dyDescent="0.25">
      <c r="B119" s="176"/>
      <c r="C119" s="176"/>
      <c r="D119" s="176" t="s">
        <v>148</v>
      </c>
      <c r="E119" s="176"/>
      <c r="F119" s="214">
        <f>F116</f>
        <v>2018</v>
      </c>
      <c r="H119" s="173">
        <v>0</v>
      </c>
      <c r="O119" s="246"/>
      <c r="P119" s="246"/>
      <c r="W119" s="176"/>
      <c r="X119" s="176"/>
      <c r="Y119" s="195"/>
    </row>
    <row r="120" spans="2:25" ht="13.8" x14ac:dyDescent="0.25">
      <c r="B120" s="176"/>
      <c r="C120" s="176"/>
      <c r="D120" s="176" t="s">
        <v>154</v>
      </c>
      <c r="E120" s="176"/>
      <c r="F120" s="214">
        <f t="shared" ref="F120:F122" si="16">F117</f>
        <v>2018</v>
      </c>
      <c r="H120" s="173">
        <v>5.0000000000000001E-3</v>
      </c>
      <c r="O120" s="246"/>
      <c r="P120" s="246"/>
      <c r="W120" s="176"/>
      <c r="X120" s="176"/>
      <c r="Y120" s="195"/>
    </row>
    <row r="121" spans="2:25" ht="13.8" x14ac:dyDescent="0.25">
      <c r="B121" s="176"/>
      <c r="C121" s="176"/>
      <c r="D121" s="176" t="s">
        <v>150</v>
      </c>
      <c r="E121" s="176"/>
      <c r="F121" s="214">
        <f t="shared" si="16"/>
        <v>2018</v>
      </c>
      <c r="H121" s="173">
        <v>0</v>
      </c>
      <c r="O121" s="246"/>
      <c r="P121" s="246"/>
      <c r="W121" s="176"/>
      <c r="X121" s="176"/>
      <c r="Y121" s="195"/>
    </row>
    <row r="122" spans="2:25" ht="13.8" x14ac:dyDescent="0.25">
      <c r="B122" s="176"/>
      <c r="C122" s="176"/>
      <c r="D122" s="176" t="s">
        <v>168</v>
      </c>
      <c r="E122" s="176"/>
      <c r="F122" s="214">
        <f t="shared" si="16"/>
        <v>2018</v>
      </c>
      <c r="H122" s="173">
        <v>0</v>
      </c>
      <c r="O122" s="246"/>
      <c r="P122" s="246"/>
      <c r="W122" s="176"/>
      <c r="X122" s="176"/>
      <c r="Y122" s="195"/>
    </row>
    <row r="123" spans="2:25" ht="13.8" x14ac:dyDescent="0.25">
      <c r="B123" s="176"/>
      <c r="C123" s="176"/>
      <c r="D123" s="176" t="s">
        <v>162</v>
      </c>
      <c r="E123" s="176"/>
      <c r="F123" s="214">
        <f>F122</f>
        <v>2018</v>
      </c>
      <c r="H123" s="173">
        <v>0</v>
      </c>
      <c r="O123" s="246"/>
      <c r="P123" s="246"/>
      <c r="W123" s="176"/>
      <c r="X123" s="176"/>
      <c r="Y123" s="195"/>
    </row>
    <row r="124" spans="2:25" ht="13.8" x14ac:dyDescent="0.25">
      <c r="B124" s="219"/>
      <c r="C124" s="219"/>
      <c r="D124" s="219"/>
      <c r="E124" s="219" t="s">
        <v>421</v>
      </c>
      <c r="F124" s="220">
        <f>F119</f>
        <v>2018</v>
      </c>
      <c r="G124" s="221"/>
      <c r="H124" s="221"/>
      <c r="I124" s="221"/>
      <c r="J124" s="221"/>
      <c r="K124" s="221"/>
      <c r="L124" s="221"/>
      <c r="M124" s="221"/>
      <c r="N124" s="221"/>
      <c r="O124" s="249"/>
      <c r="P124" s="249"/>
      <c r="W124" s="176"/>
      <c r="X124" s="176"/>
      <c r="Y124" s="195"/>
    </row>
    <row r="125" spans="2:25" ht="13.8" x14ac:dyDescent="0.25">
      <c r="B125" s="176" t="str">
        <f>Y21</f>
        <v>INDPCHACH_N_IM</v>
      </c>
      <c r="C125" s="176" t="str">
        <f>Z21</f>
        <v>Other Agriculture Chemicalsn Improved</v>
      </c>
      <c r="D125" s="176" t="str">
        <f t="shared" ref="D125:D137" si="17">D111</f>
        <v>INDCOASUB</v>
      </c>
      <c r="E125" s="176"/>
      <c r="F125" s="214">
        <f>G125</f>
        <v>2025</v>
      </c>
      <c r="G125" s="174">
        <f>BASE_YEAR+8</f>
        <v>2025</v>
      </c>
      <c r="H125" s="173">
        <f t="shared" ref="H125:H137" si="18">MIN(H111*$I$3,1)</f>
        <v>0</v>
      </c>
      <c r="I125" s="215">
        <f>AVERAGE(I139,I111)</f>
        <v>0.87</v>
      </c>
      <c r="J125" s="174">
        <v>1</v>
      </c>
      <c r="K125" s="216">
        <f>3.11130026941524*(1/0.9)</f>
        <v>3.4570002993502666</v>
      </c>
      <c r="L125" s="224">
        <f>0.005*K125</f>
        <v>1.7285001496751332E-2</v>
      </c>
      <c r="N125" s="174">
        <v>50</v>
      </c>
      <c r="O125" s="246"/>
      <c r="P125" s="246"/>
      <c r="W125" s="176"/>
      <c r="X125" s="176"/>
      <c r="Y125" s="195"/>
    </row>
    <row r="126" spans="2:25" ht="13.8" x14ac:dyDescent="0.25">
      <c r="B126" s="176"/>
      <c r="C126" s="176"/>
      <c r="D126" s="176" t="str">
        <f t="shared" si="17"/>
        <v>INDPCHHTH</v>
      </c>
      <c r="E126" s="176"/>
      <c r="F126" s="214">
        <f>F125</f>
        <v>2025</v>
      </c>
      <c r="H126" s="173">
        <f t="shared" si="18"/>
        <v>0.29333333333333333</v>
      </c>
      <c r="O126" s="246"/>
      <c r="P126" s="246"/>
      <c r="W126" s="176"/>
      <c r="X126" s="176"/>
      <c r="Y126" s="195"/>
    </row>
    <row r="127" spans="2:25" ht="13.8" x14ac:dyDescent="0.25">
      <c r="B127" s="176"/>
      <c r="C127" s="176"/>
      <c r="D127" s="176" t="str">
        <f t="shared" si="17"/>
        <v>INDOILHFO</v>
      </c>
      <c r="E127" s="176"/>
      <c r="F127" s="214">
        <f t="shared" ref="F127:F132" si="19">F126</f>
        <v>2025</v>
      </c>
      <c r="H127" s="173">
        <f t="shared" si="18"/>
        <v>0</v>
      </c>
      <c r="O127" s="246"/>
      <c r="P127" s="246"/>
      <c r="W127" s="176"/>
      <c r="X127" s="176"/>
      <c r="Y127" s="195"/>
    </row>
    <row r="128" spans="2:25" ht="13.8" x14ac:dyDescent="0.25">
      <c r="B128" s="176"/>
      <c r="C128" s="176"/>
      <c r="D128" s="176" t="str">
        <f t="shared" si="17"/>
        <v>INDGASNAT</v>
      </c>
      <c r="E128" s="176"/>
      <c r="F128" s="214">
        <f t="shared" si="19"/>
        <v>2025</v>
      </c>
      <c r="H128" s="173">
        <f t="shared" si="18"/>
        <v>0</v>
      </c>
      <c r="O128" s="246"/>
      <c r="P128" s="246"/>
      <c r="W128" s="176"/>
      <c r="X128" s="176"/>
      <c r="Y128" s="195"/>
    </row>
    <row r="129" spans="2:25" ht="13.8" x14ac:dyDescent="0.25">
      <c r="B129" s="176"/>
      <c r="C129" s="176"/>
      <c r="D129" s="176" t="str">
        <f t="shared" si="17"/>
        <v>INDELC</v>
      </c>
      <c r="E129" s="176"/>
      <c r="F129" s="214">
        <f t="shared" si="19"/>
        <v>2025</v>
      </c>
      <c r="H129" s="173">
        <f t="shared" si="18"/>
        <v>1</v>
      </c>
      <c r="O129" s="246"/>
      <c r="P129" s="246"/>
      <c r="W129" s="176"/>
      <c r="X129" s="176"/>
      <c r="Y129" s="195"/>
    </row>
    <row r="130" spans="2:25" ht="13.8" x14ac:dyDescent="0.25">
      <c r="B130" s="176" t="s">
        <v>281</v>
      </c>
      <c r="C130" s="176"/>
      <c r="D130" s="176" t="str">
        <f t="shared" si="17"/>
        <v>INDOILPCK</v>
      </c>
      <c r="E130" s="176"/>
      <c r="F130" s="214">
        <f t="shared" si="19"/>
        <v>2025</v>
      </c>
      <c r="H130" s="173">
        <f t="shared" si="18"/>
        <v>0</v>
      </c>
      <c r="O130" s="246"/>
      <c r="P130" s="246"/>
      <c r="W130" s="176"/>
      <c r="X130" s="176"/>
      <c r="Y130" s="195"/>
    </row>
    <row r="131" spans="2:25" ht="13.8" x14ac:dyDescent="0.25">
      <c r="B131" s="176"/>
      <c r="C131" s="176"/>
      <c r="D131" s="176" t="str">
        <f t="shared" si="17"/>
        <v>INDCOACOC</v>
      </c>
      <c r="E131" s="176"/>
      <c r="F131" s="214">
        <f t="shared" si="19"/>
        <v>2025</v>
      </c>
      <c r="H131" s="173">
        <f t="shared" si="18"/>
        <v>0</v>
      </c>
      <c r="O131" s="246"/>
      <c r="P131" s="246"/>
      <c r="W131" s="176"/>
      <c r="X131" s="176"/>
      <c r="Y131" s="195"/>
    </row>
    <row r="132" spans="2:25" ht="13.8" x14ac:dyDescent="0.25">
      <c r="B132" s="176"/>
      <c r="C132" s="176"/>
      <c r="D132" s="176" t="str">
        <f t="shared" si="17"/>
        <v>INDCOABCO</v>
      </c>
      <c r="E132" s="176"/>
      <c r="F132" s="214">
        <f t="shared" si="19"/>
        <v>2025</v>
      </c>
      <c r="H132" s="173">
        <f t="shared" si="18"/>
        <v>0</v>
      </c>
      <c r="O132" s="246"/>
      <c r="P132" s="246"/>
      <c r="W132" s="176"/>
      <c r="X132" s="176"/>
      <c r="Y132" s="195"/>
    </row>
    <row r="133" spans="2:25" ht="13.8" x14ac:dyDescent="0.25">
      <c r="B133" s="176"/>
      <c r="C133" s="176"/>
      <c r="D133" s="176" t="str">
        <f t="shared" si="17"/>
        <v>INDCOABKB</v>
      </c>
      <c r="E133" s="176"/>
      <c r="F133" s="214">
        <f>F130</f>
        <v>2025</v>
      </c>
      <c r="H133" s="173">
        <f t="shared" si="18"/>
        <v>0</v>
      </c>
      <c r="O133" s="246"/>
      <c r="P133" s="246"/>
      <c r="W133" s="176"/>
      <c r="X133" s="176"/>
      <c r="Y133" s="195"/>
    </row>
    <row r="134" spans="2:25" ht="13.8" x14ac:dyDescent="0.25">
      <c r="B134" s="176"/>
      <c r="C134" s="176"/>
      <c r="D134" s="176" t="str">
        <f t="shared" si="17"/>
        <v>INDOILLPG</v>
      </c>
      <c r="E134" s="176"/>
      <c r="F134" s="214">
        <f t="shared" ref="F134:F136" si="20">F131</f>
        <v>2025</v>
      </c>
      <c r="H134" s="173">
        <f t="shared" si="18"/>
        <v>7.4074074074074068E-3</v>
      </c>
      <c r="O134" s="246"/>
      <c r="P134" s="246"/>
      <c r="W134" s="176"/>
      <c r="X134" s="176"/>
      <c r="Y134" s="195"/>
    </row>
    <row r="135" spans="2:25" ht="13.8" x14ac:dyDescent="0.25">
      <c r="B135" s="176"/>
      <c r="C135" s="176"/>
      <c r="D135" s="176" t="str">
        <f t="shared" si="17"/>
        <v>INDOILDSL</v>
      </c>
      <c r="E135" s="176"/>
      <c r="F135" s="214">
        <f t="shared" si="20"/>
        <v>2025</v>
      </c>
      <c r="H135" s="173">
        <f t="shared" si="18"/>
        <v>0</v>
      </c>
      <c r="O135" s="246"/>
      <c r="P135" s="246"/>
      <c r="W135" s="176"/>
      <c r="X135" s="176"/>
      <c r="Y135" s="195"/>
    </row>
    <row r="136" spans="2:25" ht="13.8" x14ac:dyDescent="0.25">
      <c r="B136" s="176"/>
      <c r="C136" s="176"/>
      <c r="D136" s="176" t="str">
        <f t="shared" si="17"/>
        <v>INDBIOLOG</v>
      </c>
      <c r="E136" s="176"/>
      <c r="F136" s="214">
        <f t="shared" si="20"/>
        <v>2025</v>
      </c>
      <c r="H136" s="173">
        <f t="shared" si="18"/>
        <v>0</v>
      </c>
      <c r="O136" s="246"/>
      <c r="P136" s="246"/>
      <c r="W136" s="176"/>
      <c r="X136" s="176"/>
      <c r="Y136" s="195"/>
    </row>
    <row r="137" spans="2:25" ht="13.8" x14ac:dyDescent="0.25">
      <c r="B137" s="176"/>
      <c r="C137" s="176"/>
      <c r="D137" s="176" t="str">
        <f t="shared" si="17"/>
        <v>INDOILOTH</v>
      </c>
      <c r="E137" s="176"/>
      <c r="F137" s="214">
        <f>F136</f>
        <v>2025</v>
      </c>
      <c r="H137" s="173">
        <f t="shared" si="18"/>
        <v>0</v>
      </c>
      <c r="O137" s="246"/>
      <c r="P137" s="246"/>
      <c r="W137" s="176"/>
      <c r="X137" s="176"/>
      <c r="Y137" s="195"/>
    </row>
    <row r="138" spans="2:25" ht="13.8" x14ac:dyDescent="0.25">
      <c r="B138" s="219"/>
      <c r="C138" s="219"/>
      <c r="D138" s="219"/>
      <c r="E138" s="219" t="str">
        <f>E124</f>
        <v>INDACH</v>
      </c>
      <c r="F138" s="220">
        <f>F133</f>
        <v>2025</v>
      </c>
      <c r="G138" s="221"/>
      <c r="H138" s="221"/>
      <c r="I138" s="221"/>
      <c r="J138" s="221"/>
      <c r="K138" s="221"/>
      <c r="L138" s="221"/>
      <c r="M138" s="221"/>
      <c r="N138" s="221"/>
      <c r="O138" s="249"/>
      <c r="P138" s="249"/>
      <c r="W138" s="176"/>
      <c r="X138" s="176"/>
      <c r="Y138" s="195"/>
    </row>
    <row r="139" spans="2:25" ht="13.8" x14ac:dyDescent="0.25">
      <c r="B139" s="176" t="str">
        <f>Y22</f>
        <v>INDPCHACH_N_AD</v>
      </c>
      <c r="C139" s="176" t="str">
        <f>Z22</f>
        <v>Other Agriculture Chemicalsn Advanced</v>
      </c>
      <c r="D139" s="176" t="str">
        <f t="shared" ref="D139:D151" si="21">D125</f>
        <v>INDCOASUB</v>
      </c>
      <c r="E139" s="176"/>
      <c r="F139" s="214">
        <f>G139</f>
        <v>2030</v>
      </c>
      <c r="G139" s="174">
        <f>BASE_YEAR+13</f>
        <v>2030</v>
      </c>
      <c r="H139" s="173">
        <f t="shared" ref="H139:H151" si="22">MIN(H125*$I$4,1)</f>
        <v>0</v>
      </c>
      <c r="I139" s="176">
        <v>0.94</v>
      </c>
      <c r="J139" s="174">
        <v>1</v>
      </c>
      <c r="K139" s="216">
        <f>3.87207574658533*(1/0.9)</f>
        <v>4.3023063850948118</v>
      </c>
      <c r="L139" s="224">
        <f>0.005*K139</f>
        <v>2.1511531925474059E-2</v>
      </c>
      <c r="N139" s="174">
        <v>50</v>
      </c>
      <c r="O139" s="246"/>
      <c r="P139" s="246"/>
      <c r="W139" s="176"/>
      <c r="X139" s="176"/>
      <c r="Y139" s="195"/>
    </row>
    <row r="140" spans="2:25" ht="13.8" x14ac:dyDescent="0.25">
      <c r="B140" s="176"/>
      <c r="C140" s="176"/>
      <c r="D140" s="176" t="str">
        <f t="shared" si="21"/>
        <v>INDPCHHTH</v>
      </c>
      <c r="E140" s="176"/>
      <c r="F140" s="214">
        <f>F139</f>
        <v>2030</v>
      </c>
      <c r="H140" s="173">
        <f t="shared" si="22"/>
        <v>0.44</v>
      </c>
      <c r="O140" s="246"/>
      <c r="P140" s="246"/>
      <c r="W140" s="176"/>
      <c r="X140" s="176"/>
      <c r="Y140" s="195"/>
    </row>
    <row r="141" spans="2:25" ht="13.8" x14ac:dyDescent="0.25">
      <c r="B141" s="176"/>
      <c r="C141" s="176"/>
      <c r="D141" s="176" t="str">
        <f t="shared" si="21"/>
        <v>INDOILHFO</v>
      </c>
      <c r="E141" s="176"/>
      <c r="F141" s="214">
        <f t="shared" ref="F141:F146" si="23">F140</f>
        <v>2030</v>
      </c>
      <c r="H141" s="173">
        <f t="shared" si="22"/>
        <v>0</v>
      </c>
      <c r="O141" s="246"/>
      <c r="P141" s="246"/>
      <c r="W141" s="176"/>
      <c r="X141" s="176"/>
      <c r="Y141" s="195"/>
    </row>
    <row r="142" spans="2:25" ht="13.8" x14ac:dyDescent="0.25">
      <c r="B142" s="176"/>
      <c r="C142" s="176"/>
      <c r="D142" s="176" t="str">
        <f t="shared" si="21"/>
        <v>INDGASNAT</v>
      </c>
      <c r="E142" s="176"/>
      <c r="F142" s="214">
        <f t="shared" si="23"/>
        <v>2030</v>
      </c>
      <c r="H142" s="173">
        <f t="shared" si="22"/>
        <v>0</v>
      </c>
      <c r="O142" s="246"/>
      <c r="P142" s="246"/>
      <c r="W142" s="176"/>
      <c r="X142" s="176"/>
      <c r="Y142" s="195"/>
    </row>
    <row r="143" spans="2:25" ht="13.8" x14ac:dyDescent="0.25">
      <c r="B143" s="176"/>
      <c r="C143" s="176"/>
      <c r="D143" s="176" t="str">
        <f t="shared" si="21"/>
        <v>INDELC</v>
      </c>
      <c r="E143" s="176"/>
      <c r="F143" s="214">
        <f t="shared" si="23"/>
        <v>2030</v>
      </c>
      <c r="H143" s="173">
        <f t="shared" si="22"/>
        <v>1</v>
      </c>
      <c r="O143" s="246"/>
      <c r="P143" s="246"/>
      <c r="W143" s="176"/>
      <c r="X143" s="176"/>
      <c r="Y143" s="195"/>
    </row>
    <row r="144" spans="2:25" ht="13.8" x14ac:dyDescent="0.25">
      <c r="B144" s="176" t="s">
        <v>281</v>
      </c>
      <c r="C144" s="176"/>
      <c r="D144" s="176" t="str">
        <f t="shared" si="21"/>
        <v>INDOILPCK</v>
      </c>
      <c r="E144" s="176"/>
      <c r="F144" s="214">
        <f t="shared" si="23"/>
        <v>2030</v>
      </c>
      <c r="H144" s="173">
        <f t="shared" si="22"/>
        <v>0</v>
      </c>
      <c r="O144" s="246"/>
      <c r="P144" s="246"/>
      <c r="W144" s="176"/>
      <c r="X144" s="176"/>
      <c r="Y144" s="195"/>
    </row>
    <row r="145" spans="2:25" ht="13.8" x14ac:dyDescent="0.25">
      <c r="B145" s="176"/>
      <c r="C145" s="176"/>
      <c r="D145" s="176" t="str">
        <f t="shared" si="21"/>
        <v>INDCOACOC</v>
      </c>
      <c r="E145" s="176"/>
      <c r="F145" s="214">
        <f t="shared" si="23"/>
        <v>2030</v>
      </c>
      <c r="H145" s="173">
        <f t="shared" si="22"/>
        <v>0</v>
      </c>
      <c r="O145" s="246"/>
      <c r="P145" s="246"/>
      <c r="W145" s="176"/>
      <c r="X145" s="176"/>
      <c r="Y145" s="195"/>
    </row>
    <row r="146" spans="2:25" ht="13.8" x14ac:dyDescent="0.25">
      <c r="B146" s="176"/>
      <c r="C146" s="176"/>
      <c r="D146" s="176" t="str">
        <f t="shared" si="21"/>
        <v>INDCOABCO</v>
      </c>
      <c r="E146" s="176"/>
      <c r="F146" s="214">
        <f t="shared" si="23"/>
        <v>2030</v>
      </c>
      <c r="H146" s="173">
        <f t="shared" si="22"/>
        <v>0</v>
      </c>
      <c r="O146" s="246"/>
      <c r="P146" s="246"/>
      <c r="W146" s="176"/>
      <c r="X146" s="176"/>
      <c r="Y146" s="195"/>
    </row>
    <row r="147" spans="2:25" ht="13.8" x14ac:dyDescent="0.25">
      <c r="B147" s="176"/>
      <c r="C147" s="176"/>
      <c r="D147" s="176" t="str">
        <f t="shared" si="21"/>
        <v>INDCOABKB</v>
      </c>
      <c r="E147" s="176"/>
      <c r="F147" s="214">
        <f>F144</f>
        <v>2030</v>
      </c>
      <c r="H147" s="173">
        <f t="shared" si="22"/>
        <v>0</v>
      </c>
      <c r="O147" s="246"/>
      <c r="P147" s="246"/>
      <c r="W147" s="176"/>
      <c r="X147" s="176"/>
      <c r="Y147" s="195"/>
    </row>
    <row r="148" spans="2:25" ht="13.8" x14ac:dyDescent="0.25">
      <c r="B148" s="176"/>
      <c r="C148" s="176"/>
      <c r="D148" s="176" t="str">
        <f t="shared" si="21"/>
        <v>INDOILLPG</v>
      </c>
      <c r="E148" s="176"/>
      <c r="F148" s="214">
        <f t="shared" ref="F148:F151" si="24">F145</f>
        <v>2030</v>
      </c>
      <c r="H148" s="173">
        <f t="shared" si="22"/>
        <v>1.111111111111111E-2</v>
      </c>
      <c r="O148" s="246"/>
      <c r="P148" s="246"/>
      <c r="W148" s="176"/>
      <c r="X148" s="176"/>
      <c r="Y148" s="195"/>
    </row>
    <row r="149" spans="2:25" ht="13.8" x14ac:dyDescent="0.25">
      <c r="B149" s="176"/>
      <c r="C149" s="176"/>
      <c r="D149" s="176" t="str">
        <f t="shared" si="21"/>
        <v>INDOILDSL</v>
      </c>
      <c r="E149" s="176"/>
      <c r="F149" s="214">
        <f t="shared" si="24"/>
        <v>2030</v>
      </c>
      <c r="H149" s="173">
        <f t="shared" si="22"/>
        <v>0</v>
      </c>
      <c r="O149" s="246"/>
      <c r="P149" s="246"/>
      <c r="W149" s="176"/>
      <c r="X149" s="176"/>
      <c r="Y149" s="195"/>
    </row>
    <row r="150" spans="2:25" ht="13.8" x14ac:dyDescent="0.25">
      <c r="B150" s="176"/>
      <c r="C150" s="176"/>
      <c r="D150" s="176" t="str">
        <f t="shared" si="21"/>
        <v>INDBIOLOG</v>
      </c>
      <c r="E150" s="176"/>
      <c r="F150" s="214">
        <f t="shared" si="24"/>
        <v>2030</v>
      </c>
      <c r="H150" s="173">
        <f t="shared" si="22"/>
        <v>0</v>
      </c>
      <c r="O150" s="246"/>
      <c r="P150" s="246"/>
      <c r="W150" s="176"/>
      <c r="X150" s="176"/>
      <c r="Y150" s="195"/>
    </row>
    <row r="151" spans="2:25" ht="13.8" x14ac:dyDescent="0.25">
      <c r="B151" s="176"/>
      <c r="C151" s="176"/>
      <c r="D151" s="176" t="str">
        <f t="shared" si="21"/>
        <v>INDOILOTH</v>
      </c>
      <c r="E151" s="176"/>
      <c r="F151" s="214">
        <f t="shared" si="24"/>
        <v>2030</v>
      </c>
      <c r="H151" s="173">
        <f t="shared" si="22"/>
        <v>0</v>
      </c>
      <c r="O151" s="246"/>
      <c r="P151" s="246"/>
      <c r="W151" s="176"/>
      <c r="X151" s="176"/>
      <c r="Y151" s="195"/>
    </row>
    <row r="152" spans="2:25" ht="13.8" x14ac:dyDescent="0.25">
      <c r="B152" s="219"/>
      <c r="C152" s="219"/>
      <c r="D152" s="219"/>
      <c r="E152" s="219" t="str">
        <f>E138</f>
        <v>INDACH</v>
      </c>
      <c r="F152" s="220">
        <f>F147</f>
        <v>2030</v>
      </c>
      <c r="G152" s="221"/>
      <c r="H152" s="221"/>
      <c r="I152" s="221"/>
      <c r="J152" s="221"/>
      <c r="K152" s="221"/>
      <c r="L152" s="221"/>
      <c r="M152" s="221"/>
      <c r="N152" s="221"/>
      <c r="O152" s="249"/>
      <c r="P152" s="249"/>
      <c r="W152" s="176"/>
      <c r="X152" s="176"/>
      <c r="Y152" s="195"/>
    </row>
    <row r="153" spans="2:25" ht="13.8" x14ac:dyDescent="0.25">
      <c r="W153" s="176"/>
      <c r="X153" s="176"/>
      <c r="Y153" s="195"/>
    </row>
    <row r="154" spans="2:25" ht="13.8" x14ac:dyDescent="0.25">
      <c r="W154" s="176"/>
      <c r="X154" s="176"/>
      <c r="Y154" s="195"/>
    </row>
    <row r="155" spans="2:25" ht="13.8" x14ac:dyDescent="0.25">
      <c r="W155" s="176"/>
      <c r="X155" s="176"/>
      <c r="Y155" s="195"/>
    </row>
    <row r="156" spans="2:25" ht="13.8" x14ac:dyDescent="0.25">
      <c r="B156" s="176"/>
      <c r="C156" s="176"/>
      <c r="D156" s="176"/>
      <c r="E156" s="197"/>
      <c r="F156" s="187" t="s">
        <v>0</v>
      </c>
      <c r="G156" s="187"/>
      <c r="H156" s="198"/>
      <c r="I156" s="198"/>
      <c r="J156" s="198"/>
      <c r="K156" s="199"/>
      <c r="L156" s="199"/>
      <c r="M156" s="199"/>
      <c r="N156" s="176"/>
      <c r="O156" s="219"/>
      <c r="P156" s="219"/>
      <c r="W156" s="176"/>
      <c r="X156" s="176"/>
      <c r="Y156" s="195"/>
    </row>
    <row r="157" spans="2:25" ht="13.8" x14ac:dyDescent="0.25">
      <c r="B157" s="200" t="s">
        <v>1</v>
      </c>
      <c r="C157" s="201" t="s">
        <v>227</v>
      </c>
      <c r="D157" s="200" t="s">
        <v>3</v>
      </c>
      <c r="E157" s="200" t="s">
        <v>4</v>
      </c>
      <c r="F157" s="202" t="s">
        <v>233</v>
      </c>
      <c r="G157" s="203" t="s">
        <v>14</v>
      </c>
      <c r="H157" s="204" t="s">
        <v>342</v>
      </c>
      <c r="I157" s="205" t="s">
        <v>16</v>
      </c>
      <c r="J157" s="204" t="s">
        <v>50</v>
      </c>
      <c r="K157" s="204" t="s">
        <v>36</v>
      </c>
      <c r="L157" s="204" t="s">
        <v>5</v>
      </c>
      <c r="M157" s="204" t="s">
        <v>34</v>
      </c>
      <c r="N157" s="204" t="s">
        <v>48</v>
      </c>
      <c r="O157" s="243" t="s">
        <v>1020</v>
      </c>
      <c r="P157" s="243" t="s">
        <v>377</v>
      </c>
      <c r="W157" s="176"/>
      <c r="X157" s="176"/>
      <c r="Y157" s="195"/>
    </row>
    <row r="158" spans="2:25" ht="28.2" thickBot="1" x14ac:dyDescent="0.3">
      <c r="B158" s="207" t="s">
        <v>234</v>
      </c>
      <c r="C158" s="207" t="s">
        <v>28</v>
      </c>
      <c r="D158" s="207" t="s">
        <v>32</v>
      </c>
      <c r="E158" s="207" t="s">
        <v>33</v>
      </c>
      <c r="F158" s="208"/>
      <c r="G158" s="209" t="s">
        <v>35</v>
      </c>
      <c r="H158" s="207"/>
      <c r="I158" s="207" t="s">
        <v>303</v>
      </c>
      <c r="J158" s="207" t="s">
        <v>329</v>
      </c>
      <c r="K158" s="207" t="s">
        <v>37</v>
      </c>
      <c r="L158" s="207" t="s">
        <v>38</v>
      </c>
      <c r="M158" s="207" t="s">
        <v>39</v>
      </c>
      <c r="N158" s="207" t="s">
        <v>218</v>
      </c>
      <c r="O158" s="207"/>
      <c r="P158" s="207"/>
      <c r="W158" s="176"/>
      <c r="X158" s="176"/>
      <c r="Y158" s="195"/>
    </row>
    <row r="159" spans="2:25" ht="15" x14ac:dyDescent="0.25">
      <c r="B159" s="210"/>
      <c r="C159" s="211"/>
      <c r="D159" s="211"/>
      <c r="E159" s="211" t="s">
        <v>231</v>
      </c>
      <c r="F159" s="212"/>
      <c r="G159" s="211"/>
      <c r="H159" s="211"/>
      <c r="I159" s="213" t="s">
        <v>306</v>
      </c>
      <c r="J159" s="211"/>
      <c r="K159" s="211" t="s">
        <v>442</v>
      </c>
      <c r="L159" s="211" t="s">
        <v>440</v>
      </c>
      <c r="M159" s="211" t="s">
        <v>439</v>
      </c>
      <c r="N159" s="211" t="s">
        <v>40</v>
      </c>
      <c r="O159" s="211"/>
      <c r="P159" s="211"/>
      <c r="R159" s="176"/>
      <c r="S159" s="176" t="s">
        <v>444</v>
      </c>
      <c r="W159" s="176"/>
      <c r="X159" s="176"/>
      <c r="Y159" s="195"/>
    </row>
    <row r="160" spans="2:25" ht="13.8" x14ac:dyDescent="0.25">
      <c r="B160" s="176" t="str">
        <f>Y23</f>
        <v>INDPCHOCH_N_ST</v>
      </c>
      <c r="C160" s="176" t="str">
        <f>Z23</f>
        <v>Other Chemicals Standard</v>
      </c>
      <c r="D160" s="176" t="str">
        <f t="shared" ref="D160:D172" si="25">D139</f>
        <v>INDCOASUB</v>
      </c>
      <c r="E160" s="176"/>
      <c r="F160" s="214">
        <f>G160</f>
        <v>2018</v>
      </c>
      <c r="G160" s="174">
        <f>BASE_YEAR+1</f>
        <v>2018</v>
      </c>
      <c r="H160" s="173">
        <v>0</v>
      </c>
      <c r="I160" s="215">
        <v>0.8</v>
      </c>
      <c r="J160" s="174">
        <v>1</v>
      </c>
      <c r="K160" s="216">
        <f>3*(1/0.9)</f>
        <v>3.3333333333333335</v>
      </c>
      <c r="L160" s="216">
        <f>0.005*K160</f>
        <v>1.6666666666666666E-2</v>
      </c>
      <c r="N160" s="174">
        <v>50</v>
      </c>
      <c r="O160" s="246"/>
      <c r="P160" s="246"/>
      <c r="R160" s="250">
        <v>0.17199999999999999</v>
      </c>
      <c r="S160" s="250">
        <f>R162/R161</f>
        <v>78.776978417266207</v>
      </c>
      <c r="W160" s="176"/>
      <c r="X160" s="176"/>
      <c r="Y160" s="195"/>
    </row>
    <row r="161" spans="2:25" ht="13.8" x14ac:dyDescent="0.25">
      <c r="B161" s="176"/>
      <c r="C161" s="176"/>
      <c r="D161" s="176" t="str">
        <f t="shared" si="25"/>
        <v>INDPCHHTH</v>
      </c>
      <c r="E161" s="176"/>
      <c r="F161" s="214">
        <f>F160</f>
        <v>2018</v>
      </c>
      <c r="H161" s="173">
        <v>0.19800000000000001</v>
      </c>
      <c r="O161" s="246"/>
      <c r="P161" s="246"/>
      <c r="R161" s="250">
        <f>R160*278/(0.75*8760)</f>
        <v>7.2779299847792987E-3</v>
      </c>
      <c r="S161" s="250"/>
      <c r="T161" s="216">
        <f>S160/K160</f>
        <v>23.633093525179863</v>
      </c>
      <c r="W161" s="176"/>
      <c r="X161" s="176"/>
      <c r="Y161" s="195"/>
    </row>
    <row r="162" spans="2:25" ht="13.8" x14ac:dyDescent="0.25">
      <c r="B162" s="176"/>
      <c r="C162" s="176"/>
      <c r="D162" s="176" t="str">
        <f t="shared" si="25"/>
        <v>INDOILHFO</v>
      </c>
      <c r="E162" s="176"/>
      <c r="F162" s="214">
        <f t="shared" ref="F162:F167" si="26">F161</f>
        <v>2018</v>
      </c>
      <c r="H162" s="173">
        <v>0</v>
      </c>
      <c r="O162" s="246"/>
      <c r="P162" s="246"/>
      <c r="R162" s="250">
        <f>R160*K160</f>
        <v>0.57333333333333336</v>
      </c>
      <c r="S162" s="250"/>
      <c r="W162" s="176"/>
      <c r="X162" s="176"/>
      <c r="Y162" s="195"/>
    </row>
    <row r="163" spans="2:25" ht="13.8" x14ac:dyDescent="0.25">
      <c r="B163" s="176"/>
      <c r="C163" s="176"/>
      <c r="D163" s="176" t="str">
        <f t="shared" si="25"/>
        <v>INDGASNAT</v>
      </c>
      <c r="E163" s="176"/>
      <c r="F163" s="214">
        <f t="shared" si="26"/>
        <v>2018</v>
      </c>
      <c r="H163" s="173">
        <v>0</v>
      </c>
      <c r="O163" s="246"/>
      <c r="P163" s="246"/>
      <c r="W163" s="176"/>
      <c r="X163" s="176"/>
      <c r="Y163" s="195"/>
    </row>
    <row r="164" spans="2:25" ht="13.8" x14ac:dyDescent="0.25">
      <c r="B164" s="176"/>
      <c r="C164" s="176"/>
      <c r="D164" s="176" t="str">
        <f t="shared" si="25"/>
        <v>INDELC</v>
      </c>
      <c r="E164" s="176"/>
      <c r="F164" s="214">
        <f t="shared" si="26"/>
        <v>2018</v>
      </c>
      <c r="H164" s="173">
        <v>0.79700000000000004</v>
      </c>
      <c r="O164" s="246"/>
      <c r="P164" s="246"/>
      <c r="W164" s="176"/>
      <c r="X164" s="176"/>
      <c r="Y164" s="195"/>
    </row>
    <row r="165" spans="2:25" ht="13.8" x14ac:dyDescent="0.25">
      <c r="B165" s="176" t="s">
        <v>281</v>
      </c>
      <c r="C165" s="176"/>
      <c r="D165" s="176" t="str">
        <f t="shared" si="25"/>
        <v>INDOILPCK</v>
      </c>
      <c r="E165" s="176"/>
      <c r="F165" s="214">
        <f t="shared" si="26"/>
        <v>2018</v>
      </c>
      <c r="H165" s="173">
        <v>0</v>
      </c>
      <c r="O165" s="246"/>
      <c r="P165" s="246"/>
      <c r="W165" s="176"/>
      <c r="X165" s="176"/>
      <c r="Y165" s="195"/>
    </row>
    <row r="166" spans="2:25" ht="13.8" x14ac:dyDescent="0.25">
      <c r="B166" s="176"/>
      <c r="C166" s="176"/>
      <c r="D166" s="176" t="str">
        <f t="shared" si="25"/>
        <v>INDCOACOC</v>
      </c>
      <c r="E166" s="176"/>
      <c r="F166" s="214">
        <f t="shared" si="26"/>
        <v>2018</v>
      </c>
      <c r="H166" s="173">
        <v>0</v>
      </c>
      <c r="O166" s="246"/>
      <c r="P166" s="246"/>
      <c r="W166" s="176"/>
      <c r="X166" s="176"/>
      <c r="Y166" s="195"/>
    </row>
    <row r="167" spans="2:25" ht="13.8" x14ac:dyDescent="0.25">
      <c r="B167" s="176"/>
      <c r="C167" s="176"/>
      <c r="D167" s="176" t="str">
        <f t="shared" si="25"/>
        <v>INDCOABCO</v>
      </c>
      <c r="E167" s="176"/>
      <c r="F167" s="214">
        <f t="shared" si="26"/>
        <v>2018</v>
      </c>
      <c r="H167" s="173">
        <v>0</v>
      </c>
      <c r="O167" s="246"/>
      <c r="P167" s="246"/>
      <c r="W167" s="176"/>
      <c r="X167" s="176"/>
      <c r="Y167" s="195"/>
    </row>
    <row r="168" spans="2:25" ht="13.8" x14ac:dyDescent="0.25">
      <c r="B168" s="176"/>
      <c r="C168" s="176"/>
      <c r="D168" s="176" t="str">
        <f t="shared" si="25"/>
        <v>INDCOABKB</v>
      </c>
      <c r="E168" s="176"/>
      <c r="F168" s="214">
        <f>F165</f>
        <v>2018</v>
      </c>
      <c r="H168" s="173">
        <v>0</v>
      </c>
      <c r="O168" s="246"/>
      <c r="P168" s="246"/>
      <c r="W168" s="176"/>
      <c r="X168" s="176"/>
      <c r="Y168" s="195"/>
    </row>
    <row r="169" spans="2:25" ht="13.8" x14ac:dyDescent="0.25">
      <c r="B169" s="176"/>
      <c r="C169" s="176"/>
      <c r="D169" s="176" t="str">
        <f t="shared" si="25"/>
        <v>INDOILLPG</v>
      </c>
      <c r="E169" s="176"/>
      <c r="F169" s="214">
        <f t="shared" ref="F169:F171" si="27">F166</f>
        <v>2018</v>
      </c>
      <c r="H169" s="173">
        <v>5.0000000000000001E-3</v>
      </c>
      <c r="O169" s="246"/>
      <c r="P169" s="246"/>
      <c r="W169" s="176"/>
      <c r="X169" s="176"/>
      <c r="Y169" s="195"/>
    </row>
    <row r="170" spans="2:25" ht="13.8" x14ac:dyDescent="0.25">
      <c r="B170" s="176"/>
      <c r="C170" s="176"/>
      <c r="D170" s="176" t="str">
        <f t="shared" si="25"/>
        <v>INDOILDSL</v>
      </c>
      <c r="E170" s="176"/>
      <c r="F170" s="214">
        <f t="shared" si="27"/>
        <v>2018</v>
      </c>
      <c r="H170" s="173">
        <v>0</v>
      </c>
      <c r="O170" s="246"/>
      <c r="P170" s="246"/>
      <c r="W170" s="176"/>
      <c r="X170" s="176"/>
      <c r="Y170" s="195"/>
    </row>
    <row r="171" spans="2:25" ht="13.8" x14ac:dyDescent="0.25">
      <c r="B171" s="176"/>
      <c r="C171" s="176"/>
      <c r="D171" s="176" t="str">
        <f t="shared" si="25"/>
        <v>INDBIOLOG</v>
      </c>
      <c r="E171" s="176"/>
      <c r="F171" s="214">
        <f t="shared" si="27"/>
        <v>2018</v>
      </c>
      <c r="H171" s="173">
        <v>0</v>
      </c>
      <c r="O171" s="246"/>
      <c r="P171" s="246"/>
      <c r="W171" s="176"/>
      <c r="X171" s="176"/>
      <c r="Y171" s="195"/>
    </row>
    <row r="172" spans="2:25" ht="13.8" x14ac:dyDescent="0.25">
      <c r="B172" s="176"/>
      <c r="C172" s="176"/>
      <c r="D172" s="176" t="str">
        <f t="shared" si="25"/>
        <v>INDOILOTH</v>
      </c>
      <c r="E172" s="176"/>
      <c r="F172" s="214">
        <f>F171</f>
        <v>2018</v>
      </c>
      <c r="H172" s="173">
        <v>0</v>
      </c>
      <c r="O172" s="246"/>
      <c r="P172" s="246"/>
      <c r="W172" s="176"/>
      <c r="X172" s="176"/>
      <c r="Y172" s="195"/>
    </row>
    <row r="173" spans="2:25" ht="13.8" x14ac:dyDescent="0.25">
      <c r="B173" s="219"/>
      <c r="C173" s="219"/>
      <c r="D173" s="219"/>
      <c r="E173" s="219" t="s">
        <v>422</v>
      </c>
      <c r="F173" s="220">
        <f>F168</f>
        <v>2018</v>
      </c>
      <c r="G173" s="221"/>
      <c r="H173" s="221"/>
      <c r="I173" s="221"/>
      <c r="J173" s="221"/>
      <c r="K173" s="221"/>
      <c r="L173" s="221"/>
      <c r="M173" s="221"/>
      <c r="N173" s="221"/>
      <c r="O173" s="249"/>
      <c r="P173" s="249"/>
      <c r="W173" s="176"/>
      <c r="X173" s="176"/>
      <c r="Y173" s="195"/>
    </row>
    <row r="174" spans="2:25" ht="13.8" x14ac:dyDescent="0.25">
      <c r="B174" s="176" t="str">
        <f>Y24</f>
        <v>INDPCHOCH_N_IM</v>
      </c>
      <c r="C174" s="176" t="str">
        <f>Z24</f>
        <v>Other Chemicals Improved</v>
      </c>
      <c r="D174" s="176" t="str">
        <f t="shared" ref="D174:D185" si="28">D160</f>
        <v>INDCOASUB</v>
      </c>
      <c r="E174" s="176"/>
      <c r="F174" s="214">
        <f>G174</f>
        <v>2025</v>
      </c>
      <c r="G174" s="174">
        <f>BASE_YEAR+8</f>
        <v>2025</v>
      </c>
      <c r="H174" s="173">
        <f t="shared" ref="H174:H185" si="29">MIN(H160*$I$3,1)</f>
        <v>0</v>
      </c>
      <c r="I174" s="215">
        <f>AVERAGE(I188,I160)</f>
        <v>0.87</v>
      </c>
      <c r="J174" s="174">
        <v>1</v>
      </c>
      <c r="K174" s="216">
        <f>3.73356032329829*(1/0.9)</f>
        <v>4.1484003592203225</v>
      </c>
      <c r="L174" s="224">
        <f>0.005*K174</f>
        <v>2.0742001796101611E-2</v>
      </c>
      <c r="N174" s="174">
        <v>50</v>
      </c>
      <c r="O174" s="246"/>
      <c r="P174" s="246"/>
      <c r="W174" s="176"/>
      <c r="X174" s="176"/>
      <c r="Y174" s="195"/>
    </row>
    <row r="175" spans="2:25" ht="13.8" x14ac:dyDescent="0.25">
      <c r="B175" s="176"/>
      <c r="C175" s="176"/>
      <c r="D175" s="176" t="str">
        <f t="shared" si="28"/>
        <v>INDPCHHTH</v>
      </c>
      <c r="E175" s="176"/>
      <c r="F175" s="214">
        <f>F174</f>
        <v>2025</v>
      </c>
      <c r="H175" s="173">
        <f t="shared" si="29"/>
        <v>0.29333333333333333</v>
      </c>
      <c r="O175" s="246"/>
      <c r="P175" s="246"/>
      <c r="W175" s="176"/>
      <c r="X175" s="176"/>
      <c r="Y175" s="195"/>
    </row>
    <row r="176" spans="2:25" ht="13.8" x14ac:dyDescent="0.25">
      <c r="B176" s="176"/>
      <c r="C176" s="176"/>
      <c r="D176" s="176" t="str">
        <f t="shared" si="28"/>
        <v>INDOILHFO</v>
      </c>
      <c r="E176" s="176"/>
      <c r="F176" s="214">
        <f t="shared" ref="F176:F181" si="30">F175</f>
        <v>2025</v>
      </c>
      <c r="H176" s="173">
        <f t="shared" si="29"/>
        <v>0</v>
      </c>
      <c r="O176" s="246"/>
      <c r="P176" s="246"/>
      <c r="W176" s="176"/>
      <c r="X176" s="176"/>
      <c r="Y176" s="195"/>
    </row>
    <row r="177" spans="2:25" ht="13.8" x14ac:dyDescent="0.25">
      <c r="B177" s="176"/>
      <c r="C177" s="176"/>
      <c r="D177" s="176" t="str">
        <f t="shared" si="28"/>
        <v>INDGASNAT</v>
      </c>
      <c r="E177" s="176"/>
      <c r="F177" s="214">
        <f t="shared" si="30"/>
        <v>2025</v>
      </c>
      <c r="H177" s="173">
        <f t="shared" si="29"/>
        <v>0</v>
      </c>
      <c r="O177" s="246"/>
      <c r="P177" s="246"/>
      <c r="W177" s="176"/>
      <c r="X177" s="176"/>
      <c r="Y177" s="195"/>
    </row>
    <row r="178" spans="2:25" ht="13.8" x14ac:dyDescent="0.25">
      <c r="B178" s="176"/>
      <c r="C178" s="176"/>
      <c r="D178" s="176" t="str">
        <f t="shared" si="28"/>
        <v>INDELC</v>
      </c>
      <c r="E178" s="176"/>
      <c r="F178" s="214">
        <f t="shared" si="30"/>
        <v>2025</v>
      </c>
      <c r="H178" s="173">
        <f t="shared" si="29"/>
        <v>1</v>
      </c>
      <c r="O178" s="246"/>
      <c r="P178" s="246"/>
      <c r="W178" s="176"/>
      <c r="X178" s="176"/>
      <c r="Y178" s="195"/>
    </row>
    <row r="179" spans="2:25" ht="13.8" x14ac:dyDescent="0.25">
      <c r="B179" s="176" t="s">
        <v>281</v>
      </c>
      <c r="C179" s="176"/>
      <c r="D179" s="176" t="str">
        <f t="shared" si="28"/>
        <v>INDOILPCK</v>
      </c>
      <c r="E179" s="176"/>
      <c r="F179" s="214">
        <f t="shared" si="30"/>
        <v>2025</v>
      </c>
      <c r="H179" s="173">
        <f t="shared" si="29"/>
        <v>0</v>
      </c>
      <c r="O179" s="246"/>
      <c r="P179" s="246"/>
      <c r="W179" s="176"/>
      <c r="X179" s="176"/>
      <c r="Y179" s="195"/>
    </row>
    <row r="180" spans="2:25" ht="13.8" x14ac:dyDescent="0.25">
      <c r="B180" s="176"/>
      <c r="C180" s="176"/>
      <c r="D180" s="176" t="str">
        <f t="shared" si="28"/>
        <v>INDCOACOC</v>
      </c>
      <c r="E180" s="176"/>
      <c r="F180" s="214">
        <f t="shared" si="30"/>
        <v>2025</v>
      </c>
      <c r="H180" s="173">
        <f t="shared" si="29"/>
        <v>0</v>
      </c>
      <c r="O180" s="246"/>
      <c r="P180" s="246"/>
      <c r="W180" s="176"/>
      <c r="X180" s="176"/>
      <c r="Y180" s="195"/>
    </row>
    <row r="181" spans="2:25" ht="13.8" x14ac:dyDescent="0.25">
      <c r="B181" s="176"/>
      <c r="C181" s="176"/>
      <c r="D181" s="176" t="str">
        <f t="shared" si="28"/>
        <v>INDCOABCO</v>
      </c>
      <c r="E181" s="176"/>
      <c r="F181" s="214">
        <f t="shared" si="30"/>
        <v>2025</v>
      </c>
      <c r="H181" s="173">
        <f t="shared" si="29"/>
        <v>0</v>
      </c>
      <c r="O181" s="246"/>
      <c r="P181" s="246"/>
      <c r="W181" s="176"/>
      <c r="X181" s="176"/>
      <c r="Y181" s="195"/>
    </row>
    <row r="182" spans="2:25" ht="13.8" x14ac:dyDescent="0.25">
      <c r="B182" s="176"/>
      <c r="C182" s="176"/>
      <c r="D182" s="176" t="str">
        <f t="shared" si="28"/>
        <v>INDCOABKB</v>
      </c>
      <c r="E182" s="176"/>
      <c r="F182" s="214">
        <f>F179</f>
        <v>2025</v>
      </c>
      <c r="H182" s="173">
        <f t="shared" si="29"/>
        <v>0</v>
      </c>
      <c r="O182" s="246"/>
      <c r="P182" s="246"/>
      <c r="W182" s="176"/>
      <c r="X182" s="176"/>
      <c r="Y182" s="195"/>
    </row>
    <row r="183" spans="2:25" ht="13.8" x14ac:dyDescent="0.25">
      <c r="B183" s="176"/>
      <c r="C183" s="176"/>
      <c r="D183" s="176" t="str">
        <f t="shared" si="28"/>
        <v>INDOILLPG</v>
      </c>
      <c r="E183" s="176"/>
      <c r="F183" s="214">
        <f t="shared" ref="F183:F185" si="31">F180</f>
        <v>2025</v>
      </c>
      <c r="H183" s="173">
        <f t="shared" si="29"/>
        <v>7.4074074074074068E-3</v>
      </c>
      <c r="O183" s="246"/>
      <c r="P183" s="246"/>
      <c r="W183" s="176"/>
      <c r="X183" s="176"/>
      <c r="Y183" s="195"/>
    </row>
    <row r="184" spans="2:25" ht="13.8" x14ac:dyDescent="0.25">
      <c r="B184" s="176"/>
      <c r="C184" s="176"/>
      <c r="D184" s="176" t="str">
        <f t="shared" si="28"/>
        <v>INDOILDSL</v>
      </c>
      <c r="E184" s="176"/>
      <c r="F184" s="214">
        <f t="shared" si="31"/>
        <v>2025</v>
      </c>
      <c r="H184" s="173">
        <f t="shared" si="29"/>
        <v>0</v>
      </c>
      <c r="O184" s="246"/>
      <c r="P184" s="246"/>
      <c r="W184" s="176"/>
      <c r="X184" s="176"/>
      <c r="Y184" s="195"/>
    </row>
    <row r="185" spans="2:25" ht="13.8" x14ac:dyDescent="0.25">
      <c r="B185" s="176"/>
      <c r="C185" s="176"/>
      <c r="D185" s="176" t="str">
        <f t="shared" si="28"/>
        <v>INDBIOLOG</v>
      </c>
      <c r="E185" s="176"/>
      <c r="F185" s="214">
        <f t="shared" si="31"/>
        <v>2025</v>
      </c>
      <c r="H185" s="173">
        <f t="shared" si="29"/>
        <v>0</v>
      </c>
      <c r="O185" s="246"/>
      <c r="P185" s="246"/>
      <c r="W185" s="176"/>
      <c r="X185" s="176"/>
      <c r="Y185" s="195"/>
    </row>
    <row r="186" spans="2:25" ht="13.8" x14ac:dyDescent="0.25">
      <c r="B186" s="176"/>
      <c r="C186" s="176"/>
      <c r="D186" s="176" t="str">
        <f>D96</f>
        <v>INDH2L</v>
      </c>
      <c r="E186" s="176"/>
      <c r="F186" s="214">
        <f>F185</f>
        <v>2025</v>
      </c>
      <c r="H186" s="173">
        <v>0.1</v>
      </c>
      <c r="O186" s="246"/>
      <c r="P186" s="246"/>
      <c r="W186" s="176"/>
      <c r="X186" s="176"/>
      <c r="Y186" s="195"/>
    </row>
    <row r="187" spans="2:25" ht="13.8" x14ac:dyDescent="0.25">
      <c r="B187" s="219"/>
      <c r="C187" s="219"/>
      <c r="D187" s="219"/>
      <c r="E187" s="219" t="str">
        <f>E173</f>
        <v>INDOCH</v>
      </c>
      <c r="F187" s="220">
        <f>F182</f>
        <v>2025</v>
      </c>
      <c r="G187" s="221"/>
      <c r="H187" s="221"/>
      <c r="I187" s="221"/>
      <c r="J187" s="221"/>
      <c r="K187" s="221"/>
      <c r="L187" s="221"/>
      <c r="M187" s="221"/>
      <c r="N187" s="221"/>
      <c r="O187" s="249"/>
      <c r="P187" s="249"/>
      <c r="W187" s="176"/>
      <c r="X187" s="176"/>
      <c r="Y187" s="195"/>
    </row>
    <row r="188" spans="2:25" ht="13.8" x14ac:dyDescent="0.25">
      <c r="B188" s="176" t="str">
        <f>Y25</f>
        <v>INDPCHOCH_N_AD</v>
      </c>
      <c r="C188" s="176" t="str">
        <f>Z25</f>
        <v>Other Chemicals Advanced</v>
      </c>
      <c r="D188" s="176" t="str">
        <f t="shared" ref="D188:D200" si="32">D174</f>
        <v>INDCOASUB</v>
      </c>
      <c r="E188" s="176"/>
      <c r="F188" s="214">
        <f>G188</f>
        <v>2030</v>
      </c>
      <c r="G188" s="174">
        <f>BASE_YEAR+13</f>
        <v>2030</v>
      </c>
      <c r="H188" s="173">
        <f t="shared" ref="H188:H199" si="33">MIN(H174*$I$4,1)</f>
        <v>0</v>
      </c>
      <c r="I188" s="176">
        <v>0.94</v>
      </c>
      <c r="J188" s="174">
        <v>1</v>
      </c>
      <c r="K188" s="216">
        <f>4.6464908959024*(1/0.9)</f>
        <v>5.1627676621137786</v>
      </c>
      <c r="L188" s="224">
        <f>0.005*K188</f>
        <v>2.5813838310568892E-2</v>
      </c>
      <c r="N188" s="174">
        <v>50</v>
      </c>
      <c r="O188" s="246"/>
      <c r="P188" s="246"/>
      <c r="W188" s="176"/>
      <c r="X188" s="176"/>
      <c r="Y188" s="195"/>
    </row>
    <row r="189" spans="2:25" ht="13.8" x14ac:dyDescent="0.25">
      <c r="B189" s="176"/>
      <c r="C189" s="176"/>
      <c r="D189" s="176" t="str">
        <f t="shared" si="32"/>
        <v>INDPCHHTH</v>
      </c>
      <c r="E189" s="176"/>
      <c r="F189" s="214">
        <f>F188</f>
        <v>2030</v>
      </c>
      <c r="H189" s="173">
        <f t="shared" si="33"/>
        <v>0.44</v>
      </c>
      <c r="O189" s="246"/>
      <c r="P189" s="246"/>
      <c r="W189" s="176"/>
      <c r="X189" s="176"/>
      <c r="Y189" s="195"/>
    </row>
    <row r="190" spans="2:25" ht="13.8" x14ac:dyDescent="0.25">
      <c r="B190" s="176"/>
      <c r="C190" s="176"/>
      <c r="D190" s="176" t="str">
        <f t="shared" si="32"/>
        <v>INDOILHFO</v>
      </c>
      <c r="E190" s="176"/>
      <c r="F190" s="214">
        <f t="shared" ref="F190:F195" si="34">F189</f>
        <v>2030</v>
      </c>
      <c r="H190" s="173">
        <f t="shared" si="33"/>
        <v>0</v>
      </c>
      <c r="O190" s="246"/>
      <c r="P190" s="246"/>
      <c r="W190" s="176"/>
      <c r="X190" s="176"/>
      <c r="Y190" s="195"/>
    </row>
    <row r="191" spans="2:25" ht="13.8" x14ac:dyDescent="0.25">
      <c r="B191" s="176"/>
      <c r="C191" s="176"/>
      <c r="D191" s="176" t="str">
        <f t="shared" si="32"/>
        <v>INDGASNAT</v>
      </c>
      <c r="E191" s="176"/>
      <c r="F191" s="214">
        <f t="shared" si="34"/>
        <v>2030</v>
      </c>
      <c r="H191" s="173">
        <f t="shared" si="33"/>
        <v>0</v>
      </c>
      <c r="O191" s="246"/>
      <c r="P191" s="246"/>
      <c r="W191" s="176"/>
      <c r="X191" s="176"/>
      <c r="Y191" s="195"/>
    </row>
    <row r="192" spans="2:25" ht="13.8" x14ac:dyDescent="0.25">
      <c r="B192" s="176"/>
      <c r="C192" s="176"/>
      <c r="D192" s="176" t="str">
        <f t="shared" si="32"/>
        <v>INDELC</v>
      </c>
      <c r="E192" s="176"/>
      <c r="F192" s="214">
        <f t="shared" si="34"/>
        <v>2030</v>
      </c>
      <c r="H192" s="173">
        <f t="shared" si="33"/>
        <v>1</v>
      </c>
      <c r="O192" s="246"/>
      <c r="P192" s="246"/>
      <c r="W192" s="176"/>
      <c r="X192" s="176"/>
      <c r="Y192" s="195"/>
    </row>
    <row r="193" spans="1:25" ht="13.8" x14ac:dyDescent="0.25">
      <c r="B193" s="176" t="s">
        <v>281</v>
      </c>
      <c r="C193" s="176"/>
      <c r="D193" s="176" t="str">
        <f t="shared" si="32"/>
        <v>INDOILPCK</v>
      </c>
      <c r="E193" s="176"/>
      <c r="F193" s="214">
        <f t="shared" si="34"/>
        <v>2030</v>
      </c>
      <c r="H193" s="173">
        <f t="shared" si="33"/>
        <v>0</v>
      </c>
      <c r="O193" s="246"/>
      <c r="P193" s="246"/>
      <c r="W193" s="176"/>
      <c r="X193" s="176"/>
      <c r="Y193" s="195"/>
    </row>
    <row r="194" spans="1:25" ht="13.8" x14ac:dyDescent="0.25">
      <c r="B194" s="176"/>
      <c r="C194" s="176"/>
      <c r="D194" s="176" t="str">
        <f t="shared" si="32"/>
        <v>INDCOACOC</v>
      </c>
      <c r="E194" s="176"/>
      <c r="F194" s="214">
        <f t="shared" si="34"/>
        <v>2030</v>
      </c>
      <c r="H194" s="173">
        <f t="shared" si="33"/>
        <v>0</v>
      </c>
      <c r="O194" s="246"/>
      <c r="P194" s="246"/>
      <c r="W194" s="176"/>
      <c r="X194" s="176"/>
      <c r="Y194" s="195"/>
    </row>
    <row r="195" spans="1:25" ht="13.8" x14ac:dyDescent="0.25">
      <c r="B195" s="176"/>
      <c r="C195" s="176"/>
      <c r="D195" s="176" t="str">
        <f t="shared" si="32"/>
        <v>INDCOABCO</v>
      </c>
      <c r="E195" s="176"/>
      <c r="F195" s="214">
        <f t="shared" si="34"/>
        <v>2030</v>
      </c>
      <c r="H195" s="173">
        <f t="shared" si="33"/>
        <v>0</v>
      </c>
      <c r="O195" s="246"/>
      <c r="P195" s="246"/>
      <c r="W195" s="176"/>
      <c r="X195" s="176"/>
      <c r="Y195" s="195"/>
    </row>
    <row r="196" spans="1:25" ht="13.8" x14ac:dyDescent="0.25">
      <c r="B196" s="176"/>
      <c r="C196" s="176"/>
      <c r="D196" s="176" t="str">
        <f t="shared" si="32"/>
        <v>INDCOABKB</v>
      </c>
      <c r="E196" s="176"/>
      <c r="F196" s="214">
        <f>F193</f>
        <v>2030</v>
      </c>
      <c r="H196" s="173">
        <f t="shared" si="33"/>
        <v>0</v>
      </c>
      <c r="O196" s="246"/>
      <c r="P196" s="246"/>
      <c r="W196" s="176"/>
      <c r="X196" s="176"/>
      <c r="Y196" s="195"/>
    </row>
    <row r="197" spans="1:25" ht="13.8" x14ac:dyDescent="0.25">
      <c r="B197" s="176"/>
      <c r="C197" s="176"/>
      <c r="D197" s="176" t="str">
        <f t="shared" si="32"/>
        <v>INDOILLPG</v>
      </c>
      <c r="E197" s="176"/>
      <c r="F197" s="214">
        <f t="shared" ref="F197:F199" si="35">F194</f>
        <v>2030</v>
      </c>
      <c r="H197" s="173">
        <f t="shared" si="33"/>
        <v>1.111111111111111E-2</v>
      </c>
      <c r="O197" s="246"/>
      <c r="P197" s="246"/>
      <c r="W197" s="176"/>
      <c r="X197" s="176"/>
      <c r="Y197" s="195"/>
    </row>
    <row r="198" spans="1:25" ht="13.8" x14ac:dyDescent="0.25">
      <c r="B198" s="176"/>
      <c r="C198" s="176"/>
      <c r="D198" s="176" t="str">
        <f t="shared" si="32"/>
        <v>INDOILDSL</v>
      </c>
      <c r="E198" s="176"/>
      <c r="F198" s="214">
        <f t="shared" si="35"/>
        <v>2030</v>
      </c>
      <c r="H198" s="173">
        <f t="shared" si="33"/>
        <v>0</v>
      </c>
      <c r="O198" s="246"/>
      <c r="P198" s="246"/>
      <c r="W198" s="176"/>
      <c r="X198" s="176"/>
      <c r="Y198" s="195"/>
    </row>
    <row r="199" spans="1:25" ht="13.8" x14ac:dyDescent="0.25">
      <c r="B199" s="176"/>
      <c r="C199" s="176"/>
      <c r="D199" s="176" t="str">
        <f t="shared" si="32"/>
        <v>INDBIOLOG</v>
      </c>
      <c r="E199" s="176"/>
      <c r="F199" s="214">
        <f t="shared" si="35"/>
        <v>2030</v>
      </c>
      <c r="H199" s="173">
        <f t="shared" si="33"/>
        <v>0</v>
      </c>
      <c r="O199" s="246"/>
      <c r="P199" s="246"/>
      <c r="W199" s="176"/>
      <c r="X199" s="176"/>
      <c r="Y199" s="195"/>
    </row>
    <row r="200" spans="1:25" ht="13.8" x14ac:dyDescent="0.25">
      <c r="B200" s="176"/>
      <c r="C200" s="176"/>
      <c r="D200" s="176" t="str">
        <f t="shared" si="32"/>
        <v>INDH2L</v>
      </c>
      <c r="E200" s="176"/>
      <c r="F200" s="214">
        <f>F199</f>
        <v>2030</v>
      </c>
      <c r="H200" s="173">
        <v>0.2</v>
      </c>
      <c r="O200" s="246"/>
      <c r="P200" s="246"/>
      <c r="W200" s="176"/>
      <c r="X200" s="176"/>
      <c r="Y200" s="195"/>
    </row>
    <row r="201" spans="1:25" ht="13.8" x14ac:dyDescent="0.25">
      <c r="B201" s="219"/>
      <c r="C201" s="219"/>
      <c r="D201" s="219"/>
      <c r="E201" s="219" t="str">
        <f>E187</f>
        <v>INDOCH</v>
      </c>
      <c r="F201" s="220">
        <f>F196</f>
        <v>2030</v>
      </c>
      <c r="G201" s="221"/>
      <c r="H201" s="221"/>
      <c r="I201" s="221"/>
      <c r="J201" s="221"/>
      <c r="K201" s="221"/>
      <c r="L201" s="221"/>
      <c r="M201" s="221"/>
      <c r="N201" s="221"/>
      <c r="O201" s="249"/>
      <c r="P201" s="249"/>
      <c r="W201" s="176"/>
      <c r="X201" s="176"/>
      <c r="Y201" s="195"/>
    </row>
    <row r="202" spans="1:25" ht="13.8" x14ac:dyDescent="0.25">
      <c r="W202" s="176"/>
      <c r="X202" s="176"/>
      <c r="Y202" s="195"/>
    </row>
    <row r="206" spans="1:25" ht="17.399999999999999" x14ac:dyDescent="0.3">
      <c r="A206" s="175"/>
      <c r="B206" s="175" t="s">
        <v>396</v>
      </c>
      <c r="C206" s="175"/>
      <c r="D206" s="175"/>
      <c r="E206" s="175"/>
      <c r="F206" s="176"/>
      <c r="N206" s="252"/>
      <c r="O206" s="252">
        <v>2017</v>
      </c>
      <c r="P206" s="252">
        <v>2050</v>
      </c>
    </row>
    <row r="207" spans="1:25" ht="13.8" x14ac:dyDescent="0.25">
      <c r="A207" s="176"/>
      <c r="B207" s="176"/>
      <c r="C207" s="176"/>
      <c r="D207" s="176"/>
      <c r="E207" s="195"/>
      <c r="F207" s="176"/>
      <c r="N207" s="253" t="s">
        <v>376</v>
      </c>
      <c r="O207" s="254">
        <v>0.8</v>
      </c>
      <c r="P207" s="254">
        <v>0.1</v>
      </c>
    </row>
    <row r="208" spans="1:25" ht="13.8" x14ac:dyDescent="0.25">
      <c r="A208" s="176"/>
      <c r="B208" s="176"/>
      <c r="C208" s="176"/>
      <c r="D208" s="176"/>
      <c r="E208" s="195"/>
      <c r="F208" s="176"/>
    </row>
    <row r="210" spans="2:23" ht="13.8" x14ac:dyDescent="0.25">
      <c r="B210" s="176"/>
      <c r="C210" s="176"/>
      <c r="D210" s="176"/>
      <c r="E210" s="197"/>
      <c r="F210" s="187" t="s">
        <v>0</v>
      </c>
      <c r="G210" s="187"/>
      <c r="H210" s="198"/>
      <c r="I210" s="198"/>
      <c r="J210" s="198"/>
      <c r="K210" s="198"/>
      <c r="L210" s="199"/>
      <c r="M210" s="199"/>
      <c r="N210" s="199"/>
      <c r="Q210" s="176"/>
      <c r="R210" s="176"/>
    </row>
    <row r="211" spans="2:23" ht="13.8" x14ac:dyDescent="0.25">
      <c r="B211" s="200" t="s">
        <v>1</v>
      </c>
      <c r="C211" s="201" t="s">
        <v>227</v>
      </c>
      <c r="D211" s="200" t="s">
        <v>3</v>
      </c>
      <c r="E211" s="200" t="s">
        <v>4</v>
      </c>
      <c r="F211" s="202" t="s">
        <v>233</v>
      </c>
      <c r="G211" s="203" t="s">
        <v>14</v>
      </c>
      <c r="H211" s="204" t="s">
        <v>16</v>
      </c>
      <c r="I211" s="204" t="s">
        <v>50</v>
      </c>
      <c r="J211" s="204" t="s">
        <v>46</v>
      </c>
      <c r="K211" s="204" t="s">
        <v>36</v>
      </c>
      <c r="L211" s="204" t="s">
        <v>5</v>
      </c>
      <c r="M211" s="204" t="s">
        <v>34</v>
      </c>
      <c r="N211" s="204" t="s">
        <v>48</v>
      </c>
      <c r="O211" s="204" t="s">
        <v>397</v>
      </c>
      <c r="P211" s="204" t="str">
        <f>"FLO_SHAR~LO~"&amp;END_YEAR</f>
        <v>FLO_SHAR~LO~2050</v>
      </c>
      <c r="Q211" s="204" t="s">
        <v>342</v>
      </c>
      <c r="R211" s="204" t="str">
        <f>"FLO_SHAR~UP~"&amp;G214+12</f>
        <v>FLO_SHAR~UP~2030</v>
      </c>
      <c r="S211" s="204" t="str">
        <f>"FLO_SHAR~UP~"&amp;G227+15</f>
        <v>FLO_SHAR~UP~2040</v>
      </c>
      <c r="T211" s="204" t="str">
        <f>"FLO_SHAR~UP~"&amp;G240+15</f>
        <v>FLO_SHAR~UP~2045</v>
      </c>
    </row>
    <row r="212" spans="2:23" ht="28.2" thickBot="1" x14ac:dyDescent="0.3">
      <c r="B212" s="207" t="s">
        <v>234</v>
      </c>
      <c r="C212" s="207" t="s">
        <v>28</v>
      </c>
      <c r="D212" s="207" t="s">
        <v>32</v>
      </c>
      <c r="E212" s="207" t="s">
        <v>33</v>
      </c>
      <c r="F212" s="208"/>
      <c r="G212" s="209" t="s">
        <v>35</v>
      </c>
      <c r="H212" s="207" t="s">
        <v>303</v>
      </c>
      <c r="I212" s="207" t="s">
        <v>329</v>
      </c>
      <c r="J212" s="207" t="s">
        <v>304</v>
      </c>
      <c r="K212" s="207" t="s">
        <v>37</v>
      </c>
      <c r="L212" s="207" t="s">
        <v>38</v>
      </c>
      <c r="M212" s="207" t="s">
        <v>39</v>
      </c>
      <c r="N212" s="207" t="s">
        <v>218</v>
      </c>
      <c r="O212" s="207"/>
      <c r="P212" s="207"/>
      <c r="Q212" s="207"/>
      <c r="R212" s="207"/>
      <c r="S212" s="207"/>
      <c r="T212" s="207"/>
      <c r="V212" s="206" t="s">
        <v>328</v>
      </c>
      <c r="W212" s="206"/>
    </row>
    <row r="213" spans="2:23" ht="13.8" x14ac:dyDescent="0.25">
      <c r="B213" s="210"/>
      <c r="C213" s="211"/>
      <c r="D213" s="211"/>
      <c r="E213" s="211" t="s">
        <v>231</v>
      </c>
      <c r="F213" s="212"/>
      <c r="G213" s="211"/>
      <c r="H213" s="211" t="s">
        <v>343</v>
      </c>
      <c r="I213" s="211"/>
      <c r="J213" s="211" t="s">
        <v>306</v>
      </c>
      <c r="K213" s="211" t="s">
        <v>442</v>
      </c>
      <c r="L213" s="211" t="s">
        <v>440</v>
      </c>
      <c r="M213" s="211" t="s">
        <v>439</v>
      </c>
      <c r="N213" s="211" t="s">
        <v>40</v>
      </c>
      <c r="O213" s="211"/>
      <c r="P213" s="211"/>
      <c r="Q213" s="211"/>
      <c r="R213" s="211"/>
      <c r="S213" s="211"/>
      <c r="T213" s="211"/>
    </row>
    <row r="214" spans="2:23" ht="13.8" x14ac:dyDescent="0.25">
      <c r="B214" s="255" t="str">
        <f>Y11</f>
        <v>INDPCHBOI_N_ST</v>
      </c>
      <c r="C214" s="255" t="str">
        <f>Z11</f>
        <v>Boilers PCH NEW Standard</v>
      </c>
      <c r="D214" s="255" t="str">
        <f>D188</f>
        <v>INDCOASUB</v>
      </c>
      <c r="E214" s="255"/>
      <c r="F214" s="256">
        <f>BASE_YEAR+1</f>
        <v>2018</v>
      </c>
      <c r="G214" s="257">
        <f>BASE_YEAR+1</f>
        <v>2018</v>
      </c>
      <c r="H214" s="258">
        <v>0.88</v>
      </c>
      <c r="I214" s="259">
        <v>1</v>
      </c>
      <c r="J214" s="259">
        <v>0.7</v>
      </c>
      <c r="K214" s="260">
        <f>20*(1/0.9)</f>
        <v>22.222222222222221</v>
      </c>
      <c r="L214" s="261">
        <f>0.6*(1/0.9)</f>
        <v>0.66666666666666663</v>
      </c>
      <c r="M214" s="260"/>
      <c r="N214" s="259">
        <v>20</v>
      </c>
      <c r="O214" s="165"/>
      <c r="P214" s="165"/>
      <c r="Q214" s="165">
        <v>0.6</v>
      </c>
      <c r="R214" s="165">
        <f>Q214</f>
        <v>0.6</v>
      </c>
      <c r="S214" s="173"/>
      <c r="T214" s="165"/>
    </row>
    <row r="215" spans="2:23" ht="13.8" x14ac:dyDescent="0.25">
      <c r="B215" s="176"/>
      <c r="C215" s="176"/>
      <c r="D215" s="176" t="str">
        <f t="shared" ref="D215:D223" si="36">D190</f>
        <v>INDOILHFO</v>
      </c>
      <c r="E215" s="176"/>
      <c r="F215" s="214">
        <f>F214</f>
        <v>2018</v>
      </c>
      <c r="G215" s="195"/>
      <c r="H215" s="195"/>
      <c r="I215" s="195"/>
      <c r="J215" s="195"/>
      <c r="K215" s="262"/>
      <c r="L215" s="165"/>
      <c r="M215" s="195"/>
      <c r="N215" s="195"/>
      <c r="O215" s="165"/>
      <c r="P215" s="165"/>
      <c r="Q215" s="165">
        <v>0.3</v>
      </c>
      <c r="R215" s="165">
        <f t="shared" ref="R215:R225" si="37">Q215</f>
        <v>0.3</v>
      </c>
      <c r="S215" s="173"/>
      <c r="T215" s="165"/>
    </row>
    <row r="216" spans="2:23" ht="13.8" x14ac:dyDescent="0.25">
      <c r="B216" s="176"/>
      <c r="C216" s="176"/>
      <c r="D216" s="176" t="str">
        <f t="shared" si="36"/>
        <v>INDGASNAT</v>
      </c>
      <c r="E216" s="176"/>
      <c r="F216" s="214">
        <f t="shared" ref="F216:F225" si="38">F215</f>
        <v>2018</v>
      </c>
      <c r="G216" s="195"/>
      <c r="H216" s="195"/>
      <c r="I216" s="195"/>
      <c r="J216" s="195"/>
      <c r="K216" s="262"/>
      <c r="L216" s="165"/>
      <c r="M216" s="195"/>
      <c r="N216" s="195"/>
      <c r="O216" s="165"/>
      <c r="P216" s="165"/>
      <c r="Q216" s="165">
        <v>0.3</v>
      </c>
      <c r="R216" s="165">
        <f t="shared" si="37"/>
        <v>0.3</v>
      </c>
      <c r="S216" s="173"/>
      <c r="T216" s="165"/>
      <c r="V216" s="176"/>
      <c r="W216" s="176"/>
    </row>
    <row r="217" spans="2:23" ht="13.8" x14ac:dyDescent="0.25">
      <c r="B217" s="176"/>
      <c r="C217" s="176"/>
      <c r="D217" s="176" t="str">
        <f t="shared" si="36"/>
        <v>INDELC</v>
      </c>
      <c r="E217" s="176"/>
      <c r="F217" s="214">
        <f t="shared" si="38"/>
        <v>2018</v>
      </c>
      <c r="G217" s="195"/>
      <c r="H217" s="195"/>
      <c r="I217" s="195"/>
      <c r="J217" s="195"/>
      <c r="K217" s="262"/>
      <c r="L217" s="165"/>
      <c r="M217" s="195"/>
      <c r="N217" s="195"/>
      <c r="O217" s="165"/>
      <c r="P217" s="165"/>
      <c r="Q217" s="165">
        <v>0</v>
      </c>
      <c r="R217" s="165">
        <f t="shared" si="37"/>
        <v>0</v>
      </c>
      <c r="S217" s="173"/>
      <c r="T217" s="165"/>
    </row>
    <row r="218" spans="2:23" ht="13.8" x14ac:dyDescent="0.25">
      <c r="B218" s="176"/>
      <c r="C218" s="176"/>
      <c r="D218" s="176" t="str">
        <f t="shared" si="36"/>
        <v>INDOILPCK</v>
      </c>
      <c r="E218" s="176"/>
      <c r="F218" s="214">
        <f t="shared" si="38"/>
        <v>2018</v>
      </c>
      <c r="G218" s="195"/>
      <c r="H218" s="195"/>
      <c r="I218" s="195"/>
      <c r="J218" s="195"/>
      <c r="K218" s="262"/>
      <c r="L218" s="165"/>
      <c r="M218" s="195"/>
      <c r="N218" s="195"/>
      <c r="O218" s="165"/>
      <c r="P218" s="165"/>
      <c r="Q218" s="165">
        <v>0</v>
      </c>
      <c r="R218" s="165">
        <f t="shared" si="37"/>
        <v>0</v>
      </c>
      <c r="S218" s="173"/>
      <c r="T218" s="165"/>
    </row>
    <row r="219" spans="2:23" ht="13.8" x14ac:dyDescent="0.25">
      <c r="B219" s="176"/>
      <c r="C219" s="176"/>
      <c r="D219" s="176" t="str">
        <f t="shared" si="36"/>
        <v>INDCOACOC</v>
      </c>
      <c r="E219" s="176"/>
      <c r="F219" s="214">
        <f t="shared" si="38"/>
        <v>2018</v>
      </c>
      <c r="G219" s="195"/>
      <c r="H219" s="195"/>
      <c r="I219" s="195"/>
      <c r="J219" s="195"/>
      <c r="K219" s="262"/>
      <c r="L219" s="165"/>
      <c r="M219" s="195"/>
      <c r="N219" s="195"/>
      <c r="O219" s="165"/>
      <c r="P219" s="165"/>
      <c r="Q219" s="165">
        <v>0</v>
      </c>
      <c r="R219" s="165">
        <f t="shared" si="37"/>
        <v>0</v>
      </c>
      <c r="S219" s="173"/>
      <c r="T219" s="165"/>
    </row>
    <row r="220" spans="2:23" ht="13.8" x14ac:dyDescent="0.25">
      <c r="B220" s="176"/>
      <c r="C220" s="176"/>
      <c r="D220" s="176" t="str">
        <f t="shared" si="36"/>
        <v>INDCOABCO</v>
      </c>
      <c r="E220" s="176"/>
      <c r="F220" s="214">
        <f t="shared" si="38"/>
        <v>2018</v>
      </c>
      <c r="G220" s="195"/>
      <c r="H220" s="195"/>
      <c r="I220" s="195"/>
      <c r="J220" s="195"/>
      <c r="K220" s="262"/>
      <c r="L220" s="165"/>
      <c r="M220" s="195"/>
      <c r="N220" s="195"/>
      <c r="O220" s="165"/>
      <c r="P220" s="165"/>
      <c r="Q220" s="165">
        <v>0</v>
      </c>
      <c r="R220" s="165">
        <f t="shared" si="37"/>
        <v>0</v>
      </c>
      <c r="S220" s="173"/>
      <c r="T220" s="165"/>
    </row>
    <row r="221" spans="2:23" ht="13.8" x14ac:dyDescent="0.25">
      <c r="B221" s="176"/>
      <c r="C221" s="176"/>
      <c r="D221" s="176" t="str">
        <f t="shared" si="36"/>
        <v>INDCOABKB</v>
      </c>
      <c r="E221" s="176"/>
      <c r="F221" s="214">
        <f t="shared" si="38"/>
        <v>2018</v>
      </c>
      <c r="G221" s="195"/>
      <c r="H221" s="195"/>
      <c r="I221" s="195"/>
      <c r="J221" s="195"/>
      <c r="K221" s="262"/>
      <c r="L221" s="165"/>
      <c r="M221" s="195"/>
      <c r="N221" s="195"/>
      <c r="O221" s="165"/>
      <c r="P221" s="165"/>
      <c r="Q221" s="165">
        <v>0</v>
      </c>
      <c r="R221" s="165">
        <f t="shared" si="37"/>
        <v>0</v>
      </c>
      <c r="S221" s="173"/>
      <c r="T221" s="165"/>
    </row>
    <row r="222" spans="2:23" ht="13.8" x14ac:dyDescent="0.25">
      <c r="B222" s="176"/>
      <c r="C222" s="176"/>
      <c r="D222" s="176" t="str">
        <f t="shared" si="36"/>
        <v>INDOILLPG</v>
      </c>
      <c r="E222" s="176"/>
      <c r="F222" s="214">
        <f t="shared" si="38"/>
        <v>2018</v>
      </c>
      <c r="G222" s="195"/>
      <c r="H222" s="195"/>
      <c r="I222" s="195"/>
      <c r="J222" s="195"/>
      <c r="K222" s="262"/>
      <c r="L222" s="165"/>
      <c r="M222" s="195"/>
      <c r="N222" s="195"/>
      <c r="O222" s="165"/>
      <c r="P222" s="165"/>
      <c r="Q222" s="165">
        <v>0.1</v>
      </c>
      <c r="R222" s="165">
        <f t="shared" si="37"/>
        <v>0.1</v>
      </c>
      <c r="S222" s="173"/>
      <c r="T222" s="165"/>
    </row>
    <row r="223" spans="2:23" ht="13.8" x14ac:dyDescent="0.25">
      <c r="B223" s="176"/>
      <c r="C223" s="176"/>
      <c r="D223" s="176" t="str">
        <f t="shared" si="36"/>
        <v>INDOILDSL</v>
      </c>
      <c r="E223" s="176"/>
      <c r="F223" s="214">
        <f t="shared" si="38"/>
        <v>2018</v>
      </c>
      <c r="G223" s="195"/>
      <c r="H223" s="195"/>
      <c r="I223" s="195"/>
      <c r="J223" s="195"/>
      <c r="K223" s="262"/>
      <c r="L223" s="165"/>
      <c r="M223" s="195"/>
      <c r="N223" s="195"/>
      <c r="O223" s="165"/>
      <c r="P223" s="165"/>
      <c r="Q223" s="165">
        <v>0.1</v>
      </c>
      <c r="R223" s="165">
        <f t="shared" si="37"/>
        <v>0.1</v>
      </c>
      <c r="S223" s="173"/>
      <c r="T223" s="165"/>
    </row>
    <row r="224" spans="2:23" ht="13.8" x14ac:dyDescent="0.25">
      <c r="B224" s="176"/>
      <c r="C224" s="176"/>
      <c r="D224" s="176" t="s">
        <v>179</v>
      </c>
      <c r="E224" s="176"/>
      <c r="F224" s="214">
        <f t="shared" si="38"/>
        <v>2018</v>
      </c>
      <c r="G224" s="195"/>
      <c r="H224" s="195"/>
      <c r="I224" s="195"/>
      <c r="J224" s="195"/>
      <c r="K224" s="262"/>
      <c r="L224" s="165"/>
      <c r="M224" s="195"/>
      <c r="N224" s="195"/>
      <c r="O224" s="165"/>
      <c r="P224" s="165"/>
      <c r="Q224" s="165">
        <v>0.1</v>
      </c>
      <c r="R224" s="165">
        <f t="shared" si="37"/>
        <v>0.1</v>
      </c>
      <c r="S224" s="173"/>
      <c r="T224" s="165"/>
    </row>
    <row r="225" spans="2:20" ht="13.8" x14ac:dyDescent="0.25">
      <c r="B225" s="176"/>
      <c r="C225" s="176"/>
      <c r="D225" s="176" t="s">
        <v>1062</v>
      </c>
      <c r="E225" s="176"/>
      <c r="F225" s="214">
        <f t="shared" si="38"/>
        <v>2018</v>
      </c>
      <c r="G225" s="195"/>
      <c r="H225" s="195"/>
      <c r="I225" s="195"/>
      <c r="J225" s="195"/>
      <c r="K225" s="262"/>
      <c r="L225" s="165"/>
      <c r="M225" s="195"/>
      <c r="N225" s="195"/>
      <c r="O225" s="195"/>
      <c r="P225" s="195"/>
      <c r="Q225" s="165">
        <v>0.1</v>
      </c>
      <c r="R225" s="165">
        <f t="shared" si="37"/>
        <v>0.1</v>
      </c>
      <c r="S225" s="173"/>
      <c r="T225" s="195"/>
    </row>
    <row r="226" spans="2:20" ht="13.8" x14ac:dyDescent="0.25">
      <c r="B226" s="219"/>
      <c r="C226" s="219"/>
      <c r="D226" s="219"/>
      <c r="E226" s="219" t="s">
        <v>423</v>
      </c>
      <c r="F226" s="220">
        <f>F218</f>
        <v>2018</v>
      </c>
      <c r="G226" s="263"/>
      <c r="H226" s="263"/>
      <c r="I226" s="263"/>
      <c r="J226" s="263"/>
      <c r="K226" s="264"/>
      <c r="L226" s="265"/>
      <c r="M226" s="263"/>
      <c r="N226" s="263"/>
      <c r="O226" s="263"/>
      <c r="P226" s="263"/>
      <c r="Q226" s="263"/>
      <c r="R226" s="263"/>
      <c r="S226" s="263"/>
      <c r="T226" s="263"/>
    </row>
    <row r="227" spans="2:20" ht="13.8" x14ac:dyDescent="0.25">
      <c r="B227" s="255" t="str">
        <f>Y12</f>
        <v>INDPCHBOI_N_IM</v>
      </c>
      <c r="C227" s="255" t="str">
        <f>Z12</f>
        <v>Boilers PCH NEW Improved</v>
      </c>
      <c r="D227" s="255" t="str">
        <f t="shared" ref="D227:D238" si="39">D214</f>
        <v>INDCOASUB</v>
      </c>
      <c r="E227" s="255"/>
      <c r="F227" s="256">
        <f>BASE_YEAR+8</f>
        <v>2025</v>
      </c>
      <c r="G227" s="257">
        <f>BASE_YEAR+8</f>
        <v>2025</v>
      </c>
      <c r="H227" s="258">
        <f>H214*1.02</f>
        <v>0.89760000000000006</v>
      </c>
      <c r="I227" s="259">
        <v>1</v>
      </c>
      <c r="J227" s="259">
        <v>0.7</v>
      </c>
      <c r="K227" s="260">
        <f>K214*1.1</f>
        <v>24.444444444444446</v>
      </c>
      <c r="L227" s="259">
        <v>0.6</v>
      </c>
      <c r="M227" s="260"/>
      <c r="N227" s="259">
        <v>20</v>
      </c>
      <c r="O227" s="260"/>
      <c r="P227" s="260"/>
      <c r="Q227" s="165">
        <v>0.4</v>
      </c>
      <c r="R227" s="165">
        <f>Q227</f>
        <v>0.4</v>
      </c>
      <c r="S227" s="173"/>
      <c r="T227" s="165"/>
    </row>
    <row r="228" spans="2:20" ht="13.8" x14ac:dyDescent="0.25">
      <c r="B228" s="176"/>
      <c r="C228" s="176"/>
      <c r="D228" s="176" t="str">
        <f t="shared" si="39"/>
        <v>INDOILHFO</v>
      </c>
      <c r="E228" s="176"/>
      <c r="F228" s="214">
        <f>F227</f>
        <v>2025</v>
      </c>
      <c r="G228" s="195"/>
      <c r="H228" s="195"/>
      <c r="I228" s="195"/>
      <c r="J228" s="195"/>
      <c r="K228" s="262"/>
      <c r="L228" s="165"/>
      <c r="M228" s="195"/>
      <c r="N228" s="195"/>
      <c r="O228" s="165"/>
      <c r="P228" s="165"/>
      <c r="Q228" s="165">
        <v>0.3</v>
      </c>
      <c r="R228" s="165">
        <f t="shared" ref="R228:R238" si="40">Q228</f>
        <v>0.3</v>
      </c>
      <c r="S228" s="173"/>
      <c r="T228" s="165"/>
    </row>
    <row r="229" spans="2:20" ht="13.8" x14ac:dyDescent="0.25">
      <c r="B229" s="176"/>
      <c r="C229" s="176"/>
      <c r="D229" s="176" t="str">
        <f t="shared" si="39"/>
        <v>INDGASNAT</v>
      </c>
      <c r="E229" s="176"/>
      <c r="F229" s="214">
        <f t="shared" ref="F229:F238" si="41">F228</f>
        <v>2025</v>
      </c>
      <c r="G229" s="195"/>
      <c r="H229" s="195"/>
      <c r="I229" s="195"/>
      <c r="J229" s="195"/>
      <c r="K229" s="262"/>
      <c r="L229" s="165"/>
      <c r="M229" s="195"/>
      <c r="N229" s="195"/>
      <c r="O229" s="165"/>
      <c r="P229" s="165"/>
      <c r="Q229" s="165">
        <v>0.8</v>
      </c>
      <c r="R229" s="165">
        <f t="shared" si="40"/>
        <v>0.8</v>
      </c>
      <c r="S229" s="173"/>
      <c r="T229" s="165"/>
    </row>
    <row r="230" spans="2:20" ht="13.8" x14ac:dyDescent="0.25">
      <c r="B230" s="176"/>
      <c r="C230" s="176"/>
      <c r="D230" s="176" t="str">
        <f t="shared" si="39"/>
        <v>INDELC</v>
      </c>
      <c r="E230" s="176"/>
      <c r="F230" s="214">
        <f t="shared" si="41"/>
        <v>2025</v>
      </c>
      <c r="G230" s="195"/>
      <c r="H230" s="195"/>
      <c r="I230" s="195"/>
      <c r="J230" s="195"/>
      <c r="K230" s="262"/>
      <c r="L230" s="165"/>
      <c r="M230" s="195"/>
      <c r="N230" s="195"/>
      <c r="O230" s="165"/>
      <c r="P230" s="165"/>
      <c r="Q230" s="165">
        <v>0.3</v>
      </c>
      <c r="R230" s="165">
        <f t="shared" si="40"/>
        <v>0.3</v>
      </c>
      <c r="S230" s="173"/>
      <c r="T230" s="165"/>
    </row>
    <row r="231" spans="2:20" ht="13.8" x14ac:dyDescent="0.25">
      <c r="B231" s="176"/>
      <c r="C231" s="176"/>
      <c r="D231" s="176" t="str">
        <f t="shared" si="39"/>
        <v>INDOILPCK</v>
      </c>
      <c r="E231" s="176"/>
      <c r="F231" s="214">
        <f t="shared" si="41"/>
        <v>2025</v>
      </c>
      <c r="G231" s="195"/>
      <c r="H231" s="195"/>
      <c r="I231" s="195"/>
      <c r="J231" s="195"/>
      <c r="K231" s="262"/>
      <c r="L231" s="165"/>
      <c r="M231" s="195"/>
      <c r="N231" s="195"/>
      <c r="O231" s="165"/>
      <c r="P231" s="165"/>
      <c r="Q231" s="165">
        <v>0</v>
      </c>
      <c r="R231" s="165">
        <f t="shared" si="40"/>
        <v>0</v>
      </c>
      <c r="S231" s="173"/>
      <c r="T231" s="165"/>
    </row>
    <row r="232" spans="2:20" ht="13.8" x14ac:dyDescent="0.25">
      <c r="B232" s="176"/>
      <c r="C232" s="176"/>
      <c r="D232" s="176" t="str">
        <f t="shared" si="39"/>
        <v>INDCOACOC</v>
      </c>
      <c r="E232" s="176"/>
      <c r="F232" s="214">
        <f t="shared" si="41"/>
        <v>2025</v>
      </c>
      <c r="G232" s="195"/>
      <c r="H232" s="195"/>
      <c r="I232" s="195"/>
      <c r="J232" s="195"/>
      <c r="K232" s="262"/>
      <c r="L232" s="165"/>
      <c r="M232" s="195"/>
      <c r="N232" s="195"/>
      <c r="O232" s="165"/>
      <c r="P232" s="165"/>
      <c r="Q232" s="165">
        <v>0</v>
      </c>
      <c r="R232" s="165">
        <f t="shared" si="40"/>
        <v>0</v>
      </c>
      <c r="S232" s="173"/>
      <c r="T232" s="165"/>
    </row>
    <row r="233" spans="2:20" ht="13.8" x14ac:dyDescent="0.25">
      <c r="B233" s="176"/>
      <c r="C233" s="176"/>
      <c r="D233" s="176" t="str">
        <f t="shared" si="39"/>
        <v>INDCOABCO</v>
      </c>
      <c r="E233" s="176"/>
      <c r="F233" s="214">
        <f t="shared" si="41"/>
        <v>2025</v>
      </c>
      <c r="G233" s="195"/>
      <c r="H233" s="195"/>
      <c r="I233" s="195"/>
      <c r="J233" s="195"/>
      <c r="K233" s="262"/>
      <c r="L233" s="165"/>
      <c r="M233" s="195"/>
      <c r="N233" s="195"/>
      <c r="O233" s="165"/>
      <c r="P233" s="165"/>
      <c r="Q233" s="165">
        <v>0</v>
      </c>
      <c r="R233" s="165">
        <f t="shared" si="40"/>
        <v>0</v>
      </c>
      <c r="S233" s="173"/>
      <c r="T233" s="165"/>
    </row>
    <row r="234" spans="2:20" ht="13.8" x14ac:dyDescent="0.25">
      <c r="B234" s="176"/>
      <c r="C234" s="176"/>
      <c r="D234" s="176" t="str">
        <f t="shared" si="39"/>
        <v>INDCOABKB</v>
      </c>
      <c r="E234" s="176"/>
      <c r="F234" s="214">
        <f t="shared" si="41"/>
        <v>2025</v>
      </c>
      <c r="G234" s="195"/>
      <c r="H234" s="195"/>
      <c r="I234" s="195"/>
      <c r="J234" s="195"/>
      <c r="K234" s="262"/>
      <c r="L234" s="165"/>
      <c r="M234" s="195"/>
      <c r="N234" s="195"/>
      <c r="O234" s="165"/>
      <c r="P234" s="165"/>
      <c r="Q234" s="165">
        <v>0</v>
      </c>
      <c r="R234" s="165">
        <f t="shared" si="40"/>
        <v>0</v>
      </c>
      <c r="S234" s="173"/>
      <c r="T234" s="165"/>
    </row>
    <row r="235" spans="2:20" ht="13.8" x14ac:dyDescent="0.25">
      <c r="B235" s="176"/>
      <c r="C235" s="176"/>
      <c r="D235" s="176" t="str">
        <f t="shared" si="39"/>
        <v>INDOILLPG</v>
      </c>
      <c r="E235" s="176"/>
      <c r="F235" s="214">
        <f t="shared" si="41"/>
        <v>2025</v>
      </c>
      <c r="G235" s="195"/>
      <c r="H235" s="195"/>
      <c r="I235" s="195"/>
      <c r="J235" s="195"/>
      <c r="K235" s="262"/>
      <c r="L235" s="165"/>
      <c r="M235" s="195"/>
      <c r="N235" s="195"/>
      <c r="O235" s="165"/>
      <c r="P235" s="165"/>
      <c r="Q235" s="165">
        <v>0.1</v>
      </c>
      <c r="R235" s="165">
        <f t="shared" si="40"/>
        <v>0.1</v>
      </c>
      <c r="S235" s="173"/>
      <c r="T235" s="165"/>
    </row>
    <row r="236" spans="2:20" ht="13.8" x14ac:dyDescent="0.25">
      <c r="B236" s="176"/>
      <c r="C236" s="176"/>
      <c r="D236" s="176" t="str">
        <f t="shared" si="39"/>
        <v>INDOILDSL</v>
      </c>
      <c r="E236" s="176"/>
      <c r="F236" s="214">
        <f t="shared" si="41"/>
        <v>2025</v>
      </c>
      <c r="G236" s="195"/>
      <c r="H236" s="195"/>
      <c r="I236" s="195"/>
      <c r="J236" s="195"/>
      <c r="K236" s="262"/>
      <c r="L236" s="165"/>
      <c r="M236" s="195"/>
      <c r="N236" s="195"/>
      <c r="O236" s="165"/>
      <c r="P236" s="165"/>
      <c r="Q236" s="165">
        <v>0.1</v>
      </c>
      <c r="R236" s="165">
        <f t="shared" si="40"/>
        <v>0.1</v>
      </c>
      <c r="S236" s="173"/>
      <c r="T236" s="165"/>
    </row>
    <row r="237" spans="2:20" ht="13.8" x14ac:dyDescent="0.25">
      <c r="B237" s="176"/>
      <c r="C237" s="176"/>
      <c r="D237" s="176" t="s">
        <v>179</v>
      </c>
      <c r="E237" s="176"/>
      <c r="F237" s="214">
        <f t="shared" si="41"/>
        <v>2025</v>
      </c>
      <c r="G237" s="195"/>
      <c r="H237" s="195"/>
      <c r="I237" s="195"/>
      <c r="J237" s="195"/>
      <c r="K237" s="262"/>
      <c r="L237" s="165"/>
      <c r="M237" s="195"/>
      <c r="N237" s="195"/>
      <c r="O237" s="165"/>
      <c r="P237" s="165"/>
      <c r="Q237" s="165">
        <v>0.1</v>
      </c>
      <c r="R237" s="165">
        <f t="shared" si="40"/>
        <v>0.1</v>
      </c>
      <c r="S237" s="173"/>
      <c r="T237" s="165"/>
    </row>
    <row r="238" spans="2:20" ht="13.8" x14ac:dyDescent="0.25">
      <c r="B238" s="176"/>
      <c r="C238" s="176"/>
      <c r="D238" s="176" t="str">
        <f t="shared" si="39"/>
        <v>INDH2G</v>
      </c>
      <c r="E238" s="176"/>
      <c r="F238" s="214">
        <f t="shared" si="41"/>
        <v>2025</v>
      </c>
      <c r="G238" s="195"/>
      <c r="H238" s="195"/>
      <c r="I238" s="195"/>
      <c r="J238" s="195"/>
      <c r="K238" s="262"/>
      <c r="L238" s="165"/>
      <c r="M238" s="195"/>
      <c r="N238" s="195"/>
      <c r="O238" s="195"/>
      <c r="P238" s="195"/>
      <c r="Q238" s="165">
        <v>0.1</v>
      </c>
      <c r="R238" s="165">
        <f t="shared" si="40"/>
        <v>0.1</v>
      </c>
      <c r="S238" s="173"/>
      <c r="T238" s="195"/>
    </row>
    <row r="239" spans="2:20" ht="13.8" x14ac:dyDescent="0.25">
      <c r="B239" s="219"/>
      <c r="C239" s="219"/>
      <c r="D239" s="219"/>
      <c r="E239" s="219" t="str">
        <f>E226</f>
        <v>INDPCHHTH</v>
      </c>
      <c r="F239" s="220">
        <f>F231</f>
        <v>2025</v>
      </c>
      <c r="G239" s="263"/>
      <c r="H239" s="263"/>
      <c r="I239" s="263"/>
      <c r="J239" s="263"/>
      <c r="K239" s="264"/>
      <c r="L239" s="265"/>
      <c r="M239" s="263"/>
      <c r="N239" s="263"/>
      <c r="O239" s="263"/>
      <c r="P239" s="263"/>
      <c r="Q239" s="263"/>
      <c r="R239" s="263"/>
      <c r="S239" s="263"/>
      <c r="T239" s="263"/>
    </row>
    <row r="240" spans="2:20" ht="13.8" x14ac:dyDescent="0.25">
      <c r="B240" s="255" t="str">
        <f>Y13</f>
        <v>INDPCHBOI_N_AD</v>
      </c>
      <c r="C240" s="255" t="str">
        <f>Z13</f>
        <v>Boilers PCH NEW Advanced</v>
      </c>
      <c r="D240" s="255" t="str">
        <f t="shared" ref="D240:D251" si="42">D227</f>
        <v>INDCOASUB</v>
      </c>
      <c r="E240" s="255"/>
      <c r="F240" s="256">
        <f>BASE_YEAR+13</f>
        <v>2030</v>
      </c>
      <c r="G240" s="257">
        <f>BASE_YEAR+13</f>
        <v>2030</v>
      </c>
      <c r="H240" s="258">
        <f>H227*1.02</f>
        <v>0.91555200000000003</v>
      </c>
      <c r="I240" s="259">
        <v>1</v>
      </c>
      <c r="J240" s="259">
        <v>0.7</v>
      </c>
      <c r="K240" s="260">
        <f>K227*1.1</f>
        <v>26.888888888888893</v>
      </c>
      <c r="L240" s="259">
        <v>0.6</v>
      </c>
      <c r="M240" s="259"/>
      <c r="N240" s="259">
        <v>20</v>
      </c>
      <c r="O240" s="260"/>
      <c r="P240" s="260"/>
      <c r="Q240" s="165">
        <v>0.1</v>
      </c>
      <c r="R240" s="165">
        <f>Q240</f>
        <v>0.1</v>
      </c>
      <c r="S240" s="173"/>
      <c r="T240" s="165"/>
    </row>
    <row r="241" spans="1:20" ht="13.8" x14ac:dyDescent="0.25">
      <c r="B241" s="176"/>
      <c r="C241" s="176"/>
      <c r="D241" s="176" t="str">
        <f t="shared" si="42"/>
        <v>INDOILHFO</v>
      </c>
      <c r="E241" s="176"/>
      <c r="F241" s="214">
        <f>F240</f>
        <v>2030</v>
      </c>
      <c r="G241" s="195"/>
      <c r="H241" s="195"/>
      <c r="I241" s="195"/>
      <c r="J241" s="195"/>
      <c r="K241" s="176"/>
      <c r="L241" s="165"/>
      <c r="M241" s="195"/>
      <c r="N241" s="195"/>
      <c r="O241" s="165"/>
      <c r="P241" s="165"/>
      <c r="Q241" s="165">
        <v>0.1</v>
      </c>
      <c r="R241" s="165">
        <f t="shared" ref="R241:R251" si="43">Q241</f>
        <v>0.1</v>
      </c>
      <c r="S241" s="173"/>
      <c r="T241" s="165"/>
    </row>
    <row r="242" spans="1:20" ht="13.8" x14ac:dyDescent="0.25">
      <c r="B242" s="176"/>
      <c r="C242" s="176"/>
      <c r="D242" s="176" t="str">
        <f t="shared" si="42"/>
        <v>INDGASNAT</v>
      </c>
      <c r="E242" s="176"/>
      <c r="F242" s="214">
        <f t="shared" ref="F242:F251" si="44">F241</f>
        <v>2030</v>
      </c>
      <c r="G242" s="195"/>
      <c r="H242" s="195"/>
      <c r="I242" s="195"/>
      <c r="J242" s="195"/>
      <c r="K242" s="176"/>
      <c r="L242" s="165"/>
      <c r="M242" s="195"/>
      <c r="N242" s="195"/>
      <c r="O242" s="165"/>
      <c r="P242" s="165"/>
      <c r="Q242" s="165">
        <v>0.8</v>
      </c>
      <c r="R242" s="165">
        <f t="shared" si="43"/>
        <v>0.8</v>
      </c>
      <c r="S242" s="173"/>
      <c r="T242" s="165"/>
    </row>
    <row r="243" spans="1:20" ht="13.8" x14ac:dyDescent="0.25">
      <c r="B243" s="176"/>
      <c r="C243" s="176"/>
      <c r="D243" s="176" t="str">
        <f t="shared" si="42"/>
        <v>INDELC</v>
      </c>
      <c r="E243" s="176"/>
      <c r="F243" s="214">
        <f t="shared" si="44"/>
        <v>2030</v>
      </c>
      <c r="G243" s="195"/>
      <c r="H243" s="195"/>
      <c r="I243" s="195"/>
      <c r="J243" s="195"/>
      <c r="K243" s="176"/>
      <c r="L243" s="165"/>
      <c r="M243" s="195"/>
      <c r="N243" s="195"/>
      <c r="O243" s="165"/>
      <c r="P243" s="165"/>
      <c r="Q243" s="165">
        <v>1</v>
      </c>
      <c r="R243" s="165">
        <f t="shared" si="43"/>
        <v>1</v>
      </c>
      <c r="S243" s="173"/>
      <c r="T243" s="165"/>
    </row>
    <row r="244" spans="1:20" ht="13.8" x14ac:dyDescent="0.25">
      <c r="B244" s="176"/>
      <c r="C244" s="176"/>
      <c r="D244" s="176" t="str">
        <f t="shared" si="42"/>
        <v>INDOILPCK</v>
      </c>
      <c r="E244" s="176"/>
      <c r="F244" s="214">
        <f t="shared" si="44"/>
        <v>2030</v>
      </c>
      <c r="G244" s="195"/>
      <c r="H244" s="195"/>
      <c r="I244" s="195"/>
      <c r="J244" s="195"/>
      <c r="K244" s="176"/>
      <c r="L244" s="165"/>
      <c r="M244" s="195"/>
      <c r="N244" s="195"/>
      <c r="O244" s="165"/>
      <c r="P244" s="165"/>
      <c r="Q244" s="165">
        <v>0</v>
      </c>
      <c r="R244" s="165">
        <f t="shared" si="43"/>
        <v>0</v>
      </c>
      <c r="S244" s="173"/>
      <c r="T244" s="165"/>
    </row>
    <row r="245" spans="1:20" ht="13.8" x14ac:dyDescent="0.25">
      <c r="B245" s="176"/>
      <c r="C245" s="176"/>
      <c r="D245" s="176" t="str">
        <f t="shared" si="42"/>
        <v>INDCOACOC</v>
      </c>
      <c r="E245" s="176"/>
      <c r="F245" s="214">
        <f t="shared" si="44"/>
        <v>2030</v>
      </c>
      <c r="G245" s="195"/>
      <c r="H245" s="195"/>
      <c r="I245" s="195"/>
      <c r="J245" s="195"/>
      <c r="K245" s="176"/>
      <c r="L245" s="165"/>
      <c r="M245" s="195"/>
      <c r="N245" s="195"/>
      <c r="O245" s="165"/>
      <c r="P245" s="165"/>
      <c r="Q245" s="165">
        <v>0</v>
      </c>
      <c r="R245" s="165">
        <f t="shared" si="43"/>
        <v>0</v>
      </c>
      <c r="S245" s="173"/>
      <c r="T245" s="165"/>
    </row>
    <row r="246" spans="1:20" ht="13.8" x14ac:dyDescent="0.25">
      <c r="B246" s="176"/>
      <c r="C246" s="176"/>
      <c r="D246" s="176" t="str">
        <f t="shared" si="42"/>
        <v>INDCOABCO</v>
      </c>
      <c r="E246" s="176"/>
      <c r="F246" s="214">
        <f t="shared" si="44"/>
        <v>2030</v>
      </c>
      <c r="G246" s="195"/>
      <c r="H246" s="195"/>
      <c r="I246" s="195"/>
      <c r="J246" s="195"/>
      <c r="K246" s="176"/>
      <c r="L246" s="165"/>
      <c r="M246" s="195"/>
      <c r="N246" s="195"/>
      <c r="O246" s="165"/>
      <c r="P246" s="165"/>
      <c r="Q246" s="165">
        <v>0</v>
      </c>
      <c r="R246" s="165">
        <f t="shared" si="43"/>
        <v>0</v>
      </c>
      <c r="S246" s="173"/>
      <c r="T246" s="165"/>
    </row>
    <row r="247" spans="1:20" ht="13.8" x14ac:dyDescent="0.25">
      <c r="B247" s="176"/>
      <c r="C247" s="176"/>
      <c r="D247" s="176" t="str">
        <f t="shared" si="42"/>
        <v>INDCOABKB</v>
      </c>
      <c r="E247" s="176"/>
      <c r="F247" s="214">
        <f t="shared" si="44"/>
        <v>2030</v>
      </c>
      <c r="G247" s="195"/>
      <c r="H247" s="195"/>
      <c r="I247" s="195"/>
      <c r="J247" s="195"/>
      <c r="K247" s="176"/>
      <c r="L247" s="165"/>
      <c r="M247" s="195"/>
      <c r="N247" s="195"/>
      <c r="O247" s="165"/>
      <c r="P247" s="165"/>
      <c r="Q247" s="165">
        <v>0</v>
      </c>
      <c r="R247" s="165">
        <f t="shared" si="43"/>
        <v>0</v>
      </c>
      <c r="S247" s="173"/>
      <c r="T247" s="165"/>
    </row>
    <row r="248" spans="1:20" ht="13.8" x14ac:dyDescent="0.25">
      <c r="B248" s="176"/>
      <c r="C248" s="176"/>
      <c r="D248" s="176" t="str">
        <f t="shared" si="42"/>
        <v>INDOILLPG</v>
      </c>
      <c r="E248" s="176"/>
      <c r="F248" s="214">
        <f t="shared" si="44"/>
        <v>2030</v>
      </c>
      <c r="G248" s="195"/>
      <c r="H248" s="195"/>
      <c r="I248" s="195"/>
      <c r="J248" s="195"/>
      <c r="K248" s="176"/>
      <c r="L248" s="165"/>
      <c r="M248" s="195"/>
      <c r="N248" s="195"/>
      <c r="O248" s="165"/>
      <c r="P248" s="165"/>
      <c r="Q248" s="165">
        <v>0.1</v>
      </c>
      <c r="R248" s="165">
        <f t="shared" si="43"/>
        <v>0.1</v>
      </c>
      <c r="S248" s="173"/>
      <c r="T248" s="165"/>
    </row>
    <row r="249" spans="1:20" ht="13.8" x14ac:dyDescent="0.25">
      <c r="B249" s="176"/>
      <c r="C249" s="176"/>
      <c r="D249" s="176" t="str">
        <f t="shared" si="42"/>
        <v>INDOILDSL</v>
      </c>
      <c r="E249" s="176"/>
      <c r="F249" s="214">
        <f t="shared" si="44"/>
        <v>2030</v>
      </c>
      <c r="G249" s="195"/>
      <c r="H249" s="195"/>
      <c r="I249" s="195"/>
      <c r="J249" s="195"/>
      <c r="K249" s="176"/>
      <c r="L249" s="165"/>
      <c r="M249" s="195"/>
      <c r="N249" s="195"/>
      <c r="O249" s="165"/>
      <c r="P249" s="165"/>
      <c r="Q249" s="165">
        <v>0.1</v>
      </c>
      <c r="R249" s="165">
        <f t="shared" si="43"/>
        <v>0.1</v>
      </c>
      <c r="S249" s="173"/>
      <c r="T249" s="165"/>
    </row>
    <row r="250" spans="1:20" ht="13.8" x14ac:dyDescent="0.25">
      <c r="B250" s="176"/>
      <c r="C250" s="176"/>
      <c r="D250" s="176" t="s">
        <v>179</v>
      </c>
      <c r="E250" s="176"/>
      <c r="F250" s="214">
        <f t="shared" si="44"/>
        <v>2030</v>
      </c>
      <c r="G250" s="195"/>
      <c r="H250" s="195"/>
      <c r="I250" s="195"/>
      <c r="J250" s="195"/>
      <c r="K250" s="176"/>
      <c r="L250" s="165"/>
      <c r="M250" s="195"/>
      <c r="N250" s="195"/>
      <c r="O250" s="165"/>
      <c r="P250" s="165"/>
      <c r="Q250" s="165">
        <v>0.1</v>
      </c>
      <c r="R250" s="165">
        <f t="shared" si="43"/>
        <v>0.1</v>
      </c>
      <c r="S250" s="173"/>
      <c r="T250" s="165"/>
    </row>
    <row r="251" spans="1:20" ht="13.8" x14ac:dyDescent="0.25">
      <c r="B251" s="176"/>
      <c r="C251" s="176"/>
      <c r="D251" s="176" t="str">
        <f t="shared" si="42"/>
        <v>INDH2G</v>
      </c>
      <c r="E251" s="176"/>
      <c r="F251" s="214">
        <f t="shared" si="44"/>
        <v>2030</v>
      </c>
      <c r="G251" s="195"/>
      <c r="H251" s="195"/>
      <c r="I251" s="195"/>
      <c r="J251" s="195"/>
      <c r="K251" s="176"/>
      <c r="L251" s="165"/>
      <c r="M251" s="195"/>
      <c r="N251" s="195"/>
      <c r="O251" s="195"/>
      <c r="P251" s="195"/>
      <c r="Q251" s="165">
        <v>0.1</v>
      </c>
      <c r="R251" s="165">
        <f t="shared" si="43"/>
        <v>0.1</v>
      </c>
      <c r="S251" s="173"/>
      <c r="T251" s="195"/>
    </row>
    <row r="252" spans="1:20" ht="13.8" x14ac:dyDescent="0.25">
      <c r="B252" s="219"/>
      <c r="C252" s="219"/>
      <c r="D252" s="219"/>
      <c r="E252" s="219" t="str">
        <f>E239</f>
        <v>INDPCHHTH</v>
      </c>
      <c r="F252" s="220">
        <f>F244</f>
        <v>2030</v>
      </c>
      <c r="G252" s="263"/>
      <c r="H252" s="263"/>
      <c r="I252" s="263"/>
      <c r="J252" s="263"/>
      <c r="K252" s="219"/>
      <c r="L252" s="265"/>
      <c r="M252" s="263"/>
      <c r="N252" s="263"/>
      <c r="O252" s="263"/>
      <c r="P252" s="263"/>
      <c r="Q252" s="266"/>
      <c r="R252" s="263"/>
      <c r="S252" s="263"/>
      <c r="T252" s="263"/>
    </row>
    <row r="256" spans="1:20" ht="17.399999999999999" x14ac:dyDescent="0.3">
      <c r="A256" s="175"/>
      <c r="B256" s="175" t="s">
        <v>398</v>
      </c>
      <c r="C256" s="175"/>
      <c r="D256" s="175"/>
      <c r="E256" s="175"/>
    </row>
    <row r="257" spans="1:28" ht="17.399999999999999" x14ac:dyDescent="0.3">
      <c r="A257" s="175"/>
      <c r="B257" s="175"/>
      <c r="C257" s="175"/>
      <c r="D257" s="175"/>
      <c r="E257" s="175"/>
    </row>
    <row r="260" spans="1:28" ht="13.8" x14ac:dyDescent="0.25">
      <c r="A260" s="176"/>
      <c r="B260" s="176"/>
      <c r="C260" s="176"/>
      <c r="D260" s="176"/>
      <c r="E260" s="197"/>
      <c r="F260" s="187" t="s">
        <v>0</v>
      </c>
      <c r="G260" s="187"/>
      <c r="H260" s="198"/>
      <c r="I260" s="198"/>
      <c r="J260" s="198"/>
      <c r="K260" s="198"/>
      <c r="L260" s="199"/>
      <c r="M260" s="199"/>
      <c r="N260" s="199"/>
      <c r="O260" s="199"/>
      <c r="P260" s="199"/>
      <c r="Q260" s="176"/>
      <c r="R260" s="176"/>
      <c r="S260" s="176"/>
      <c r="T260" s="176"/>
      <c r="U260" s="176"/>
    </row>
    <row r="261" spans="1:28" ht="13.8" x14ac:dyDescent="0.25">
      <c r="A261" s="176"/>
      <c r="B261" s="200" t="s">
        <v>1</v>
      </c>
      <c r="C261" s="201" t="s">
        <v>227</v>
      </c>
      <c r="D261" s="200" t="s">
        <v>3</v>
      </c>
      <c r="E261" s="200" t="s">
        <v>4</v>
      </c>
      <c r="F261" s="202" t="s">
        <v>233</v>
      </c>
      <c r="G261" s="203" t="s">
        <v>14</v>
      </c>
      <c r="H261" s="204" t="s">
        <v>16</v>
      </c>
      <c r="I261" s="204" t="s">
        <v>50</v>
      </c>
      <c r="J261" s="204" t="s">
        <v>46</v>
      </c>
      <c r="K261" s="204" t="s">
        <v>36</v>
      </c>
      <c r="L261" s="204" t="s">
        <v>5</v>
      </c>
      <c r="M261" s="204" t="s">
        <v>34</v>
      </c>
      <c r="N261" s="204" t="s">
        <v>48</v>
      </c>
      <c r="O261" s="204" t="s">
        <v>397</v>
      </c>
      <c r="P261" s="204" t="s">
        <v>1054</v>
      </c>
      <c r="Q261" s="204" t="s">
        <v>342</v>
      </c>
      <c r="R261" s="205" t="s">
        <v>47</v>
      </c>
      <c r="S261" s="205" t="s">
        <v>1053</v>
      </c>
      <c r="T261" s="205" t="s">
        <v>345</v>
      </c>
      <c r="V261" s="206" t="s">
        <v>328</v>
      </c>
    </row>
    <row r="262" spans="1:28" ht="28.2" thickBot="1" x14ac:dyDescent="0.3">
      <c r="A262" s="176"/>
      <c r="B262" s="207" t="s">
        <v>234</v>
      </c>
      <c r="C262" s="207" t="s">
        <v>28</v>
      </c>
      <c r="D262" s="207" t="s">
        <v>32</v>
      </c>
      <c r="E262" s="207" t="s">
        <v>33</v>
      </c>
      <c r="F262" s="208"/>
      <c r="G262" s="209" t="s">
        <v>35</v>
      </c>
      <c r="H262" s="207" t="s">
        <v>303</v>
      </c>
      <c r="I262" s="207" t="s">
        <v>329</v>
      </c>
      <c r="J262" s="207" t="s">
        <v>304</v>
      </c>
      <c r="K262" s="207" t="s">
        <v>37</v>
      </c>
      <c r="L262" s="207" t="s">
        <v>38</v>
      </c>
      <c r="M262" s="207" t="s">
        <v>39</v>
      </c>
      <c r="N262" s="207" t="s">
        <v>218</v>
      </c>
      <c r="O262" s="207"/>
      <c r="P262" s="207"/>
      <c r="Q262" s="207"/>
      <c r="R262" s="207"/>
      <c r="S262" s="207"/>
      <c r="T262" s="207"/>
      <c r="U262" s="176"/>
      <c r="V262" s="176"/>
    </row>
    <row r="263" spans="1:28" ht="13.8" x14ac:dyDescent="0.25">
      <c r="A263" s="176"/>
      <c r="B263" s="210"/>
      <c r="C263" s="211"/>
      <c r="D263" s="211"/>
      <c r="E263" s="211" t="s">
        <v>231</v>
      </c>
      <c r="F263" s="212"/>
      <c r="G263" s="211"/>
      <c r="H263" s="211" t="s">
        <v>343</v>
      </c>
      <c r="I263" s="211" t="s">
        <v>419</v>
      </c>
      <c r="J263" s="211" t="s">
        <v>306</v>
      </c>
      <c r="K263" s="211" t="s">
        <v>444</v>
      </c>
      <c r="L263" s="211" t="s">
        <v>445</v>
      </c>
      <c r="M263" s="211" t="s">
        <v>439</v>
      </c>
      <c r="N263" s="211" t="s">
        <v>40</v>
      </c>
      <c r="O263" s="211"/>
      <c r="P263" s="211"/>
      <c r="Q263" s="211"/>
      <c r="R263" s="267"/>
      <c r="S263" s="267"/>
      <c r="T263" s="267"/>
      <c r="U263" s="176"/>
      <c r="V263" s="176"/>
    </row>
    <row r="264" spans="1:28" ht="13.8" x14ac:dyDescent="0.25">
      <c r="A264" s="176"/>
      <c r="B264" s="176" t="str">
        <f>Y8</f>
        <v>INDPCHCHPAUT_N_ST</v>
      </c>
      <c r="C264" s="176" t="str">
        <f>Z8</f>
        <v>On-site CHP PCH NEW Standard</v>
      </c>
      <c r="D264" s="176" t="str">
        <f>D240</f>
        <v>INDCOASUB</v>
      </c>
      <c r="E264" s="176"/>
      <c r="F264" s="268">
        <f t="shared" ref="F264" si="45">G264</f>
        <v>2018</v>
      </c>
      <c r="G264" s="181">
        <f>BASE_YEAR+1</f>
        <v>2018</v>
      </c>
      <c r="H264" s="269">
        <v>0.33</v>
      </c>
      <c r="I264" s="270">
        <v>31.536000000000001</v>
      </c>
      <c r="J264" s="165">
        <v>0.8</v>
      </c>
      <c r="K264" s="165">
        <f>1200*(1/0.9)</f>
        <v>1333.3333333333335</v>
      </c>
      <c r="L264" s="165">
        <f>25*(1/0.9)</f>
        <v>27.777777777777779</v>
      </c>
      <c r="M264" s="165"/>
      <c r="N264" s="165">
        <v>25</v>
      </c>
      <c r="O264" s="165"/>
      <c r="P264" s="165">
        <f>Q264</f>
        <v>0.7</v>
      </c>
      <c r="Q264" s="173">
        <v>0.7</v>
      </c>
      <c r="R264" s="269">
        <v>1.5</v>
      </c>
      <c r="S264" s="271">
        <f>ROUNDUP(R264*0.6,1)</f>
        <v>0.9</v>
      </c>
      <c r="T264" s="165">
        <v>0.15</v>
      </c>
      <c r="U264" s="176"/>
      <c r="V264" s="176"/>
      <c r="X264" s="272">
        <f>1*I264*J264/H264</f>
        <v>76.450909090909093</v>
      </c>
      <c r="Y264" s="273">
        <f>X264*(H264/(R264*T264+1))</f>
        <v>20.594938775510204</v>
      </c>
      <c r="Z264" s="274">
        <f>Y264*R264</f>
        <v>30.892408163265308</v>
      </c>
      <c r="AA264" s="275">
        <f>SUM(Y264:Z264)/X264</f>
        <v>0.67346938775510212</v>
      </c>
      <c r="AB264" s="276">
        <f>Y264/X264</f>
        <v>0.26938775510204083</v>
      </c>
    </row>
    <row r="265" spans="1:28" ht="13.8" x14ac:dyDescent="0.25">
      <c r="A265" s="176"/>
      <c r="B265" s="176"/>
      <c r="C265" s="176"/>
      <c r="D265" s="176" t="str">
        <f t="shared" ref="D265:D266" si="46">D241</f>
        <v>INDOILHFO</v>
      </c>
      <c r="E265" s="176"/>
      <c r="F265" s="214">
        <f>F264</f>
        <v>2018</v>
      </c>
      <c r="G265" s="176"/>
      <c r="H265" s="269"/>
      <c r="I265" s="195"/>
      <c r="J265" s="195"/>
      <c r="K265" s="165"/>
      <c r="L265" s="165"/>
      <c r="M265" s="165"/>
      <c r="N265" s="165"/>
      <c r="O265" s="165"/>
      <c r="P265" s="165">
        <f t="shared" ref="P265:P274" si="47">Q265</f>
        <v>0.3</v>
      </c>
      <c r="Q265" s="173">
        <v>0.3</v>
      </c>
      <c r="R265" s="269"/>
      <c r="S265" s="173"/>
      <c r="T265" s="173"/>
      <c r="U265" s="176"/>
      <c r="V265" s="176"/>
      <c r="X265" s="277"/>
      <c r="Y265" s="278"/>
      <c r="Z265" s="278"/>
      <c r="AA265" s="279"/>
      <c r="AB265" s="280"/>
    </row>
    <row r="266" spans="1:28" ht="13.8" x14ac:dyDescent="0.25">
      <c r="A266" s="176"/>
      <c r="B266" s="176"/>
      <c r="C266" s="176"/>
      <c r="D266" s="176" t="str">
        <f t="shared" si="46"/>
        <v>INDGASNAT</v>
      </c>
      <c r="E266" s="176"/>
      <c r="F266" s="214">
        <f t="shared" ref="F266:F276" si="48">F265</f>
        <v>2018</v>
      </c>
      <c r="G266" s="181"/>
      <c r="H266" s="269"/>
      <c r="I266" s="165"/>
      <c r="J266" s="165"/>
      <c r="K266" s="165"/>
      <c r="L266" s="165"/>
      <c r="M266" s="165"/>
      <c r="N266" s="165"/>
      <c r="O266" s="165"/>
      <c r="P266" s="165">
        <f t="shared" si="47"/>
        <v>0.3</v>
      </c>
      <c r="Q266" s="173">
        <v>0.3</v>
      </c>
      <c r="R266" s="269"/>
      <c r="S266" s="173"/>
      <c r="T266" s="173"/>
      <c r="U266" s="176"/>
      <c r="V266" s="176"/>
      <c r="X266" s="277"/>
      <c r="Y266" s="278"/>
      <c r="Z266" s="278"/>
      <c r="AA266" s="279"/>
      <c r="AB266" s="280"/>
    </row>
    <row r="267" spans="1:28" ht="13.8" x14ac:dyDescent="0.25">
      <c r="B267" s="176"/>
      <c r="C267" s="176"/>
      <c r="D267" s="176" t="str">
        <f t="shared" ref="D267:D274" si="49">D244</f>
        <v>INDOILPCK</v>
      </c>
      <c r="E267" s="176"/>
      <c r="F267" s="214">
        <f>F266</f>
        <v>2018</v>
      </c>
      <c r="G267" s="181"/>
      <c r="H267" s="269"/>
      <c r="I267" s="195"/>
      <c r="J267" s="195"/>
      <c r="K267" s="165"/>
      <c r="L267" s="165"/>
      <c r="M267" s="165"/>
      <c r="N267" s="165"/>
      <c r="O267" s="165"/>
      <c r="P267" s="165">
        <f t="shared" si="47"/>
        <v>0</v>
      </c>
      <c r="Q267" s="173">
        <v>0</v>
      </c>
      <c r="R267" s="269"/>
      <c r="S267" s="173"/>
      <c r="T267" s="173"/>
      <c r="X267" s="277"/>
      <c r="Y267" s="278"/>
      <c r="Z267" s="278"/>
      <c r="AA267" s="279"/>
      <c r="AB267" s="280"/>
    </row>
    <row r="268" spans="1:28" ht="13.8" x14ac:dyDescent="0.25">
      <c r="B268" s="176"/>
      <c r="C268" s="176"/>
      <c r="D268" s="176" t="str">
        <f t="shared" si="49"/>
        <v>INDCOACOC</v>
      </c>
      <c r="E268" s="176"/>
      <c r="F268" s="214">
        <f t="shared" si="48"/>
        <v>2018</v>
      </c>
      <c r="G268" s="181"/>
      <c r="H268" s="269"/>
      <c r="I268" s="195"/>
      <c r="J268" s="195"/>
      <c r="K268" s="165"/>
      <c r="L268" s="165"/>
      <c r="M268" s="165"/>
      <c r="N268" s="165"/>
      <c r="O268" s="165"/>
      <c r="P268" s="165">
        <f t="shared" si="47"/>
        <v>0</v>
      </c>
      <c r="Q268" s="173">
        <v>0</v>
      </c>
      <c r="R268" s="269"/>
      <c r="S268" s="173"/>
      <c r="T268" s="173"/>
      <c r="X268" s="277"/>
      <c r="Y268" s="278"/>
      <c r="Z268" s="278"/>
      <c r="AA268" s="279"/>
      <c r="AB268" s="280"/>
    </row>
    <row r="269" spans="1:28" ht="13.8" x14ac:dyDescent="0.25">
      <c r="B269" s="176"/>
      <c r="C269" s="176"/>
      <c r="D269" s="176" t="str">
        <f t="shared" si="49"/>
        <v>INDCOABCO</v>
      </c>
      <c r="E269" s="176"/>
      <c r="F269" s="214">
        <f t="shared" si="48"/>
        <v>2018</v>
      </c>
      <c r="G269" s="181"/>
      <c r="H269" s="269"/>
      <c r="I269" s="195"/>
      <c r="J269" s="195"/>
      <c r="K269" s="165"/>
      <c r="L269" s="165"/>
      <c r="M269" s="165"/>
      <c r="N269" s="165"/>
      <c r="O269" s="165"/>
      <c r="P269" s="165">
        <f t="shared" si="47"/>
        <v>0</v>
      </c>
      <c r="Q269" s="173">
        <v>0</v>
      </c>
      <c r="R269" s="269"/>
      <c r="S269" s="173"/>
      <c r="T269" s="173"/>
      <c r="X269" s="277"/>
      <c r="Y269" s="278"/>
      <c r="Z269" s="278"/>
      <c r="AA269" s="279"/>
      <c r="AB269" s="280"/>
    </row>
    <row r="270" spans="1:28" ht="13.8" x14ac:dyDescent="0.25">
      <c r="B270" s="176"/>
      <c r="C270" s="176"/>
      <c r="D270" s="176" t="str">
        <f t="shared" si="49"/>
        <v>INDCOABKB</v>
      </c>
      <c r="E270" s="176"/>
      <c r="F270" s="214">
        <f t="shared" si="48"/>
        <v>2018</v>
      </c>
      <c r="G270" s="181"/>
      <c r="H270" s="269"/>
      <c r="I270" s="195"/>
      <c r="J270" s="195"/>
      <c r="K270" s="165"/>
      <c r="L270" s="165"/>
      <c r="M270" s="165"/>
      <c r="N270" s="165"/>
      <c r="O270" s="165"/>
      <c r="P270" s="165">
        <f t="shared" si="47"/>
        <v>0</v>
      </c>
      <c r="Q270" s="173">
        <v>0</v>
      </c>
      <c r="R270" s="269"/>
      <c r="S270" s="173"/>
      <c r="T270" s="173"/>
      <c r="X270" s="277"/>
      <c r="Y270" s="278"/>
      <c r="Z270" s="278"/>
      <c r="AA270" s="279"/>
      <c r="AB270" s="280"/>
    </row>
    <row r="271" spans="1:28" ht="13.8" x14ac:dyDescent="0.25">
      <c r="B271" s="176"/>
      <c r="C271" s="176"/>
      <c r="D271" s="176" t="str">
        <f t="shared" si="49"/>
        <v>INDOILLPG</v>
      </c>
      <c r="E271" s="176"/>
      <c r="F271" s="214">
        <f t="shared" si="48"/>
        <v>2018</v>
      </c>
      <c r="G271" s="181"/>
      <c r="H271" s="269"/>
      <c r="I271" s="195"/>
      <c r="J271" s="195"/>
      <c r="K271" s="165"/>
      <c r="L271" s="165"/>
      <c r="M271" s="165"/>
      <c r="N271" s="165"/>
      <c r="O271" s="165"/>
      <c r="P271" s="165">
        <f t="shared" si="47"/>
        <v>0.2</v>
      </c>
      <c r="Q271" s="173">
        <v>0.2</v>
      </c>
      <c r="R271" s="269"/>
      <c r="S271" s="173"/>
      <c r="T271" s="173"/>
      <c r="X271" s="277"/>
      <c r="Y271" s="278"/>
      <c r="Z271" s="278"/>
      <c r="AA271" s="279"/>
      <c r="AB271" s="280"/>
    </row>
    <row r="272" spans="1:28" ht="13.8" x14ac:dyDescent="0.25">
      <c r="B272" s="176"/>
      <c r="C272" s="176"/>
      <c r="D272" s="176" t="str">
        <f t="shared" si="49"/>
        <v>INDOILDSL</v>
      </c>
      <c r="E272" s="176"/>
      <c r="F272" s="214">
        <f t="shared" si="48"/>
        <v>2018</v>
      </c>
      <c r="G272" s="181"/>
      <c r="H272" s="269"/>
      <c r="I272" s="195"/>
      <c r="J272" s="195"/>
      <c r="K272" s="165"/>
      <c r="L272" s="165"/>
      <c r="M272" s="165"/>
      <c r="N272" s="165"/>
      <c r="O272" s="165"/>
      <c r="P272" s="165">
        <f t="shared" si="47"/>
        <v>0.2</v>
      </c>
      <c r="Q272" s="173">
        <v>0.2</v>
      </c>
      <c r="R272" s="269"/>
      <c r="S272" s="173"/>
      <c r="T272" s="173"/>
      <c r="X272" s="277"/>
      <c r="Y272" s="278"/>
      <c r="Z272" s="278"/>
      <c r="AA272" s="279"/>
      <c r="AB272" s="280"/>
    </row>
    <row r="273" spans="2:28" ht="13.8" x14ac:dyDescent="0.25">
      <c r="B273" s="176"/>
      <c r="C273" s="176"/>
      <c r="D273" s="176" t="s">
        <v>179</v>
      </c>
      <c r="E273" s="176"/>
      <c r="F273" s="214">
        <f t="shared" si="48"/>
        <v>2018</v>
      </c>
      <c r="G273" s="181"/>
      <c r="H273" s="269"/>
      <c r="I273" s="195"/>
      <c r="J273" s="195"/>
      <c r="K273" s="165"/>
      <c r="L273" s="165"/>
      <c r="M273" s="165"/>
      <c r="N273" s="165"/>
      <c r="O273" s="165"/>
      <c r="P273" s="165">
        <f t="shared" si="47"/>
        <v>0.1</v>
      </c>
      <c r="Q273" s="173">
        <v>0.1</v>
      </c>
      <c r="R273" s="269"/>
      <c r="S273" s="173"/>
      <c r="T273" s="173"/>
      <c r="X273" s="277"/>
      <c r="Y273" s="278"/>
      <c r="Z273" s="278"/>
      <c r="AA273" s="279"/>
      <c r="AB273" s="280"/>
    </row>
    <row r="274" spans="2:28" ht="13.8" x14ac:dyDescent="0.25">
      <c r="B274" s="176"/>
      <c r="C274" s="176"/>
      <c r="D274" s="176" t="str">
        <f t="shared" si="49"/>
        <v>INDH2G</v>
      </c>
      <c r="E274" s="176"/>
      <c r="F274" s="214">
        <f t="shared" si="48"/>
        <v>2018</v>
      </c>
      <c r="G274" s="181"/>
      <c r="H274" s="269"/>
      <c r="I274" s="195"/>
      <c r="J274" s="195"/>
      <c r="K274" s="165"/>
      <c r="L274" s="165"/>
      <c r="M274" s="165"/>
      <c r="N274" s="165"/>
      <c r="O274" s="165"/>
      <c r="P274" s="165">
        <f t="shared" si="47"/>
        <v>0.2</v>
      </c>
      <c r="Q274" s="173">
        <v>0.2</v>
      </c>
      <c r="R274" s="269"/>
      <c r="S274" s="173"/>
      <c r="T274" s="173"/>
      <c r="X274" s="277"/>
      <c r="Y274" s="278"/>
      <c r="Z274" s="278"/>
      <c r="AA274" s="279"/>
      <c r="AB274" s="280"/>
    </row>
    <row r="275" spans="2:28" ht="13.8" x14ac:dyDescent="0.25">
      <c r="B275" s="176"/>
      <c r="C275" s="176"/>
      <c r="D275" s="176"/>
      <c r="E275" s="176" t="str">
        <f>E252</f>
        <v>INDPCHHTH</v>
      </c>
      <c r="F275" s="214">
        <f>F274</f>
        <v>2018</v>
      </c>
      <c r="G275" s="176"/>
      <c r="H275" s="269"/>
      <c r="I275" s="195"/>
      <c r="J275" s="195"/>
      <c r="K275" s="248"/>
      <c r="L275" s="248"/>
      <c r="M275" s="248"/>
      <c r="N275" s="248"/>
      <c r="O275" s="248"/>
      <c r="P275" s="248"/>
      <c r="Q275" s="195"/>
      <c r="R275" s="269"/>
      <c r="S275" s="173"/>
      <c r="T275" s="173"/>
      <c r="X275" s="277"/>
      <c r="Y275" s="278"/>
      <c r="Z275" s="278"/>
      <c r="AA275" s="279"/>
      <c r="AB275" s="280"/>
    </row>
    <row r="276" spans="2:28" ht="13.8" x14ac:dyDescent="0.25">
      <c r="B276" s="219"/>
      <c r="C276" s="219"/>
      <c r="D276" s="219"/>
      <c r="E276" s="219" t="s">
        <v>199</v>
      </c>
      <c r="F276" s="214">
        <f t="shared" si="48"/>
        <v>2018</v>
      </c>
      <c r="G276" s="281"/>
      <c r="H276" s="282"/>
      <c r="I276" s="265"/>
      <c r="J276" s="265"/>
      <c r="K276" s="283"/>
      <c r="L276" s="283"/>
      <c r="M276" s="283"/>
      <c r="N276" s="283"/>
      <c r="O276" s="283"/>
      <c r="P276" s="283"/>
      <c r="Q276" s="263"/>
      <c r="R276" s="282"/>
      <c r="S276" s="266"/>
      <c r="T276" s="266"/>
      <c r="X276" s="277"/>
      <c r="Y276" s="278"/>
      <c r="Z276" s="278"/>
      <c r="AA276" s="279"/>
      <c r="AB276" s="280"/>
    </row>
    <row r="277" spans="2:28" ht="13.8" x14ac:dyDescent="0.25">
      <c r="B277" s="176" t="str">
        <f>Y9</f>
        <v>INDPCHCHPAUT_N_IM</v>
      </c>
      <c r="C277" s="176" t="str">
        <f>Z9</f>
        <v>On-site CHP PCH NEW Improved</v>
      </c>
      <c r="D277" s="176" t="str">
        <f t="shared" ref="D277:D287" si="50">D264</f>
        <v>INDCOASUB</v>
      </c>
      <c r="E277" s="176"/>
      <c r="F277" s="268">
        <f>G277</f>
        <v>2025</v>
      </c>
      <c r="G277" s="181">
        <f>BASE_YEAR+8</f>
        <v>2025</v>
      </c>
      <c r="H277" s="269">
        <v>0.37</v>
      </c>
      <c r="I277" s="270">
        <v>31.536000000000001</v>
      </c>
      <c r="J277" s="165">
        <v>0.8</v>
      </c>
      <c r="K277" s="165">
        <f>K264*1.1</f>
        <v>1466.666666666667</v>
      </c>
      <c r="L277" s="165">
        <f>L264</f>
        <v>27.777777777777779</v>
      </c>
      <c r="M277" s="165"/>
      <c r="N277" s="165">
        <v>25</v>
      </c>
      <c r="O277" s="165"/>
      <c r="P277" s="165">
        <f>Q277</f>
        <v>0.4</v>
      </c>
      <c r="Q277" s="173">
        <v>0.4</v>
      </c>
      <c r="R277" s="269">
        <v>1.5</v>
      </c>
      <c r="S277" s="271">
        <f>ROUNDUP(R277*0.6,1)</f>
        <v>0.9</v>
      </c>
      <c r="T277" s="269">
        <v>0.15</v>
      </c>
      <c r="X277" s="284">
        <f>1*I277*J277/H277</f>
        <v>68.18594594594596</v>
      </c>
      <c r="Y277" s="285">
        <f>X277*(H277/(R277*T277+1))</f>
        <v>20.594938775510204</v>
      </c>
      <c r="Z277" s="286">
        <f>Y277*R277</f>
        <v>30.892408163265308</v>
      </c>
      <c r="AA277" s="287">
        <f>SUM(Y277:Z277)/X277</f>
        <v>0.75510204081632648</v>
      </c>
      <c r="AB277" s="280">
        <f>Y277/X277</f>
        <v>0.30204081632653057</v>
      </c>
    </row>
    <row r="278" spans="2:28" ht="13.8" x14ac:dyDescent="0.25">
      <c r="B278" s="176"/>
      <c r="C278" s="176"/>
      <c r="D278" s="176" t="str">
        <f t="shared" si="50"/>
        <v>INDOILHFO</v>
      </c>
      <c r="E278" s="176"/>
      <c r="F278" s="214">
        <f>F277</f>
        <v>2025</v>
      </c>
      <c r="G278" s="176"/>
      <c r="H278" s="269"/>
      <c r="I278" s="195"/>
      <c r="J278" s="195"/>
      <c r="K278" s="165"/>
      <c r="L278" s="165"/>
      <c r="M278" s="165"/>
      <c r="N278" s="165"/>
      <c r="O278" s="165"/>
      <c r="P278" s="165">
        <f t="shared" ref="P278:P287" si="51">Q278</f>
        <v>0.3</v>
      </c>
      <c r="Q278" s="173">
        <v>0.3</v>
      </c>
      <c r="R278" s="269"/>
      <c r="S278" s="173"/>
      <c r="T278" s="173"/>
      <c r="X278" s="277"/>
      <c r="Y278" s="278"/>
      <c r="Z278" s="278"/>
      <c r="AA278" s="279"/>
      <c r="AB278" s="280"/>
    </row>
    <row r="279" spans="2:28" ht="13.8" x14ac:dyDescent="0.25">
      <c r="B279" s="176"/>
      <c r="C279" s="176"/>
      <c r="D279" s="176" t="str">
        <f t="shared" si="50"/>
        <v>INDGASNAT</v>
      </c>
      <c r="E279" s="176"/>
      <c r="F279" s="214">
        <f t="shared" ref="F279:F289" si="52">F278</f>
        <v>2025</v>
      </c>
      <c r="G279" s="181"/>
      <c r="H279" s="269"/>
      <c r="I279" s="165"/>
      <c r="J279" s="165"/>
      <c r="K279" s="165"/>
      <c r="L279" s="165"/>
      <c r="M279" s="165"/>
      <c r="N279" s="165"/>
      <c r="O279" s="165"/>
      <c r="P279" s="165">
        <f t="shared" si="51"/>
        <v>0.7</v>
      </c>
      <c r="Q279" s="173">
        <v>0.7</v>
      </c>
      <c r="R279" s="269"/>
      <c r="S279" s="173"/>
      <c r="T279" s="173"/>
      <c r="X279" s="277"/>
      <c r="Y279" s="278"/>
      <c r="Z279" s="278"/>
      <c r="AA279" s="279"/>
      <c r="AB279" s="280"/>
    </row>
    <row r="280" spans="2:28" ht="13.8" x14ac:dyDescent="0.25">
      <c r="B280" s="176"/>
      <c r="C280" s="176"/>
      <c r="D280" s="176" t="str">
        <f t="shared" si="50"/>
        <v>INDOILPCK</v>
      </c>
      <c r="E280" s="176"/>
      <c r="F280" s="214">
        <f>F279</f>
        <v>2025</v>
      </c>
      <c r="G280" s="181"/>
      <c r="H280" s="269"/>
      <c r="I280" s="195"/>
      <c r="J280" s="195"/>
      <c r="K280" s="165"/>
      <c r="L280" s="165"/>
      <c r="M280" s="165"/>
      <c r="N280" s="165"/>
      <c r="O280" s="165"/>
      <c r="P280" s="165">
        <f t="shared" si="51"/>
        <v>0</v>
      </c>
      <c r="Q280" s="173">
        <f t="shared" ref="Q280:Q283" si="53">MIN(Q267*$I$3,1)</f>
        <v>0</v>
      </c>
      <c r="R280" s="269"/>
      <c r="S280" s="173"/>
      <c r="T280" s="173"/>
      <c r="X280" s="277"/>
      <c r="Y280" s="278"/>
      <c r="Z280" s="278"/>
      <c r="AA280" s="279"/>
      <c r="AB280" s="280"/>
    </row>
    <row r="281" spans="2:28" ht="13.8" x14ac:dyDescent="0.25">
      <c r="B281" s="176"/>
      <c r="C281" s="176"/>
      <c r="D281" s="176" t="str">
        <f t="shared" si="50"/>
        <v>INDCOACOC</v>
      </c>
      <c r="E281" s="176"/>
      <c r="F281" s="214">
        <f t="shared" si="52"/>
        <v>2025</v>
      </c>
      <c r="G281" s="181"/>
      <c r="H281" s="269"/>
      <c r="I281" s="195"/>
      <c r="J281" s="195"/>
      <c r="K281" s="165"/>
      <c r="L281" s="165"/>
      <c r="M281" s="165"/>
      <c r="N281" s="165"/>
      <c r="O281" s="165"/>
      <c r="P281" s="165">
        <f t="shared" si="51"/>
        <v>0</v>
      </c>
      <c r="Q281" s="173">
        <f t="shared" si="53"/>
        <v>0</v>
      </c>
      <c r="R281" s="269"/>
      <c r="S281" s="173"/>
      <c r="T281" s="173"/>
      <c r="X281" s="277"/>
      <c r="Y281" s="278"/>
      <c r="Z281" s="278"/>
      <c r="AA281" s="279"/>
      <c r="AB281" s="280"/>
    </row>
    <row r="282" spans="2:28" ht="13.8" x14ac:dyDescent="0.25">
      <c r="B282" s="176"/>
      <c r="C282" s="176"/>
      <c r="D282" s="176" t="str">
        <f t="shared" si="50"/>
        <v>INDCOABCO</v>
      </c>
      <c r="E282" s="176"/>
      <c r="F282" s="214">
        <f t="shared" si="52"/>
        <v>2025</v>
      </c>
      <c r="G282" s="181"/>
      <c r="H282" s="269"/>
      <c r="I282" s="195"/>
      <c r="J282" s="195"/>
      <c r="K282" s="165"/>
      <c r="L282" s="165"/>
      <c r="M282" s="165"/>
      <c r="N282" s="165"/>
      <c r="O282" s="165"/>
      <c r="P282" s="165">
        <f t="shared" si="51"/>
        <v>0</v>
      </c>
      <c r="Q282" s="173">
        <f t="shared" si="53"/>
        <v>0</v>
      </c>
      <c r="R282" s="269"/>
      <c r="S282" s="173"/>
      <c r="T282" s="173"/>
      <c r="X282" s="277"/>
      <c r="Y282" s="278"/>
      <c r="Z282" s="278"/>
      <c r="AA282" s="279"/>
      <c r="AB282" s="280"/>
    </row>
    <row r="283" spans="2:28" ht="13.8" x14ac:dyDescent="0.25">
      <c r="B283" s="176"/>
      <c r="C283" s="176"/>
      <c r="D283" s="176" t="str">
        <f t="shared" si="50"/>
        <v>INDCOABKB</v>
      </c>
      <c r="E283" s="176"/>
      <c r="F283" s="214">
        <f t="shared" si="52"/>
        <v>2025</v>
      </c>
      <c r="G283" s="181"/>
      <c r="H283" s="269"/>
      <c r="I283" s="195"/>
      <c r="J283" s="195"/>
      <c r="K283" s="165"/>
      <c r="L283" s="165"/>
      <c r="M283" s="165"/>
      <c r="N283" s="165"/>
      <c r="O283" s="165"/>
      <c r="P283" s="165">
        <f t="shared" si="51"/>
        <v>0</v>
      </c>
      <c r="Q283" s="173">
        <f t="shared" si="53"/>
        <v>0</v>
      </c>
      <c r="R283" s="269"/>
      <c r="S283" s="173"/>
      <c r="T283" s="173"/>
      <c r="X283" s="277"/>
      <c r="Y283" s="278"/>
      <c r="Z283" s="278"/>
      <c r="AA283" s="279"/>
      <c r="AB283" s="280"/>
    </row>
    <row r="284" spans="2:28" ht="13.8" x14ac:dyDescent="0.25">
      <c r="B284" s="176"/>
      <c r="C284" s="176"/>
      <c r="D284" s="176" t="str">
        <f t="shared" si="50"/>
        <v>INDOILLPG</v>
      </c>
      <c r="E284" s="176"/>
      <c r="F284" s="214">
        <f t="shared" si="52"/>
        <v>2025</v>
      </c>
      <c r="G284" s="181"/>
      <c r="H284" s="269"/>
      <c r="I284" s="195"/>
      <c r="J284" s="195"/>
      <c r="K284" s="165"/>
      <c r="L284" s="165"/>
      <c r="M284" s="165"/>
      <c r="N284" s="165"/>
      <c r="O284" s="165"/>
      <c r="P284" s="165">
        <f t="shared" si="51"/>
        <v>0.2</v>
      </c>
      <c r="Q284" s="173">
        <v>0.2</v>
      </c>
      <c r="R284" s="269"/>
      <c r="S284" s="173"/>
      <c r="T284" s="173"/>
      <c r="X284" s="277"/>
      <c r="Y284" s="278"/>
      <c r="Z284" s="278"/>
      <c r="AA284" s="279"/>
      <c r="AB284" s="280"/>
    </row>
    <row r="285" spans="2:28" ht="13.8" x14ac:dyDescent="0.25">
      <c r="B285" s="176"/>
      <c r="C285" s="176"/>
      <c r="D285" s="176" t="str">
        <f t="shared" si="50"/>
        <v>INDOILDSL</v>
      </c>
      <c r="E285" s="176"/>
      <c r="F285" s="214">
        <f t="shared" si="52"/>
        <v>2025</v>
      </c>
      <c r="G285" s="181"/>
      <c r="H285" s="269"/>
      <c r="I285" s="195"/>
      <c r="J285" s="195"/>
      <c r="K285" s="165"/>
      <c r="L285" s="165"/>
      <c r="M285" s="165"/>
      <c r="N285" s="165"/>
      <c r="O285" s="165"/>
      <c r="P285" s="165">
        <f t="shared" si="51"/>
        <v>0.2</v>
      </c>
      <c r="Q285" s="173">
        <v>0.2</v>
      </c>
      <c r="R285" s="269"/>
      <c r="S285" s="173"/>
      <c r="T285" s="173"/>
      <c r="X285" s="277"/>
      <c r="Y285" s="278"/>
      <c r="Z285" s="278"/>
      <c r="AA285" s="279"/>
      <c r="AB285" s="280"/>
    </row>
    <row r="286" spans="2:28" ht="13.8" x14ac:dyDescent="0.25">
      <c r="B286" s="176"/>
      <c r="C286" s="176"/>
      <c r="D286" s="176" t="str">
        <f t="shared" si="50"/>
        <v>INDBIOBGS</v>
      </c>
      <c r="E286" s="176"/>
      <c r="F286" s="214">
        <f t="shared" si="52"/>
        <v>2025</v>
      </c>
      <c r="G286" s="181"/>
      <c r="H286" s="269"/>
      <c r="I286" s="195"/>
      <c r="J286" s="195"/>
      <c r="K286" s="165"/>
      <c r="L286" s="165"/>
      <c r="M286" s="165"/>
      <c r="N286" s="165"/>
      <c r="O286" s="165"/>
      <c r="P286" s="165">
        <f t="shared" si="51"/>
        <v>0.2</v>
      </c>
      <c r="Q286" s="173">
        <v>0.2</v>
      </c>
      <c r="R286" s="269"/>
      <c r="S286" s="173"/>
      <c r="T286" s="173"/>
      <c r="X286" s="277"/>
      <c r="Y286" s="278"/>
      <c r="Z286" s="278"/>
      <c r="AA286" s="279"/>
      <c r="AB286" s="280"/>
    </row>
    <row r="287" spans="2:28" ht="13.8" x14ac:dyDescent="0.25">
      <c r="B287" s="176"/>
      <c r="C287" s="176"/>
      <c r="D287" s="176" t="str">
        <f t="shared" si="50"/>
        <v>INDH2G</v>
      </c>
      <c r="E287" s="176"/>
      <c r="F287" s="214">
        <f t="shared" si="52"/>
        <v>2025</v>
      </c>
      <c r="G287" s="181"/>
      <c r="H287" s="269"/>
      <c r="I287" s="195"/>
      <c r="J287" s="195"/>
      <c r="K287" s="165"/>
      <c r="L287" s="165"/>
      <c r="M287" s="165"/>
      <c r="N287" s="165"/>
      <c r="O287" s="165"/>
      <c r="P287" s="165">
        <f t="shared" si="51"/>
        <v>0.2</v>
      </c>
      <c r="Q287" s="173">
        <v>0.2</v>
      </c>
      <c r="R287" s="269"/>
      <c r="S287" s="173"/>
      <c r="T287" s="173"/>
      <c r="X287" s="277"/>
      <c r="Y287" s="278"/>
      <c r="Z287" s="278"/>
      <c r="AA287" s="279"/>
      <c r="AB287" s="280"/>
    </row>
    <row r="288" spans="2:28" ht="13.8" x14ac:dyDescent="0.25">
      <c r="B288" s="176"/>
      <c r="C288" s="176"/>
      <c r="D288" s="176"/>
      <c r="E288" s="176" t="str">
        <f>E275</f>
        <v>INDPCHHTH</v>
      </c>
      <c r="F288" s="214">
        <f>F287</f>
        <v>2025</v>
      </c>
      <c r="G288" s="176"/>
      <c r="H288" s="269"/>
      <c r="I288" s="195"/>
      <c r="J288" s="195"/>
      <c r="K288" s="248"/>
      <c r="L288" s="248"/>
      <c r="M288" s="248"/>
      <c r="N288" s="248"/>
      <c r="O288" s="248"/>
      <c r="P288" s="248"/>
      <c r="Q288" s="195"/>
      <c r="R288" s="269"/>
      <c r="S288" s="173"/>
      <c r="T288" s="173"/>
      <c r="X288" s="277"/>
      <c r="Y288" s="278"/>
      <c r="Z288" s="278"/>
      <c r="AA288" s="279"/>
      <c r="AB288" s="280"/>
    </row>
    <row r="289" spans="2:28" ht="13.8" x14ac:dyDescent="0.25">
      <c r="B289" s="219"/>
      <c r="C289" s="219"/>
      <c r="D289" s="219"/>
      <c r="E289" s="219" t="s">
        <v>199</v>
      </c>
      <c r="F289" s="220">
        <f t="shared" si="52"/>
        <v>2025</v>
      </c>
      <c r="G289" s="281"/>
      <c r="H289" s="282"/>
      <c r="I289" s="265"/>
      <c r="J289" s="265"/>
      <c r="K289" s="283"/>
      <c r="L289" s="283"/>
      <c r="M289" s="283"/>
      <c r="N289" s="283"/>
      <c r="O289" s="283"/>
      <c r="P289" s="283"/>
      <c r="Q289" s="263"/>
      <c r="R289" s="282"/>
      <c r="S289" s="266"/>
      <c r="T289" s="266"/>
      <c r="X289" s="277"/>
      <c r="Y289" s="278"/>
      <c r="Z289" s="278"/>
      <c r="AA289" s="279"/>
      <c r="AB289" s="280"/>
    </row>
    <row r="290" spans="2:28" ht="13.8" x14ac:dyDescent="0.25">
      <c r="B290" s="176" t="str">
        <f>Y10</f>
        <v>INDPCHCHPAUT_N_AD</v>
      </c>
      <c r="C290" s="176" t="str">
        <f>Z10</f>
        <v>On-site CHP PCH NEW Advanced</v>
      </c>
      <c r="D290" s="176" t="str">
        <f t="shared" ref="D290:D300" si="54">D277</f>
        <v>INDCOASUB</v>
      </c>
      <c r="E290" s="176"/>
      <c r="F290" s="268">
        <f>G290</f>
        <v>2030</v>
      </c>
      <c r="G290" s="181">
        <f>BASE_YEAR+13</f>
        <v>2030</v>
      </c>
      <c r="H290" s="269">
        <v>0.42</v>
      </c>
      <c r="I290" s="270">
        <v>31.536000000000001</v>
      </c>
      <c r="J290" s="165">
        <v>0.8</v>
      </c>
      <c r="K290" s="165">
        <f>K277*1.1</f>
        <v>1613.3333333333337</v>
      </c>
      <c r="L290" s="165">
        <f>L277</f>
        <v>27.777777777777779</v>
      </c>
      <c r="M290" s="165"/>
      <c r="N290" s="165">
        <v>25</v>
      </c>
      <c r="O290" s="165"/>
      <c r="P290" s="165">
        <f>Q290</f>
        <v>0.1</v>
      </c>
      <c r="Q290" s="173">
        <v>0.1</v>
      </c>
      <c r="R290" s="269">
        <v>1.5</v>
      </c>
      <c r="S290" s="271">
        <f>ROUNDUP(R290*0.6,1)</f>
        <v>0.9</v>
      </c>
      <c r="T290" s="269">
        <v>0.15</v>
      </c>
      <c r="X290" s="288">
        <f>1*I290*J290/H290</f>
        <v>60.068571428571438</v>
      </c>
      <c r="Y290" s="289">
        <f>X290*(H290/(R290*T290+1))</f>
        <v>20.594938775510204</v>
      </c>
      <c r="Z290" s="290">
        <f>Y290*R290</f>
        <v>30.892408163265308</v>
      </c>
      <c r="AA290" s="291">
        <f>SUM(Y290:Z290)/X290</f>
        <v>0.8571428571428571</v>
      </c>
      <c r="AB290" s="292">
        <f>Y290/X290</f>
        <v>0.3428571428571428</v>
      </c>
    </row>
    <row r="291" spans="2:28" ht="13.8" x14ac:dyDescent="0.25">
      <c r="B291" s="176"/>
      <c r="C291" s="176"/>
      <c r="D291" s="176" t="str">
        <f t="shared" si="54"/>
        <v>INDOILHFO</v>
      </c>
      <c r="E291" s="176"/>
      <c r="F291" s="214">
        <f>F290</f>
        <v>2030</v>
      </c>
      <c r="G291" s="176"/>
      <c r="H291" s="195"/>
      <c r="I291" s="195"/>
      <c r="J291" s="195"/>
      <c r="K291" s="165"/>
      <c r="L291" s="165"/>
      <c r="M291" s="165"/>
      <c r="N291" s="165"/>
      <c r="O291" s="165"/>
      <c r="P291" s="165">
        <f t="shared" ref="P291:P300" si="55">Q291</f>
        <v>0.2</v>
      </c>
      <c r="Q291" s="173">
        <v>0.2</v>
      </c>
      <c r="R291" s="173"/>
      <c r="S291" s="173"/>
      <c r="T291" s="173"/>
    </row>
    <row r="292" spans="2:28" ht="13.8" x14ac:dyDescent="0.25">
      <c r="B292" s="176"/>
      <c r="C292" s="176"/>
      <c r="D292" s="176" t="str">
        <f t="shared" si="54"/>
        <v>INDGASNAT</v>
      </c>
      <c r="E292" s="176"/>
      <c r="F292" s="214">
        <f t="shared" ref="F292:F302" si="56">F291</f>
        <v>2030</v>
      </c>
      <c r="G292" s="181"/>
      <c r="H292" s="165"/>
      <c r="I292" s="165"/>
      <c r="J292" s="165"/>
      <c r="K292" s="165"/>
      <c r="L292" s="165"/>
      <c r="M292" s="165"/>
      <c r="N292" s="165"/>
      <c r="O292" s="165"/>
      <c r="P292" s="165">
        <f t="shared" si="55"/>
        <v>1</v>
      </c>
      <c r="Q292" s="173">
        <v>1</v>
      </c>
      <c r="R292" s="173"/>
      <c r="S292" s="173"/>
      <c r="T292" s="173"/>
    </row>
    <row r="293" spans="2:28" ht="13.8" x14ac:dyDescent="0.25">
      <c r="B293" s="176"/>
      <c r="C293" s="176"/>
      <c r="D293" s="176" t="str">
        <f t="shared" si="54"/>
        <v>INDOILPCK</v>
      </c>
      <c r="E293" s="176"/>
      <c r="F293" s="214">
        <f>F292</f>
        <v>2030</v>
      </c>
      <c r="G293" s="181"/>
      <c r="H293" s="195"/>
      <c r="I293" s="195"/>
      <c r="J293" s="195"/>
      <c r="K293" s="165"/>
      <c r="L293" s="165"/>
      <c r="M293" s="165"/>
      <c r="N293" s="165"/>
      <c r="O293" s="165"/>
      <c r="P293" s="165">
        <f t="shared" si="55"/>
        <v>0</v>
      </c>
      <c r="Q293" s="173">
        <f t="shared" ref="Q293:Q296" si="57">MIN(Q280*$I$3,1)</f>
        <v>0</v>
      </c>
      <c r="R293" s="173"/>
      <c r="S293" s="173"/>
      <c r="T293" s="173"/>
    </row>
    <row r="294" spans="2:28" ht="13.8" x14ac:dyDescent="0.25">
      <c r="B294" s="176"/>
      <c r="C294" s="176"/>
      <c r="D294" s="176" t="str">
        <f t="shared" si="54"/>
        <v>INDCOACOC</v>
      </c>
      <c r="E294" s="176"/>
      <c r="F294" s="214">
        <f t="shared" si="56"/>
        <v>2030</v>
      </c>
      <c r="G294" s="181"/>
      <c r="H294" s="195"/>
      <c r="I294" s="195"/>
      <c r="J294" s="195"/>
      <c r="K294" s="165"/>
      <c r="L294" s="165"/>
      <c r="M294" s="165"/>
      <c r="N294" s="165"/>
      <c r="O294" s="165"/>
      <c r="P294" s="165">
        <f t="shared" si="55"/>
        <v>0</v>
      </c>
      <c r="Q294" s="173">
        <f t="shared" si="57"/>
        <v>0</v>
      </c>
      <c r="R294" s="173"/>
      <c r="S294" s="173"/>
      <c r="T294" s="173"/>
    </row>
    <row r="295" spans="2:28" ht="13.8" x14ac:dyDescent="0.25">
      <c r="B295" s="176"/>
      <c r="C295" s="176"/>
      <c r="D295" s="176" t="str">
        <f t="shared" si="54"/>
        <v>INDCOABCO</v>
      </c>
      <c r="E295" s="176"/>
      <c r="F295" s="214">
        <f t="shared" si="56"/>
        <v>2030</v>
      </c>
      <c r="G295" s="181"/>
      <c r="H295" s="195"/>
      <c r="I295" s="195"/>
      <c r="J295" s="195"/>
      <c r="K295" s="165"/>
      <c r="L295" s="165"/>
      <c r="M295" s="165"/>
      <c r="N295" s="165"/>
      <c r="O295" s="165"/>
      <c r="P295" s="165">
        <f t="shared" si="55"/>
        <v>0</v>
      </c>
      <c r="Q295" s="173">
        <f t="shared" si="57"/>
        <v>0</v>
      </c>
      <c r="R295" s="173"/>
      <c r="S295" s="173"/>
      <c r="T295" s="173"/>
    </row>
    <row r="296" spans="2:28" ht="13.8" x14ac:dyDescent="0.25">
      <c r="B296" s="176"/>
      <c r="C296" s="176"/>
      <c r="D296" s="176" t="str">
        <f t="shared" si="54"/>
        <v>INDCOABKB</v>
      </c>
      <c r="E296" s="176"/>
      <c r="F296" s="214">
        <f t="shared" si="56"/>
        <v>2030</v>
      </c>
      <c r="G296" s="181"/>
      <c r="H296" s="195"/>
      <c r="I296" s="195"/>
      <c r="J296" s="195"/>
      <c r="K296" s="165"/>
      <c r="L296" s="165"/>
      <c r="M296" s="165"/>
      <c r="N296" s="165"/>
      <c r="O296" s="165"/>
      <c r="P296" s="165">
        <f t="shared" si="55"/>
        <v>0</v>
      </c>
      <c r="Q296" s="173">
        <f t="shared" si="57"/>
        <v>0</v>
      </c>
      <c r="R296" s="173"/>
      <c r="S296" s="173"/>
      <c r="T296" s="173"/>
    </row>
    <row r="297" spans="2:28" ht="13.8" x14ac:dyDescent="0.25">
      <c r="B297" s="176"/>
      <c r="C297" s="176"/>
      <c r="D297" s="176" t="str">
        <f t="shared" si="54"/>
        <v>INDOILLPG</v>
      </c>
      <c r="E297" s="176"/>
      <c r="F297" s="214">
        <f t="shared" si="56"/>
        <v>2030</v>
      </c>
      <c r="G297" s="181"/>
      <c r="H297" s="195"/>
      <c r="I297" s="195"/>
      <c r="J297" s="195"/>
      <c r="K297" s="165"/>
      <c r="L297" s="165"/>
      <c r="M297" s="165"/>
      <c r="N297" s="165"/>
      <c r="O297" s="165"/>
      <c r="P297" s="165">
        <f t="shared" si="55"/>
        <v>0.1</v>
      </c>
      <c r="Q297" s="173">
        <v>0.1</v>
      </c>
      <c r="R297" s="173"/>
      <c r="S297" s="173"/>
      <c r="T297" s="173"/>
    </row>
    <row r="298" spans="2:28" ht="13.8" x14ac:dyDescent="0.25">
      <c r="B298" s="176"/>
      <c r="C298" s="176"/>
      <c r="D298" s="176" t="str">
        <f t="shared" si="54"/>
        <v>INDOILDSL</v>
      </c>
      <c r="E298" s="176"/>
      <c r="F298" s="214">
        <f t="shared" si="56"/>
        <v>2030</v>
      </c>
      <c r="G298" s="181"/>
      <c r="H298" s="195"/>
      <c r="I298" s="195"/>
      <c r="J298" s="195"/>
      <c r="K298" s="165"/>
      <c r="L298" s="165"/>
      <c r="M298" s="165"/>
      <c r="N298" s="165"/>
      <c r="O298" s="165"/>
      <c r="P298" s="165">
        <f t="shared" si="55"/>
        <v>0.1</v>
      </c>
      <c r="Q298" s="173">
        <v>0.1</v>
      </c>
      <c r="R298" s="173"/>
      <c r="S298" s="173"/>
      <c r="T298" s="173"/>
    </row>
    <row r="299" spans="2:28" ht="13.8" x14ac:dyDescent="0.25">
      <c r="B299" s="176"/>
      <c r="C299" s="176"/>
      <c r="D299" s="176" t="str">
        <f t="shared" si="54"/>
        <v>INDBIOBGS</v>
      </c>
      <c r="E299" s="176"/>
      <c r="F299" s="214">
        <f t="shared" si="56"/>
        <v>2030</v>
      </c>
      <c r="G299" s="181"/>
      <c r="H299" s="195"/>
      <c r="I299" s="195"/>
      <c r="J299" s="195"/>
      <c r="K299" s="165"/>
      <c r="L299" s="165"/>
      <c r="M299" s="165"/>
      <c r="N299" s="165"/>
      <c r="O299" s="165"/>
      <c r="P299" s="165">
        <f t="shared" si="55"/>
        <v>0.2</v>
      </c>
      <c r="Q299" s="173">
        <v>0.2</v>
      </c>
      <c r="R299" s="173"/>
      <c r="S299" s="173"/>
      <c r="T299" s="173"/>
    </row>
    <row r="300" spans="2:28" ht="13.8" x14ac:dyDescent="0.25">
      <c r="B300" s="176"/>
      <c r="C300" s="176"/>
      <c r="D300" s="176" t="str">
        <f t="shared" si="54"/>
        <v>INDH2G</v>
      </c>
      <c r="E300" s="176"/>
      <c r="F300" s="214">
        <f t="shared" si="56"/>
        <v>2030</v>
      </c>
      <c r="G300" s="181"/>
      <c r="H300" s="195"/>
      <c r="I300" s="195"/>
      <c r="J300" s="195"/>
      <c r="K300" s="165"/>
      <c r="L300" s="165"/>
      <c r="M300" s="165"/>
      <c r="N300" s="165"/>
      <c r="O300" s="165"/>
      <c r="P300" s="165">
        <f t="shared" si="55"/>
        <v>0.1</v>
      </c>
      <c r="Q300" s="173">
        <v>0.1</v>
      </c>
      <c r="R300" s="173"/>
      <c r="S300" s="173"/>
      <c r="T300" s="173"/>
    </row>
    <row r="301" spans="2:28" ht="13.8" x14ac:dyDescent="0.25">
      <c r="B301" s="176"/>
      <c r="C301" s="176"/>
      <c r="D301" s="176"/>
      <c r="E301" s="176" t="str">
        <f>E288</f>
        <v>INDPCHHTH</v>
      </c>
      <c r="F301" s="214">
        <f>F300</f>
        <v>2030</v>
      </c>
      <c r="G301" s="176"/>
      <c r="H301" s="195"/>
      <c r="I301" s="195"/>
      <c r="J301" s="195"/>
      <c r="K301" s="248"/>
      <c r="L301" s="248"/>
      <c r="M301" s="248"/>
      <c r="N301" s="248"/>
      <c r="O301" s="248"/>
      <c r="P301" s="248"/>
      <c r="Q301" s="195"/>
      <c r="R301" s="173"/>
      <c r="S301" s="173"/>
      <c r="T301" s="173"/>
    </row>
    <row r="302" spans="2:28" ht="13.8" x14ac:dyDescent="0.25">
      <c r="B302" s="219"/>
      <c r="C302" s="219"/>
      <c r="D302" s="219"/>
      <c r="E302" s="219" t="s">
        <v>199</v>
      </c>
      <c r="F302" s="220">
        <f t="shared" si="56"/>
        <v>2030</v>
      </c>
      <c r="G302" s="281"/>
      <c r="H302" s="265"/>
      <c r="I302" s="265"/>
      <c r="J302" s="265"/>
      <c r="K302" s="219"/>
      <c r="L302" s="219"/>
      <c r="M302" s="219"/>
      <c r="N302" s="219"/>
      <c r="O302" s="219"/>
      <c r="P302" s="219"/>
      <c r="Q302" s="263"/>
      <c r="R302" s="266"/>
      <c r="S302" s="266"/>
      <c r="T302" s="266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8EBD-DCFF-4187-9EC5-D6C739A36DC3}">
  <dimension ref="A2:AO47"/>
  <sheetViews>
    <sheetView zoomScale="55" zoomScaleNormal="55" workbookViewId="0">
      <selection sqref="A1:XFD1048576"/>
    </sheetView>
  </sheetViews>
  <sheetFormatPr defaultColWidth="9.109375" defaultRowHeight="13.2" x14ac:dyDescent="0.25"/>
  <cols>
    <col min="1" max="1" width="9.109375" style="174"/>
    <col min="2" max="2" width="31.6640625" style="174" customWidth="1"/>
    <col min="3" max="3" width="48.33203125" style="174" customWidth="1"/>
    <col min="4" max="4" width="16.88671875" style="174" bestFit="1" customWidth="1"/>
    <col min="5" max="5" width="18.88671875" style="174" bestFit="1" customWidth="1"/>
    <col min="6" max="6" width="25.109375" style="174" bestFit="1" customWidth="1"/>
    <col min="7" max="7" width="12.109375" style="174" bestFit="1" customWidth="1"/>
    <col min="8" max="8" width="20.44140625" style="174" bestFit="1" customWidth="1"/>
    <col min="9" max="9" width="27.109375" style="174" bestFit="1" customWidth="1"/>
    <col min="10" max="10" width="28" style="174" bestFit="1" customWidth="1"/>
    <col min="11" max="13" width="20.5546875" style="174" customWidth="1"/>
    <col min="14" max="14" width="17.6640625" style="174" customWidth="1"/>
    <col min="15" max="15" width="19.44140625" style="174" bestFit="1" customWidth="1"/>
    <col min="16" max="16" width="19.88671875" style="174" customWidth="1"/>
    <col min="17" max="17" width="16.6640625" style="174" bestFit="1" customWidth="1"/>
    <col min="18" max="18" width="27.88671875" style="174" bestFit="1" customWidth="1"/>
    <col min="19" max="19" width="10.109375" style="174" customWidth="1"/>
    <col min="20" max="20" width="9.109375" style="174"/>
    <col min="21" max="21" width="15.109375" style="174" customWidth="1"/>
    <col min="22" max="22" width="13.88671875" style="174" bestFit="1" customWidth="1"/>
    <col min="23" max="23" width="40.44140625" style="174" customWidth="1"/>
    <col min="24" max="24" width="65.5546875" style="174" bestFit="1" customWidth="1"/>
    <col min="25" max="26" width="13.44140625" style="174" bestFit="1" customWidth="1"/>
    <col min="27" max="27" width="33.44140625" style="174" bestFit="1" customWidth="1"/>
    <col min="28" max="28" width="26.44140625" style="174" bestFit="1" customWidth="1"/>
    <col min="29" max="29" width="16.6640625" style="174" bestFit="1" customWidth="1"/>
    <col min="30" max="30" width="9.109375" style="174"/>
    <col min="31" max="31" width="28.109375" style="174" bestFit="1" customWidth="1"/>
    <col min="32" max="32" width="17.109375" style="174" bestFit="1" customWidth="1"/>
    <col min="33" max="33" width="27.6640625" style="174" bestFit="1" customWidth="1"/>
    <col min="34" max="34" width="5.88671875" style="174" bestFit="1" customWidth="1"/>
    <col min="35" max="35" width="24.5546875" style="174" bestFit="1" customWidth="1"/>
    <col min="36" max="36" width="22.88671875" style="174" bestFit="1" customWidth="1"/>
    <col min="37" max="37" width="15.88671875" style="174" bestFit="1" customWidth="1"/>
    <col min="38" max="38" width="17.44140625" style="174" bestFit="1" customWidth="1"/>
    <col min="39" max="39" width="9.109375" style="174"/>
    <col min="40" max="40" width="22" style="174" bestFit="1" customWidth="1"/>
    <col min="41" max="16384" width="9.109375" style="174"/>
  </cols>
  <sheetData>
    <row r="2" spans="1:41" s="176" customFormat="1" ht="17.399999999999999" x14ac:dyDescent="0.3">
      <c r="A2" s="175"/>
      <c r="B2" s="175" t="s">
        <v>399</v>
      </c>
      <c r="C2" s="175"/>
      <c r="D2" s="175"/>
      <c r="E2" s="175"/>
      <c r="F2" s="174"/>
      <c r="G2" s="174"/>
      <c r="H2" s="174"/>
      <c r="I2" s="174"/>
      <c r="J2" s="226"/>
      <c r="U2" s="177" t="s">
        <v>225</v>
      </c>
      <c r="V2" s="177"/>
      <c r="Y2" s="176" t="s">
        <v>325</v>
      </c>
    </row>
    <row r="3" spans="1:41" s="176" customFormat="1" ht="17.399999999999999" x14ac:dyDescent="0.3">
      <c r="B3" s="175" t="s">
        <v>400</v>
      </c>
      <c r="F3" s="174"/>
      <c r="G3" s="174"/>
      <c r="H3" s="174"/>
      <c r="I3" s="174"/>
      <c r="J3" s="226"/>
    </row>
    <row r="4" spans="1:41" s="176" customFormat="1" ht="13.8" x14ac:dyDescent="0.25">
      <c r="B4" s="178"/>
      <c r="D4" s="179"/>
      <c r="E4" s="179"/>
      <c r="F4" s="174"/>
      <c r="G4" s="174"/>
      <c r="H4" s="174"/>
      <c r="I4" s="174"/>
      <c r="J4" s="226"/>
      <c r="N4" s="180"/>
      <c r="O4" s="180"/>
      <c r="P4" s="180"/>
      <c r="Q4" s="181"/>
      <c r="U4" s="182" t="s">
        <v>226</v>
      </c>
      <c r="V4" s="182"/>
      <c r="W4" s="182" t="s">
        <v>232</v>
      </c>
      <c r="X4" s="182"/>
      <c r="Y4" s="182"/>
      <c r="Z4" s="182"/>
      <c r="AA4" s="182"/>
      <c r="AB4" s="182"/>
      <c r="AC4" s="182"/>
      <c r="AO4" s="174"/>
    </row>
    <row r="5" spans="1:41" s="176" customFormat="1" ht="13.8" x14ac:dyDescent="0.25">
      <c r="B5" s="178"/>
      <c r="D5" s="179"/>
      <c r="E5" s="179"/>
      <c r="F5" s="174"/>
      <c r="G5" s="174"/>
      <c r="H5" s="174"/>
      <c r="I5" s="174"/>
      <c r="J5" s="215"/>
      <c r="N5" s="180"/>
      <c r="O5" s="180"/>
      <c r="P5" s="180"/>
      <c r="Q5" s="181"/>
      <c r="U5" s="182"/>
      <c r="V5" s="182"/>
      <c r="W5" s="182"/>
      <c r="X5" s="182"/>
      <c r="Y5" s="182"/>
      <c r="Z5" s="182"/>
      <c r="AA5" s="182"/>
      <c r="AB5" s="182"/>
      <c r="AC5" s="182"/>
      <c r="AO5" s="174"/>
    </row>
    <row r="6" spans="1:41" s="176" customFormat="1" ht="13.8" x14ac:dyDescent="0.25">
      <c r="B6" s="178"/>
      <c r="D6" s="179"/>
      <c r="E6" s="179"/>
      <c r="F6" s="174"/>
      <c r="G6" s="174"/>
      <c r="H6" s="174"/>
      <c r="I6" s="174"/>
      <c r="J6" s="215"/>
      <c r="N6" s="180"/>
      <c r="O6" s="180"/>
      <c r="P6" s="180"/>
      <c r="Q6" s="181"/>
      <c r="U6" s="182"/>
      <c r="V6" s="182"/>
      <c r="W6" s="182"/>
      <c r="X6" s="182"/>
      <c r="Y6" s="182"/>
      <c r="Z6" s="182"/>
      <c r="AA6" s="182"/>
      <c r="AB6" s="182"/>
      <c r="AC6" s="182"/>
      <c r="AO6" s="174"/>
    </row>
    <row r="7" spans="1:41" s="176" customFormat="1" ht="13.8" x14ac:dyDescent="0.25">
      <c r="B7" s="178"/>
      <c r="D7" s="179"/>
      <c r="E7" s="179"/>
      <c r="F7" s="174"/>
      <c r="G7" s="174"/>
      <c r="H7" s="174"/>
      <c r="I7" s="174"/>
      <c r="J7" s="215"/>
      <c r="N7" s="180"/>
      <c r="O7" s="180"/>
      <c r="P7" s="180"/>
      <c r="Q7" s="181"/>
      <c r="U7" s="182"/>
      <c r="V7" s="182"/>
      <c r="W7" s="182"/>
      <c r="X7" s="182"/>
      <c r="Y7" s="182"/>
      <c r="Z7" s="182"/>
      <c r="AA7" s="182"/>
      <c r="AB7" s="182"/>
      <c r="AC7" s="182"/>
      <c r="AO7" s="174"/>
    </row>
    <row r="8" spans="1:41" s="176" customFormat="1" ht="13.8" x14ac:dyDescent="0.25">
      <c r="U8" s="183" t="s">
        <v>17</v>
      </c>
      <c r="V8" s="183"/>
      <c r="W8" s="182"/>
      <c r="X8" s="182"/>
      <c r="Y8" s="182"/>
      <c r="Z8" s="182"/>
      <c r="AA8" s="182"/>
      <c r="AB8" s="182"/>
      <c r="AC8" s="182"/>
      <c r="AE8" s="184" t="s">
        <v>308</v>
      </c>
      <c r="AF8" s="185"/>
      <c r="AG8" s="185"/>
      <c r="AH8" s="186"/>
      <c r="AI8" s="186"/>
      <c r="AJ8" s="185"/>
      <c r="AK8" s="185"/>
      <c r="AL8" s="185"/>
      <c r="AM8" s="174"/>
      <c r="AO8" s="187"/>
    </row>
    <row r="9" spans="1:41" s="176" customFormat="1" ht="13.8" x14ac:dyDescent="0.25">
      <c r="E9" s="197"/>
      <c r="F9" s="187" t="s">
        <v>0</v>
      </c>
      <c r="G9" s="187"/>
      <c r="H9" s="198"/>
      <c r="I9" s="198"/>
      <c r="J9" s="198"/>
      <c r="K9" s="198"/>
      <c r="L9" s="198"/>
      <c r="M9" s="199"/>
      <c r="N9" s="199"/>
      <c r="O9" s="199"/>
      <c r="U9" s="188" t="s">
        <v>15</v>
      </c>
      <c r="V9" s="188" t="s">
        <v>54</v>
      </c>
      <c r="W9" s="188" t="s">
        <v>1</v>
      </c>
      <c r="X9" s="188" t="s">
        <v>2</v>
      </c>
      <c r="Y9" s="188" t="s">
        <v>18</v>
      </c>
      <c r="Z9" s="188" t="s">
        <v>19</v>
      </c>
      <c r="AA9" s="188" t="s">
        <v>20</v>
      </c>
      <c r="AB9" s="188" t="s">
        <v>21</v>
      </c>
      <c r="AC9" s="188" t="s">
        <v>22</v>
      </c>
      <c r="AE9" s="190" t="s">
        <v>7</v>
      </c>
      <c r="AF9" s="190" t="s">
        <v>6</v>
      </c>
      <c r="AG9" s="190" t="s">
        <v>8</v>
      </c>
      <c r="AH9" s="191" t="s">
        <v>9</v>
      </c>
      <c r="AI9" s="191" t="s">
        <v>10</v>
      </c>
      <c r="AJ9" s="192" t="s">
        <v>11</v>
      </c>
      <c r="AK9" s="192" t="s">
        <v>12</v>
      </c>
      <c r="AL9" s="192" t="s">
        <v>13</v>
      </c>
      <c r="AM9" s="174"/>
      <c r="AO9" s="193"/>
    </row>
    <row r="10" spans="1:41" s="176" customFormat="1" ht="20.25" customHeight="1" thickBot="1" x14ac:dyDescent="0.3">
      <c r="B10" s="200" t="s">
        <v>1</v>
      </c>
      <c r="C10" s="201" t="s">
        <v>227</v>
      </c>
      <c r="D10" s="200" t="s">
        <v>3</v>
      </c>
      <c r="E10" s="200" t="s">
        <v>4</v>
      </c>
      <c r="F10" s="202" t="s">
        <v>233</v>
      </c>
      <c r="G10" s="203" t="s">
        <v>14</v>
      </c>
      <c r="H10" s="204" t="s">
        <v>342</v>
      </c>
      <c r="I10" s="204" t="str">
        <f>"FLO_SHAR~UP~"&amp;(BASE_YEAR+13)</f>
        <v>FLO_SHAR~UP~2030</v>
      </c>
      <c r="J10" s="204" t="str">
        <f>"FLO_SHAR~UP~"&amp;END_YEAR</f>
        <v>FLO_SHAR~UP~2050</v>
      </c>
      <c r="K10" s="205" t="s">
        <v>16</v>
      </c>
      <c r="L10" s="204" t="s">
        <v>50</v>
      </c>
      <c r="M10" s="204" t="s">
        <v>36</v>
      </c>
      <c r="N10" s="204" t="s">
        <v>5</v>
      </c>
      <c r="O10" s="204" t="s">
        <v>34</v>
      </c>
      <c r="P10" s="204" t="s">
        <v>48</v>
      </c>
      <c r="R10" s="206" t="s">
        <v>328</v>
      </c>
      <c r="S10" s="206"/>
      <c r="U10" s="194" t="s">
        <v>228</v>
      </c>
      <c r="V10" s="194" t="s">
        <v>56</v>
      </c>
      <c r="W10" s="194" t="s">
        <v>27</v>
      </c>
      <c r="X10" s="194" t="s">
        <v>28</v>
      </c>
      <c r="Y10" s="194" t="s">
        <v>29</v>
      </c>
      <c r="Z10" s="194" t="s">
        <v>30</v>
      </c>
      <c r="AA10" s="194" t="s">
        <v>229</v>
      </c>
      <c r="AB10" s="194" t="s">
        <v>230</v>
      </c>
      <c r="AC10" s="194" t="s">
        <v>31</v>
      </c>
      <c r="AD10" s="195"/>
      <c r="AE10" s="87" t="s">
        <v>309</v>
      </c>
      <c r="AF10" s="87" t="s">
        <v>23</v>
      </c>
      <c r="AG10" s="87" t="s">
        <v>24</v>
      </c>
      <c r="AH10" s="88" t="s">
        <v>9</v>
      </c>
      <c r="AI10" s="88" t="s">
        <v>310</v>
      </c>
      <c r="AJ10" s="87" t="s">
        <v>311</v>
      </c>
      <c r="AK10" s="87" t="s">
        <v>25</v>
      </c>
      <c r="AL10" s="87" t="s">
        <v>26</v>
      </c>
      <c r="AM10" s="174"/>
      <c r="AO10" s="174"/>
    </row>
    <row r="11" spans="1:41" s="176" customFormat="1" ht="17.25" customHeight="1" thickBot="1" x14ac:dyDescent="0.3">
      <c r="A11" s="174"/>
      <c r="B11" s="207" t="s">
        <v>234</v>
      </c>
      <c r="C11" s="207" t="s">
        <v>28</v>
      </c>
      <c r="D11" s="207" t="s">
        <v>32</v>
      </c>
      <c r="E11" s="207" t="s">
        <v>33</v>
      </c>
      <c r="F11" s="208"/>
      <c r="G11" s="209" t="s">
        <v>35</v>
      </c>
      <c r="H11" s="207"/>
      <c r="I11" s="207"/>
      <c r="J11" s="207"/>
      <c r="K11" s="207" t="s">
        <v>303</v>
      </c>
      <c r="L11" s="207" t="s">
        <v>329</v>
      </c>
      <c r="M11" s="207" t="s">
        <v>37</v>
      </c>
      <c r="N11" s="207" t="s">
        <v>38</v>
      </c>
      <c r="O11" s="207" t="s">
        <v>39</v>
      </c>
      <c r="P11" s="207" t="s">
        <v>218</v>
      </c>
      <c r="R11" s="176" t="s">
        <v>1055</v>
      </c>
      <c r="U11" s="176" t="s">
        <v>277</v>
      </c>
      <c r="W11" s="195" t="str">
        <f>"INDDEMMIQ_"&amp;$W$4&amp;"_ST"</f>
        <v>INDDEMMIQ_N_ST</v>
      </c>
      <c r="X11" s="176" t="s">
        <v>1024</v>
      </c>
      <c r="Y11" s="176" t="s">
        <v>206</v>
      </c>
      <c r="Z11" s="176" t="s">
        <v>242</v>
      </c>
      <c r="AB11" s="195"/>
      <c r="AC11" s="195"/>
      <c r="AE11" s="185"/>
      <c r="AF11" s="185"/>
      <c r="AG11" s="185"/>
      <c r="AH11" s="186"/>
      <c r="AI11" s="196"/>
      <c r="AM11" s="174"/>
      <c r="AO11" s="174"/>
    </row>
    <row r="12" spans="1:41" s="176" customFormat="1" ht="15" x14ac:dyDescent="0.25">
      <c r="A12" s="174"/>
      <c r="B12" s="210"/>
      <c r="C12" s="211"/>
      <c r="D12" s="211"/>
      <c r="E12" s="211" t="s">
        <v>231</v>
      </c>
      <c r="F12" s="212"/>
      <c r="G12" s="211"/>
      <c r="H12" s="211"/>
      <c r="I12" s="211"/>
      <c r="J12" s="211"/>
      <c r="K12" s="213" t="s">
        <v>306</v>
      </c>
      <c r="L12" s="211"/>
      <c r="M12" s="211" t="s">
        <v>442</v>
      </c>
      <c r="N12" s="211" t="s">
        <v>440</v>
      </c>
      <c r="O12" s="211" t="s">
        <v>439</v>
      </c>
      <c r="P12" s="211" t="s">
        <v>40</v>
      </c>
      <c r="W12" s="195" t="str">
        <f>"INDDEMMIQ_"&amp;$W$4&amp;"_IM"</f>
        <v>INDDEMMIQ_N_IM</v>
      </c>
      <c r="X12" s="176" t="s">
        <v>1071</v>
      </c>
      <c r="Y12" s="176" t="s">
        <v>206</v>
      </c>
      <c r="Z12" s="176" t="s">
        <v>242</v>
      </c>
      <c r="AB12" s="195"/>
      <c r="AC12" s="195"/>
      <c r="AD12" s="174"/>
      <c r="AF12" s="185"/>
      <c r="AG12" s="185"/>
      <c r="AH12" s="186"/>
      <c r="AI12" s="196"/>
      <c r="AO12" s="174"/>
    </row>
    <row r="13" spans="1:41" s="176" customFormat="1" ht="13.8" x14ac:dyDescent="0.25">
      <c r="A13" s="174"/>
      <c r="B13" s="176" t="str">
        <f>W11</f>
        <v>INDDEMMIQ_N_ST</v>
      </c>
      <c r="C13" s="176" t="str">
        <f>X11</f>
        <v>Mining and Quarrying Standard</v>
      </c>
      <c r="D13" s="176" t="s">
        <v>430</v>
      </c>
      <c r="F13" s="214">
        <f>G13</f>
        <v>2018</v>
      </c>
      <c r="G13" s="174">
        <f>BASE_YEAR+1</f>
        <v>2018</v>
      </c>
      <c r="H13" s="173">
        <v>0</v>
      </c>
      <c r="I13" s="173">
        <f>H13*1.01</f>
        <v>0</v>
      </c>
      <c r="J13" s="173">
        <f>I13</f>
        <v>0</v>
      </c>
      <c r="K13" s="215">
        <v>1</v>
      </c>
      <c r="L13" s="174">
        <v>1</v>
      </c>
      <c r="M13" s="216">
        <f>R13/R14</f>
        <v>59.455859969558595</v>
      </c>
      <c r="N13" s="174"/>
      <c r="O13" s="174"/>
      <c r="P13" s="174">
        <v>50</v>
      </c>
      <c r="R13" s="176">
        <v>1500</v>
      </c>
      <c r="W13" s="195" t="str">
        <f>"INDDEMMIQ_"&amp;$W$4&amp;"_AD"</f>
        <v>INDDEMMIQ_N_AD</v>
      </c>
      <c r="X13" s="176" t="s">
        <v>1072</v>
      </c>
      <c r="Y13" s="176" t="s">
        <v>206</v>
      </c>
      <c r="Z13" s="176" t="s">
        <v>242</v>
      </c>
      <c r="AB13" s="195"/>
      <c r="AC13" s="195"/>
      <c r="AD13" s="174"/>
      <c r="AF13" s="185"/>
      <c r="AG13" s="185"/>
      <c r="AH13" s="186"/>
      <c r="AO13" s="174"/>
    </row>
    <row r="14" spans="1:41" s="176" customFormat="1" ht="13.8" x14ac:dyDescent="0.25">
      <c r="A14" s="174"/>
      <c r="D14" s="176" t="s">
        <v>152</v>
      </c>
      <c r="F14" s="214">
        <f>F13</f>
        <v>2018</v>
      </c>
      <c r="G14" s="174"/>
      <c r="H14" s="173">
        <v>4.7E-2</v>
      </c>
      <c r="I14" s="173">
        <f t="shared" ref="I14:J22" si="0">H14*1.01</f>
        <v>4.7469999999999998E-2</v>
      </c>
      <c r="J14" s="173">
        <f>I14</f>
        <v>4.7469999999999998E-2</v>
      </c>
      <c r="K14" s="217"/>
      <c r="L14" s="174"/>
      <c r="M14" s="216"/>
      <c r="N14" s="174"/>
      <c r="O14" s="174"/>
      <c r="R14" s="218">
        <f>1*31.536*0.8</f>
        <v>25.228800000000003</v>
      </c>
      <c r="W14" s="195"/>
      <c r="AB14" s="195"/>
      <c r="AC14" s="195"/>
      <c r="AD14" s="174"/>
      <c r="AO14" s="174"/>
    </row>
    <row r="15" spans="1:41" s="176" customFormat="1" ht="13.8" x14ac:dyDescent="0.25">
      <c r="A15" s="174"/>
      <c r="D15" s="176" t="s">
        <v>154</v>
      </c>
      <c r="F15" s="214">
        <f t="shared" ref="F15:F22" si="1">F14</f>
        <v>2018</v>
      </c>
      <c r="G15" s="174"/>
      <c r="H15" s="173">
        <v>4.0000000000000001E-3</v>
      </c>
      <c r="I15" s="173">
        <f t="shared" si="0"/>
        <v>4.0400000000000002E-3</v>
      </c>
      <c r="J15" s="173">
        <f>I15</f>
        <v>4.0400000000000002E-3</v>
      </c>
      <c r="K15" s="217"/>
      <c r="L15" s="174"/>
      <c r="M15" s="216"/>
      <c r="N15" s="174"/>
      <c r="O15" s="174"/>
      <c r="P15" s="174"/>
      <c r="W15" s="195"/>
      <c r="AB15" s="195"/>
      <c r="AC15" s="195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O15" s="174"/>
    </row>
    <row r="16" spans="1:41" ht="13.8" x14ac:dyDescent="0.25">
      <c r="B16" s="176"/>
      <c r="C16" s="176"/>
      <c r="D16" s="176" t="s">
        <v>199</v>
      </c>
      <c r="E16" s="176"/>
      <c r="F16" s="214">
        <f t="shared" si="1"/>
        <v>2018</v>
      </c>
      <c r="H16" s="173">
        <v>0.14699999999999999</v>
      </c>
      <c r="I16" s="173">
        <f t="shared" si="0"/>
        <v>0.14846999999999999</v>
      </c>
      <c r="J16" s="173">
        <f>I16*1.05</f>
        <v>0.15589349999999999</v>
      </c>
      <c r="K16" s="217"/>
      <c r="M16" s="216"/>
      <c r="U16" s="176"/>
      <c r="V16" s="176"/>
      <c r="W16" s="195"/>
      <c r="X16" s="176"/>
      <c r="Y16" s="176"/>
      <c r="Z16" s="176"/>
      <c r="AA16" s="176"/>
      <c r="AB16" s="195"/>
      <c r="AC16" s="195"/>
      <c r="AN16" s="176"/>
    </row>
    <row r="17" spans="2:40" ht="13.8" x14ac:dyDescent="0.25">
      <c r="B17" s="176"/>
      <c r="C17" s="176"/>
      <c r="D17" s="176" t="s">
        <v>1042</v>
      </c>
      <c r="E17" s="176"/>
      <c r="F17" s="214">
        <f t="shared" si="1"/>
        <v>2018</v>
      </c>
      <c r="H17" s="173">
        <v>0.09</v>
      </c>
      <c r="I17" s="173">
        <f t="shared" si="0"/>
        <v>9.0899999999999995E-2</v>
      </c>
      <c r="J17" s="173">
        <f>I17</f>
        <v>9.0899999999999995E-2</v>
      </c>
      <c r="K17" s="217"/>
      <c r="M17" s="216"/>
      <c r="AN17" s="176"/>
    </row>
    <row r="18" spans="2:40" ht="13.8" x14ac:dyDescent="0.25">
      <c r="B18" s="176"/>
      <c r="C18" s="176"/>
      <c r="D18" s="176" t="s">
        <v>150</v>
      </c>
      <c r="E18" s="176"/>
      <c r="F18" s="214">
        <f>F16</f>
        <v>2018</v>
      </c>
      <c r="H18" s="173">
        <v>0.39</v>
      </c>
      <c r="I18" s="173">
        <f t="shared" si="0"/>
        <v>0.39390000000000003</v>
      </c>
      <c r="J18" s="173">
        <f>I18</f>
        <v>0.39390000000000003</v>
      </c>
      <c r="K18" s="217"/>
      <c r="M18" s="216"/>
      <c r="AN18" s="176"/>
    </row>
    <row r="19" spans="2:40" ht="13.8" x14ac:dyDescent="0.25">
      <c r="B19" s="176"/>
      <c r="C19" s="176"/>
      <c r="D19" s="176" t="s">
        <v>265</v>
      </c>
      <c r="E19" s="176"/>
      <c r="F19" s="214">
        <f t="shared" si="1"/>
        <v>2018</v>
      </c>
      <c r="H19" s="173">
        <v>0</v>
      </c>
      <c r="I19" s="173">
        <f t="shared" si="0"/>
        <v>0</v>
      </c>
      <c r="J19" s="173">
        <f t="shared" si="0"/>
        <v>0</v>
      </c>
      <c r="K19" s="217"/>
      <c r="M19" s="216"/>
    </row>
    <row r="20" spans="2:40" ht="15.75" customHeight="1" x14ac:dyDescent="0.25">
      <c r="B20" s="176"/>
      <c r="C20" s="176"/>
      <c r="D20" s="176" t="s">
        <v>164</v>
      </c>
      <c r="E20" s="176"/>
      <c r="F20" s="214">
        <f t="shared" si="1"/>
        <v>2018</v>
      </c>
      <c r="H20" s="173">
        <v>0.32200000000000001</v>
      </c>
      <c r="I20" s="173">
        <f t="shared" si="0"/>
        <v>0.32522000000000001</v>
      </c>
      <c r="J20" s="173">
        <f>I20*1.05</f>
        <v>0.34148100000000003</v>
      </c>
      <c r="K20" s="217"/>
      <c r="M20" s="216"/>
    </row>
    <row r="21" spans="2:40" ht="13.8" x14ac:dyDescent="0.25">
      <c r="B21" s="176"/>
      <c r="C21" s="176"/>
      <c r="D21" s="176" t="str">
        <f>Commodities!D143</f>
        <v>INDBIODSL</v>
      </c>
      <c r="E21" s="176"/>
      <c r="F21" s="214">
        <f t="shared" si="1"/>
        <v>2018</v>
      </c>
      <c r="H21" s="173">
        <v>0</v>
      </c>
      <c r="I21" s="173">
        <f t="shared" si="0"/>
        <v>0</v>
      </c>
      <c r="J21" s="173">
        <f t="shared" si="0"/>
        <v>0</v>
      </c>
      <c r="K21" s="217"/>
      <c r="M21" s="216"/>
    </row>
    <row r="22" spans="2:40" ht="13.8" x14ac:dyDescent="0.25">
      <c r="B22" s="176"/>
      <c r="C22" s="176"/>
      <c r="D22" s="176" t="s">
        <v>179</v>
      </c>
      <c r="E22" s="176"/>
      <c r="F22" s="214">
        <f t="shared" si="1"/>
        <v>2018</v>
      </c>
      <c r="H22" s="173">
        <v>0</v>
      </c>
      <c r="I22" s="173">
        <f t="shared" si="0"/>
        <v>0</v>
      </c>
      <c r="J22" s="173">
        <f t="shared" si="0"/>
        <v>0</v>
      </c>
      <c r="K22" s="217"/>
      <c r="M22" s="216"/>
    </row>
    <row r="23" spans="2:40" ht="13.8" x14ac:dyDescent="0.25">
      <c r="B23" s="219"/>
      <c r="C23" s="219"/>
      <c r="D23" s="219"/>
      <c r="E23" s="219" t="s">
        <v>400</v>
      </c>
      <c r="F23" s="220">
        <f>F21</f>
        <v>2018</v>
      </c>
      <c r="G23" s="221"/>
      <c r="H23" s="221"/>
      <c r="I23" s="221"/>
      <c r="J23" s="221"/>
      <c r="K23" s="222"/>
      <c r="L23" s="221"/>
      <c r="M23" s="223"/>
      <c r="N23" s="221"/>
      <c r="O23" s="221"/>
      <c r="P23" s="221"/>
    </row>
    <row r="24" spans="2:40" ht="13.8" x14ac:dyDescent="0.25">
      <c r="B24" s="176" t="str">
        <f>W12</f>
        <v>INDDEMMIQ_N_IM</v>
      </c>
      <c r="C24" s="176" t="str">
        <f>X12</f>
        <v>Mining and Quarrying Improved</v>
      </c>
      <c r="D24" s="176" t="str">
        <f>D13</f>
        <v>INDCOABCO</v>
      </c>
      <c r="E24" s="176"/>
      <c r="F24" s="214">
        <f>G24</f>
        <v>2025</v>
      </c>
      <c r="G24" s="174">
        <f>BASE_YEAR+8</f>
        <v>2025</v>
      </c>
      <c r="H24" s="173">
        <f>ROUNDDOWN(H13,3)</f>
        <v>0</v>
      </c>
      <c r="I24" s="173">
        <f>H24</f>
        <v>0</v>
      </c>
      <c r="J24" s="173">
        <f>I24</f>
        <v>0</v>
      </c>
      <c r="K24" s="215">
        <f>AVERAGE(K36,K13)</f>
        <v>1.075</v>
      </c>
      <c r="L24" s="174">
        <v>1</v>
      </c>
      <c r="M24" s="216">
        <f>R24/R25*1.5</f>
        <v>130.80289193302889</v>
      </c>
      <c r="P24" s="174">
        <v>50</v>
      </c>
      <c r="R24" s="174">
        <v>2200</v>
      </c>
    </row>
    <row r="25" spans="2:40" ht="13.8" x14ac:dyDescent="0.25">
      <c r="B25" s="176"/>
      <c r="C25" s="176"/>
      <c r="D25" s="176" t="str">
        <f t="shared" ref="D25:D33" si="2">D14</f>
        <v>INDOILGSL</v>
      </c>
      <c r="E25" s="176"/>
      <c r="F25" s="214">
        <f>F24</f>
        <v>2025</v>
      </c>
      <c r="H25" s="173">
        <f t="shared" ref="H25:H30" si="3">ROUNDDOWN(H14,3)</f>
        <v>4.7E-2</v>
      </c>
      <c r="I25" s="173">
        <f t="shared" ref="I25:I33" si="4">H25</f>
        <v>4.7E-2</v>
      </c>
      <c r="J25" s="173">
        <f>I25</f>
        <v>4.7E-2</v>
      </c>
      <c r="K25" s="217"/>
      <c r="M25" s="216"/>
      <c r="P25" s="176"/>
      <c r="R25" s="218">
        <f>1*31.536*0.8</f>
        <v>25.228800000000003</v>
      </c>
    </row>
    <row r="26" spans="2:40" ht="13.8" x14ac:dyDescent="0.25">
      <c r="B26" s="176"/>
      <c r="C26" s="176"/>
      <c r="D26" s="176" t="str">
        <f t="shared" si="2"/>
        <v>INDOILLPG</v>
      </c>
      <c r="E26" s="176"/>
      <c r="F26" s="214">
        <f t="shared" ref="F26:F34" si="5">F25</f>
        <v>2025</v>
      </c>
      <c r="H26" s="173">
        <f t="shared" si="3"/>
        <v>4.0000000000000001E-3</v>
      </c>
      <c r="I26" s="173">
        <f t="shared" si="4"/>
        <v>4.0000000000000001E-3</v>
      </c>
      <c r="J26" s="173">
        <f>I26</f>
        <v>4.0000000000000001E-3</v>
      </c>
      <c r="K26" s="217"/>
      <c r="M26" s="216"/>
    </row>
    <row r="27" spans="2:40" ht="13.8" x14ac:dyDescent="0.25">
      <c r="B27" s="176"/>
      <c r="C27" s="176"/>
      <c r="D27" s="176" t="str">
        <f t="shared" si="2"/>
        <v>INDELC</v>
      </c>
      <c r="E27" s="176"/>
      <c r="F27" s="214">
        <f t="shared" si="5"/>
        <v>2025</v>
      </c>
      <c r="H27" s="173">
        <f>ROUNDUP(H16,2)</f>
        <v>0.15000000000000002</v>
      </c>
      <c r="I27" s="173">
        <f t="shared" si="4"/>
        <v>0.15000000000000002</v>
      </c>
      <c r="J27" s="173">
        <v>0.2</v>
      </c>
      <c r="K27" s="217"/>
      <c r="M27" s="216"/>
    </row>
    <row r="28" spans="2:40" ht="13.8" x14ac:dyDescent="0.25">
      <c r="B28" s="176"/>
      <c r="C28" s="176"/>
      <c r="D28" s="176" t="str">
        <f t="shared" si="2"/>
        <v>INDMIQHTH</v>
      </c>
      <c r="E28" s="176"/>
      <c r="F28" s="214">
        <f t="shared" si="5"/>
        <v>2025</v>
      </c>
      <c r="H28" s="173">
        <f>ROUNDUP(H17,2)</f>
        <v>0.09</v>
      </c>
      <c r="I28" s="173">
        <f t="shared" si="4"/>
        <v>0.09</v>
      </c>
      <c r="J28" s="173">
        <f>I28</f>
        <v>0.09</v>
      </c>
      <c r="K28" s="217"/>
      <c r="M28" s="216"/>
    </row>
    <row r="29" spans="2:40" ht="13.8" x14ac:dyDescent="0.25">
      <c r="B29" s="176"/>
      <c r="C29" s="176"/>
      <c r="D29" s="176" t="str">
        <f t="shared" si="2"/>
        <v>INDOILDSL</v>
      </c>
      <c r="E29" s="176"/>
      <c r="F29" s="214">
        <f>F27</f>
        <v>2025</v>
      </c>
      <c r="H29" s="173">
        <f t="shared" si="3"/>
        <v>0.39</v>
      </c>
      <c r="I29" s="173">
        <f t="shared" si="4"/>
        <v>0.39</v>
      </c>
      <c r="J29" s="173">
        <f>I29</f>
        <v>0.39</v>
      </c>
      <c r="K29" s="217"/>
      <c r="M29" s="216"/>
    </row>
    <row r="30" spans="2:40" ht="13.8" x14ac:dyDescent="0.25">
      <c r="B30" s="176"/>
      <c r="C30" s="176"/>
      <c r="D30" s="176" t="str">
        <f t="shared" si="2"/>
        <v>INDOILHFO</v>
      </c>
      <c r="E30" s="176"/>
      <c r="F30" s="214">
        <f t="shared" si="5"/>
        <v>2025</v>
      </c>
      <c r="H30" s="173">
        <f t="shared" si="3"/>
        <v>0</v>
      </c>
      <c r="I30" s="173">
        <f t="shared" si="4"/>
        <v>0</v>
      </c>
      <c r="J30" s="173">
        <f>I30</f>
        <v>0</v>
      </c>
      <c r="K30" s="217"/>
      <c r="M30" s="216"/>
    </row>
    <row r="31" spans="2:40" ht="13.8" x14ac:dyDescent="0.25">
      <c r="B31" s="176"/>
      <c r="C31" s="176"/>
      <c r="D31" s="176" t="str">
        <f t="shared" si="2"/>
        <v>INDGASNAT</v>
      </c>
      <c r="E31" s="176"/>
      <c r="F31" s="214">
        <f t="shared" si="5"/>
        <v>2025</v>
      </c>
      <c r="H31" s="173">
        <f>ROUNDUP(H20,2)</f>
        <v>0.33</v>
      </c>
      <c r="I31" s="173">
        <f t="shared" si="4"/>
        <v>0.33</v>
      </c>
      <c r="J31" s="173">
        <v>0.35</v>
      </c>
      <c r="K31" s="217"/>
      <c r="M31" s="216"/>
    </row>
    <row r="32" spans="2:40" ht="13.8" x14ac:dyDescent="0.25">
      <c r="B32" s="176"/>
      <c r="C32" s="176"/>
      <c r="D32" s="176" t="str">
        <f t="shared" si="2"/>
        <v>INDBIODSL</v>
      </c>
      <c r="E32" s="176"/>
      <c r="F32" s="214">
        <f t="shared" si="5"/>
        <v>2025</v>
      </c>
      <c r="H32" s="173">
        <f>H29/2</f>
        <v>0.19500000000000001</v>
      </c>
      <c r="I32" s="173">
        <f t="shared" si="4"/>
        <v>0.19500000000000001</v>
      </c>
      <c r="J32" s="173">
        <f>I32</f>
        <v>0.19500000000000001</v>
      </c>
      <c r="K32" s="217"/>
      <c r="M32" s="216"/>
    </row>
    <row r="33" spans="2:23" ht="13.8" x14ac:dyDescent="0.25">
      <c r="B33" s="176"/>
      <c r="C33" s="176"/>
      <c r="D33" s="176" t="str">
        <f t="shared" si="2"/>
        <v>INDBIOBGS</v>
      </c>
      <c r="E33" s="176"/>
      <c r="F33" s="214">
        <f t="shared" si="5"/>
        <v>2025</v>
      </c>
      <c r="H33" s="173">
        <f>H31/2</f>
        <v>0.16500000000000001</v>
      </c>
      <c r="I33" s="173">
        <f t="shared" si="4"/>
        <v>0.16500000000000001</v>
      </c>
      <c r="J33" s="173">
        <f>I33</f>
        <v>0.16500000000000001</v>
      </c>
      <c r="K33" s="217"/>
      <c r="M33" s="216"/>
    </row>
    <row r="34" spans="2:23" ht="14.4" x14ac:dyDescent="0.3">
      <c r="B34" s="176"/>
      <c r="C34" s="176"/>
      <c r="D34" s="227" t="s">
        <v>1062</v>
      </c>
      <c r="E34" s="227"/>
      <c r="F34" s="228">
        <f t="shared" si="5"/>
        <v>2025</v>
      </c>
      <c r="G34" s="229"/>
      <c r="H34" s="230">
        <v>0</v>
      </c>
      <c r="I34" s="230">
        <v>0</v>
      </c>
      <c r="J34" s="230">
        <v>0</v>
      </c>
      <c r="K34" s="217"/>
      <c r="M34" s="216"/>
    </row>
    <row r="35" spans="2:23" ht="13.8" x14ac:dyDescent="0.25">
      <c r="B35" s="219"/>
      <c r="C35" s="219"/>
      <c r="D35" s="219"/>
      <c r="E35" s="219" t="str">
        <f>E23</f>
        <v>INDMIQ</v>
      </c>
      <c r="F35" s="220">
        <f>F32</f>
        <v>2025</v>
      </c>
      <c r="G35" s="221"/>
      <c r="H35" s="221"/>
      <c r="I35" s="221"/>
      <c r="J35" s="221"/>
      <c r="K35" s="222"/>
      <c r="L35" s="221"/>
      <c r="M35" s="223"/>
      <c r="N35" s="221"/>
      <c r="O35" s="221"/>
      <c r="P35" s="221"/>
      <c r="U35" s="176"/>
      <c r="V35" s="176"/>
      <c r="W35" s="195"/>
    </row>
    <row r="36" spans="2:23" ht="13.8" x14ac:dyDescent="0.25">
      <c r="B36" s="176" t="str">
        <f>W13</f>
        <v>INDDEMMIQ_N_AD</v>
      </c>
      <c r="C36" s="176" t="str">
        <f>X13</f>
        <v>Mining and Quarrying Advanced</v>
      </c>
      <c r="D36" s="176" t="str">
        <f t="shared" ref="D36:D45" si="6">D24</f>
        <v>INDCOABCO</v>
      </c>
      <c r="E36" s="176"/>
      <c r="F36" s="214">
        <f>G36</f>
        <v>2035</v>
      </c>
      <c r="G36" s="174">
        <f>BASE_YEAR+18</f>
        <v>2035</v>
      </c>
      <c r="H36" s="173">
        <f>ROUNDDOWN(H24,3)</f>
        <v>0</v>
      </c>
      <c r="I36" s="173">
        <f>H36</f>
        <v>0</v>
      </c>
      <c r="J36" s="173">
        <f>I36</f>
        <v>0</v>
      </c>
      <c r="K36" s="215">
        <v>1.1499999999999999</v>
      </c>
      <c r="L36" s="174">
        <v>1</v>
      </c>
      <c r="M36" s="216">
        <f>R36/R37*1.5</f>
        <v>190.25875190258751</v>
      </c>
      <c r="P36" s="174">
        <v>50</v>
      </c>
      <c r="R36" s="174">
        <v>3200</v>
      </c>
      <c r="U36" s="176"/>
      <c r="V36" s="176"/>
      <c r="W36" s="195"/>
    </row>
    <row r="37" spans="2:23" ht="13.8" x14ac:dyDescent="0.25">
      <c r="B37" s="176"/>
      <c r="C37" s="176"/>
      <c r="D37" s="176" t="str">
        <f t="shared" si="6"/>
        <v>INDOILGSL</v>
      </c>
      <c r="E37" s="176"/>
      <c r="F37" s="214">
        <f>F36</f>
        <v>2035</v>
      </c>
      <c r="H37" s="173">
        <f>ROUNDDOWN(H25,3)</f>
        <v>4.7E-2</v>
      </c>
      <c r="I37" s="173">
        <f t="shared" ref="I37:I43" si="7">H37</f>
        <v>4.7E-2</v>
      </c>
      <c r="J37" s="173">
        <f>I37</f>
        <v>4.7E-2</v>
      </c>
      <c r="P37" s="176"/>
      <c r="R37" s="218">
        <f>1*31.536*0.8</f>
        <v>25.228800000000003</v>
      </c>
      <c r="U37" s="176"/>
      <c r="V37" s="176"/>
      <c r="W37" s="195"/>
    </row>
    <row r="38" spans="2:23" ht="13.8" x14ac:dyDescent="0.25">
      <c r="B38" s="176"/>
      <c r="C38" s="176"/>
      <c r="D38" s="176" t="str">
        <f t="shared" si="6"/>
        <v>INDOILLPG</v>
      </c>
      <c r="E38" s="176"/>
      <c r="F38" s="214">
        <f t="shared" ref="F38:F46" si="8">F37</f>
        <v>2035</v>
      </c>
      <c r="H38" s="173">
        <f>ROUNDDOWN(H26,3)</f>
        <v>4.0000000000000001E-3</v>
      </c>
      <c r="I38" s="173">
        <f t="shared" si="7"/>
        <v>4.0000000000000001E-3</v>
      </c>
      <c r="J38" s="173">
        <f>I38</f>
        <v>4.0000000000000001E-3</v>
      </c>
      <c r="U38" s="176"/>
      <c r="V38" s="176"/>
      <c r="W38" s="195"/>
    </row>
    <row r="39" spans="2:23" ht="13.8" x14ac:dyDescent="0.25">
      <c r="B39" s="176"/>
      <c r="C39" s="176"/>
      <c r="D39" s="176" t="str">
        <f t="shared" si="6"/>
        <v>INDELC</v>
      </c>
      <c r="E39" s="176"/>
      <c r="F39" s="214">
        <f t="shared" si="8"/>
        <v>2035</v>
      </c>
      <c r="H39" s="173">
        <f>ROUNDUP(H27,2)*2</f>
        <v>0.3</v>
      </c>
      <c r="I39" s="173">
        <f t="shared" si="7"/>
        <v>0.3</v>
      </c>
      <c r="J39" s="173">
        <v>0.35</v>
      </c>
      <c r="U39" s="176"/>
      <c r="V39" s="176"/>
      <c r="W39" s="195"/>
    </row>
    <row r="40" spans="2:23" ht="13.8" x14ac:dyDescent="0.25">
      <c r="B40" s="176"/>
      <c r="C40" s="176"/>
      <c r="D40" s="176" t="str">
        <f t="shared" si="6"/>
        <v>INDMIQHTH</v>
      </c>
      <c r="E40" s="176"/>
      <c r="F40" s="214">
        <f t="shared" si="8"/>
        <v>2035</v>
      </c>
      <c r="H40" s="173">
        <f>ROUNDUP(H28,2)</f>
        <v>0.09</v>
      </c>
      <c r="I40" s="173">
        <f t="shared" si="7"/>
        <v>0.09</v>
      </c>
      <c r="J40" s="173">
        <f>I40</f>
        <v>0.09</v>
      </c>
      <c r="U40" s="176"/>
      <c r="V40" s="176"/>
      <c r="W40" s="195"/>
    </row>
    <row r="41" spans="2:23" ht="13.8" x14ac:dyDescent="0.25">
      <c r="B41" s="176"/>
      <c r="C41" s="176"/>
      <c r="D41" s="176" t="str">
        <f t="shared" si="6"/>
        <v>INDOILDSL</v>
      </c>
      <c r="E41" s="176"/>
      <c r="F41" s="214">
        <f>F39</f>
        <v>2035</v>
      </c>
      <c r="H41" s="173">
        <f>ROUNDDOWN(H29,3)</f>
        <v>0.39</v>
      </c>
      <c r="I41" s="173">
        <f>H41/2</f>
        <v>0.19500000000000001</v>
      </c>
      <c r="J41" s="173">
        <f>I41</f>
        <v>0.19500000000000001</v>
      </c>
      <c r="U41" s="176"/>
      <c r="V41" s="176"/>
      <c r="W41" s="195"/>
    </row>
    <row r="42" spans="2:23" ht="13.8" x14ac:dyDescent="0.25">
      <c r="B42" s="176"/>
      <c r="C42" s="176"/>
      <c r="D42" s="176" t="str">
        <f t="shared" si="6"/>
        <v>INDOILHFO</v>
      </c>
      <c r="E42" s="176"/>
      <c r="F42" s="214">
        <f t="shared" si="8"/>
        <v>2035</v>
      </c>
      <c r="H42" s="173">
        <f>ROUNDDOWN(H30,3)</f>
        <v>0</v>
      </c>
      <c r="I42" s="173">
        <f t="shared" si="7"/>
        <v>0</v>
      </c>
      <c r="J42" s="173">
        <f>I42</f>
        <v>0</v>
      </c>
      <c r="U42" s="176"/>
      <c r="V42" s="176"/>
      <c r="W42" s="195"/>
    </row>
    <row r="43" spans="2:23" ht="13.8" x14ac:dyDescent="0.25">
      <c r="B43" s="176"/>
      <c r="C43" s="176"/>
      <c r="D43" s="176" t="str">
        <f t="shared" si="6"/>
        <v>INDGASNAT</v>
      </c>
      <c r="E43" s="176"/>
      <c r="F43" s="214">
        <f t="shared" si="8"/>
        <v>2035</v>
      </c>
      <c r="H43" s="173">
        <f>ROUNDUP(H31,2)</f>
        <v>0.33</v>
      </c>
      <c r="I43" s="173">
        <f t="shared" si="7"/>
        <v>0.33</v>
      </c>
      <c r="J43" s="173">
        <v>0.4</v>
      </c>
      <c r="U43" s="176"/>
      <c r="V43" s="176"/>
      <c r="W43" s="195"/>
    </row>
    <row r="44" spans="2:23" ht="13.8" x14ac:dyDescent="0.25">
      <c r="B44" s="176"/>
      <c r="C44" s="176"/>
      <c r="D44" s="176" t="str">
        <f t="shared" si="6"/>
        <v>INDBIODSL</v>
      </c>
      <c r="E44" s="176"/>
      <c r="F44" s="214">
        <f t="shared" si="8"/>
        <v>2035</v>
      </c>
      <c r="H44" s="173">
        <f>H32</f>
        <v>0.19500000000000001</v>
      </c>
      <c r="I44" s="173">
        <f>(H44+J44)/2</f>
        <v>0.29249999999999998</v>
      </c>
      <c r="J44" s="173">
        <f>H44*2</f>
        <v>0.39</v>
      </c>
    </row>
    <row r="45" spans="2:23" ht="13.8" x14ac:dyDescent="0.25">
      <c r="B45" s="176"/>
      <c r="C45" s="176"/>
      <c r="D45" s="176" t="str">
        <f t="shared" si="6"/>
        <v>INDBIOBGS</v>
      </c>
      <c r="E45" s="176"/>
      <c r="F45" s="214">
        <f t="shared" si="8"/>
        <v>2035</v>
      </c>
      <c r="H45" s="173">
        <f>H33</f>
        <v>0.16500000000000001</v>
      </c>
      <c r="I45" s="173">
        <f>(H45+J45)/2</f>
        <v>0.2475</v>
      </c>
      <c r="J45" s="173">
        <f>H45*2</f>
        <v>0.33</v>
      </c>
    </row>
    <row r="46" spans="2:23" ht="14.4" x14ac:dyDescent="0.3">
      <c r="B46" s="176"/>
      <c r="C46" s="176"/>
      <c r="D46" s="227" t="s">
        <v>1062</v>
      </c>
      <c r="E46" s="227"/>
      <c r="F46" s="228">
        <f t="shared" si="8"/>
        <v>2035</v>
      </c>
      <c r="G46" s="229"/>
      <c r="H46" s="230">
        <v>0.1</v>
      </c>
      <c r="I46" s="230">
        <v>0.1</v>
      </c>
      <c r="J46" s="230">
        <v>0.2</v>
      </c>
    </row>
    <row r="47" spans="2:23" ht="13.8" x14ac:dyDescent="0.25">
      <c r="B47" s="219"/>
      <c r="C47" s="219"/>
      <c r="D47" s="219"/>
      <c r="E47" s="219" t="str">
        <f>E35</f>
        <v>INDMIQ</v>
      </c>
      <c r="F47" s="220">
        <f>F44</f>
        <v>2035</v>
      </c>
      <c r="G47" s="221"/>
      <c r="H47" s="221"/>
      <c r="I47" s="221"/>
      <c r="J47" s="221"/>
      <c r="K47" s="221"/>
      <c r="L47" s="221"/>
      <c r="M47" s="221"/>
      <c r="N47" s="221"/>
      <c r="O47" s="221"/>
      <c r="P47" s="221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E7AB-1A75-45DF-A25A-F34064B51198}">
  <dimension ref="A2:AQ57"/>
  <sheetViews>
    <sheetView zoomScale="55" zoomScaleNormal="55" workbookViewId="0">
      <selection sqref="A1:XFD1048576"/>
    </sheetView>
  </sheetViews>
  <sheetFormatPr defaultColWidth="9.109375" defaultRowHeight="13.2" x14ac:dyDescent="0.25"/>
  <cols>
    <col min="1" max="1" width="9.109375" style="174"/>
    <col min="2" max="2" width="31.6640625" style="174" customWidth="1"/>
    <col min="3" max="3" width="48.33203125" style="174" customWidth="1"/>
    <col min="4" max="4" width="16.88671875" style="174" bestFit="1" customWidth="1"/>
    <col min="5" max="5" width="18.88671875" style="174" bestFit="1" customWidth="1"/>
    <col min="6" max="6" width="25.109375" style="174" bestFit="1" customWidth="1"/>
    <col min="7" max="7" width="12.109375" style="174" bestFit="1" customWidth="1"/>
    <col min="8" max="8" width="20.5546875" style="174" customWidth="1"/>
    <col min="9" max="9" width="27.44140625" style="174" bestFit="1" customWidth="1"/>
    <col min="10" max="10" width="28" style="174" bestFit="1" customWidth="1"/>
    <col min="11" max="12" width="20.5546875" style="174" customWidth="1"/>
    <col min="13" max="13" width="17.6640625" style="174" customWidth="1"/>
    <col min="14" max="14" width="19.44140625" style="174" bestFit="1" customWidth="1"/>
    <col min="15" max="15" width="19.88671875" style="174" customWidth="1"/>
    <col min="16" max="16" width="16.6640625" style="174" bestFit="1" customWidth="1"/>
    <col min="17" max="17" width="27.88671875" style="174" bestFit="1" customWidth="1"/>
    <col min="18" max="18" width="10.109375" style="174" customWidth="1"/>
    <col min="19" max="19" width="27.5546875" style="174" customWidth="1"/>
    <col min="20" max="21" width="9.109375" style="174"/>
    <col min="22" max="22" width="15.109375" style="174" customWidth="1"/>
    <col min="23" max="23" width="13.88671875" style="174" bestFit="1" customWidth="1"/>
    <col min="24" max="24" width="40.44140625" style="174" customWidth="1"/>
    <col min="25" max="25" width="65.5546875" style="174" bestFit="1" customWidth="1"/>
    <col min="26" max="27" width="13.44140625" style="174" bestFit="1" customWidth="1"/>
    <col min="28" max="28" width="33.44140625" style="174" bestFit="1" customWidth="1"/>
    <col min="29" max="29" width="26.44140625" style="174" bestFit="1" customWidth="1"/>
    <col min="30" max="30" width="16.6640625" style="174" bestFit="1" customWidth="1"/>
    <col min="31" max="31" width="9.109375" style="174"/>
    <col min="32" max="32" width="40.109375" style="174" bestFit="1" customWidth="1"/>
    <col min="33" max="33" width="24.88671875" style="174" bestFit="1" customWidth="1"/>
    <col min="34" max="34" width="28.109375" style="174" bestFit="1" customWidth="1"/>
    <col min="35" max="35" width="17.109375" style="174" bestFit="1" customWidth="1"/>
    <col min="36" max="36" width="27.6640625" style="174" bestFit="1" customWidth="1"/>
    <col min="37" max="37" width="5.88671875" style="174" bestFit="1" customWidth="1"/>
    <col min="38" max="38" width="24.5546875" style="174" bestFit="1" customWidth="1"/>
    <col min="39" max="39" width="22.88671875" style="174" bestFit="1" customWidth="1"/>
    <col min="40" max="40" width="15.88671875" style="174" bestFit="1" customWidth="1"/>
    <col min="41" max="41" width="17.44140625" style="174" bestFit="1" customWidth="1"/>
    <col min="42" max="16384" width="9.109375" style="174"/>
  </cols>
  <sheetData>
    <row r="2" spans="1:43" s="176" customFormat="1" ht="17.399999999999999" x14ac:dyDescent="0.3">
      <c r="A2" s="175"/>
      <c r="B2" s="175" t="s">
        <v>401</v>
      </c>
      <c r="C2" s="175"/>
      <c r="D2" s="175"/>
      <c r="E2" s="175"/>
      <c r="G2" s="174"/>
      <c r="H2" s="174"/>
      <c r="I2" s="174"/>
      <c r="J2" s="174"/>
      <c r="K2" s="174"/>
      <c r="L2" s="174"/>
      <c r="V2" s="177" t="s">
        <v>225</v>
      </c>
      <c r="W2" s="177"/>
      <c r="Z2" s="176" t="s">
        <v>325</v>
      </c>
    </row>
    <row r="3" spans="1:43" s="176" customFormat="1" ht="17.399999999999999" x14ac:dyDescent="0.3">
      <c r="B3" s="175" t="s">
        <v>402</v>
      </c>
      <c r="G3" s="174"/>
      <c r="H3" s="174"/>
      <c r="I3" s="174"/>
      <c r="J3" s="174"/>
      <c r="K3" s="174"/>
      <c r="L3" s="174"/>
    </row>
    <row r="4" spans="1:43" s="176" customFormat="1" ht="13.8" x14ac:dyDescent="0.25">
      <c r="B4" s="178"/>
      <c r="D4" s="179"/>
      <c r="E4" s="179"/>
      <c r="F4" s="179"/>
      <c r="G4" s="174"/>
      <c r="H4" s="174"/>
      <c r="I4" s="174"/>
      <c r="J4" s="174"/>
      <c r="K4" s="174"/>
      <c r="L4" s="174"/>
      <c r="M4" s="180"/>
      <c r="N4" s="180"/>
      <c r="O4" s="180"/>
      <c r="P4" s="181"/>
      <c r="V4" s="182" t="s">
        <v>226</v>
      </c>
      <c r="W4" s="182"/>
      <c r="X4" s="182" t="s">
        <v>232</v>
      </c>
      <c r="Y4" s="182"/>
      <c r="Z4" s="182"/>
      <c r="AA4" s="182"/>
      <c r="AB4" s="182"/>
      <c r="AC4" s="182"/>
      <c r="AD4" s="182"/>
      <c r="AQ4" s="174"/>
    </row>
    <row r="5" spans="1:43" s="176" customFormat="1" ht="13.8" x14ac:dyDescent="0.25">
      <c r="G5" s="174"/>
      <c r="H5" s="174"/>
      <c r="I5" s="174"/>
      <c r="J5" s="174"/>
      <c r="K5" s="174"/>
      <c r="L5" s="174"/>
      <c r="V5" s="183" t="s">
        <v>17</v>
      </c>
      <c r="W5" s="183"/>
      <c r="X5" s="182"/>
      <c r="Y5" s="182"/>
      <c r="Z5" s="182"/>
      <c r="AA5" s="182"/>
      <c r="AB5" s="182"/>
      <c r="AC5" s="182"/>
      <c r="AD5" s="182"/>
      <c r="AH5" s="184" t="s">
        <v>308</v>
      </c>
      <c r="AI5" s="185"/>
      <c r="AJ5" s="185"/>
      <c r="AK5" s="186"/>
      <c r="AL5" s="186"/>
      <c r="AM5" s="185"/>
      <c r="AN5" s="185"/>
      <c r="AO5" s="185"/>
      <c r="AP5" s="174"/>
      <c r="AQ5" s="187"/>
    </row>
    <row r="6" spans="1:43" s="176" customFormat="1" ht="13.8" x14ac:dyDescent="0.25">
      <c r="G6" s="174"/>
      <c r="H6" s="174"/>
      <c r="I6" s="174"/>
      <c r="J6" s="174"/>
      <c r="K6" s="174"/>
      <c r="L6" s="174"/>
      <c r="V6" s="188" t="s">
        <v>15</v>
      </c>
      <c r="W6" s="188" t="s">
        <v>54</v>
      </c>
      <c r="X6" s="188" t="s">
        <v>1</v>
      </c>
      <c r="Y6" s="188" t="s">
        <v>2</v>
      </c>
      <c r="Z6" s="188" t="s">
        <v>18</v>
      </c>
      <c r="AA6" s="188" t="s">
        <v>19</v>
      </c>
      <c r="AB6" s="188" t="s">
        <v>20</v>
      </c>
      <c r="AC6" s="188" t="s">
        <v>21</v>
      </c>
      <c r="AD6" s="188" t="s">
        <v>22</v>
      </c>
      <c r="AF6" s="189" t="s">
        <v>327</v>
      </c>
      <c r="AH6" s="190" t="s">
        <v>7</v>
      </c>
      <c r="AI6" s="190" t="s">
        <v>6</v>
      </c>
      <c r="AJ6" s="190" t="s">
        <v>8</v>
      </c>
      <c r="AK6" s="191" t="s">
        <v>9</v>
      </c>
      <c r="AL6" s="191" t="s">
        <v>10</v>
      </c>
      <c r="AM6" s="192" t="s">
        <v>11</v>
      </c>
      <c r="AN6" s="192" t="s">
        <v>12</v>
      </c>
      <c r="AO6" s="192" t="s">
        <v>13</v>
      </c>
      <c r="AP6" s="174"/>
      <c r="AQ6" s="193"/>
    </row>
    <row r="7" spans="1:43" s="176" customFormat="1" ht="20.25" customHeight="1" thickBot="1" x14ac:dyDescent="0.3">
      <c r="G7" s="174"/>
      <c r="H7" s="174"/>
      <c r="I7" s="174"/>
      <c r="J7" s="174"/>
      <c r="K7" s="174"/>
      <c r="L7" s="174"/>
      <c r="V7" s="194" t="s">
        <v>228</v>
      </c>
      <c r="W7" s="194" t="s">
        <v>56</v>
      </c>
      <c r="X7" s="194" t="s">
        <v>27</v>
      </c>
      <c r="Y7" s="194" t="s">
        <v>28</v>
      </c>
      <c r="Z7" s="194" t="s">
        <v>29</v>
      </c>
      <c r="AA7" s="194" t="s">
        <v>30</v>
      </c>
      <c r="AB7" s="194" t="s">
        <v>229</v>
      </c>
      <c r="AC7" s="194" t="s">
        <v>230</v>
      </c>
      <c r="AD7" s="194" t="s">
        <v>31</v>
      </c>
      <c r="AE7" s="195"/>
      <c r="AF7" s="194" t="s">
        <v>28</v>
      </c>
      <c r="AH7" s="87" t="s">
        <v>309</v>
      </c>
      <c r="AI7" s="87" t="s">
        <v>23</v>
      </c>
      <c r="AJ7" s="87" t="s">
        <v>24</v>
      </c>
      <c r="AK7" s="88" t="s">
        <v>9</v>
      </c>
      <c r="AL7" s="88" t="s">
        <v>310</v>
      </c>
      <c r="AM7" s="87" t="s">
        <v>311</v>
      </c>
      <c r="AN7" s="87" t="s">
        <v>25</v>
      </c>
      <c r="AO7" s="87" t="s">
        <v>26</v>
      </c>
      <c r="AP7" s="174"/>
      <c r="AQ7" s="174"/>
    </row>
    <row r="8" spans="1:43" s="176" customFormat="1" ht="17.25" customHeight="1" x14ac:dyDescent="0.25">
      <c r="V8" s="176" t="s">
        <v>277</v>
      </c>
      <c r="X8" s="195" t="str">
        <f>"INDDEMCON_"&amp;$X$4&amp;"_ST"</f>
        <v>INDDEMCON_N_ST</v>
      </c>
      <c r="Y8" s="176" t="str">
        <f>AF8</f>
        <v>Construction Standard</v>
      </c>
      <c r="Z8" s="176" t="s">
        <v>206</v>
      </c>
      <c r="AA8" s="176" t="s">
        <v>242</v>
      </c>
      <c r="AC8" s="195"/>
      <c r="AD8" s="195"/>
      <c r="AF8" s="176" t="s">
        <v>403</v>
      </c>
      <c r="AH8" s="185"/>
      <c r="AI8" s="185"/>
      <c r="AJ8" s="185"/>
      <c r="AK8" s="186"/>
      <c r="AL8" s="196"/>
      <c r="AP8" s="174"/>
      <c r="AQ8" s="174"/>
    </row>
    <row r="9" spans="1:43" s="176" customFormat="1" ht="13.8" x14ac:dyDescent="0.25">
      <c r="X9" s="195" t="str">
        <f>"INDDEMCON_"&amp;$X$4&amp;"_IM"</f>
        <v>INDDEMCON_N_IM</v>
      </c>
      <c r="Y9" s="176" t="str">
        <f>AF9</f>
        <v>Construction Improved</v>
      </c>
      <c r="Z9" s="176" t="s">
        <v>206</v>
      </c>
      <c r="AA9" s="176" t="s">
        <v>242</v>
      </c>
      <c r="AC9" s="195"/>
      <c r="AD9" s="195"/>
      <c r="AE9" s="174"/>
      <c r="AF9" s="176" t="s">
        <v>404</v>
      </c>
      <c r="AI9" s="185"/>
      <c r="AJ9" s="185"/>
      <c r="AK9" s="186"/>
      <c r="AL9" s="196"/>
      <c r="AQ9" s="174"/>
    </row>
    <row r="10" spans="1:43" s="176" customFormat="1" ht="13.8" x14ac:dyDescent="0.25">
      <c r="E10" s="197"/>
      <c r="F10" s="187" t="s">
        <v>0</v>
      </c>
      <c r="G10" s="187"/>
      <c r="H10" s="198"/>
      <c r="K10" s="198"/>
      <c r="L10" s="198"/>
      <c r="M10" s="199"/>
      <c r="N10" s="199"/>
      <c r="O10" s="199"/>
      <c r="X10" s="195" t="str">
        <f>"INDDEMCON_"&amp;$X$4&amp;"_AD"</f>
        <v>INDDEMCON_N_AD</v>
      </c>
      <c r="Y10" s="176" t="str">
        <f>AF10</f>
        <v>Construction Advanced</v>
      </c>
      <c r="Z10" s="176" t="s">
        <v>206</v>
      </c>
      <c r="AA10" s="176" t="s">
        <v>242</v>
      </c>
      <c r="AC10" s="195"/>
      <c r="AD10" s="195"/>
      <c r="AE10" s="174"/>
      <c r="AF10" s="176" t="s">
        <v>405</v>
      </c>
      <c r="AI10" s="185"/>
      <c r="AJ10" s="185"/>
      <c r="AK10" s="186"/>
      <c r="AQ10" s="174"/>
    </row>
    <row r="11" spans="1:43" s="176" customFormat="1" ht="13.8" x14ac:dyDescent="0.25">
      <c r="B11" s="200" t="s">
        <v>1</v>
      </c>
      <c r="C11" s="201" t="s">
        <v>227</v>
      </c>
      <c r="D11" s="200" t="s">
        <v>3</v>
      </c>
      <c r="E11" s="200" t="s">
        <v>4</v>
      </c>
      <c r="F11" s="202" t="s">
        <v>233</v>
      </c>
      <c r="G11" s="203" t="s">
        <v>14</v>
      </c>
      <c r="H11" s="204" t="s">
        <v>342</v>
      </c>
      <c r="I11" s="204" t="str">
        <f>"FLO_SHAR~UP~"&amp;(BASE_YEAR+3)</f>
        <v>FLO_SHAR~UP~2020</v>
      </c>
      <c r="J11" s="204" t="str">
        <f>"FLO_SHAR~UP~"&amp;END_YEAR</f>
        <v>FLO_SHAR~UP~2050</v>
      </c>
      <c r="K11" s="205" t="s">
        <v>16</v>
      </c>
      <c r="L11" s="204" t="s">
        <v>50</v>
      </c>
      <c r="M11" s="204" t="s">
        <v>36</v>
      </c>
      <c r="N11" s="204" t="s">
        <v>5</v>
      </c>
      <c r="O11" s="204" t="s">
        <v>34</v>
      </c>
      <c r="P11" s="204" t="s">
        <v>48</v>
      </c>
      <c r="R11" s="206" t="s">
        <v>328</v>
      </c>
      <c r="S11" s="206"/>
      <c r="X11" s="195" t="str">
        <f>"INDDEMCON_"&amp;$X$4&amp;"_ADELC"</f>
        <v>INDDEMCON_N_ADELC</v>
      </c>
      <c r="Y11" s="176" t="str">
        <f>AF11</f>
        <v>Construction Advanced (electric)</v>
      </c>
      <c r="Z11" s="176" t="s">
        <v>206</v>
      </c>
      <c r="AA11" s="176" t="s">
        <v>242</v>
      </c>
      <c r="AC11" s="195"/>
      <c r="AD11" s="195"/>
      <c r="AE11" s="174"/>
      <c r="AF11" s="176" t="s">
        <v>1023</v>
      </c>
      <c r="AQ11" s="174"/>
    </row>
    <row r="12" spans="1:43" s="176" customFormat="1" ht="28.2" thickBot="1" x14ac:dyDescent="0.3">
      <c r="A12" s="174"/>
      <c r="B12" s="207" t="s">
        <v>234</v>
      </c>
      <c r="C12" s="207" t="s">
        <v>28</v>
      </c>
      <c r="D12" s="207" t="s">
        <v>32</v>
      </c>
      <c r="E12" s="207" t="s">
        <v>33</v>
      </c>
      <c r="F12" s="208"/>
      <c r="G12" s="209" t="s">
        <v>35</v>
      </c>
      <c r="H12" s="207"/>
      <c r="I12" s="207"/>
      <c r="J12" s="207"/>
      <c r="K12" s="207" t="s">
        <v>303</v>
      </c>
      <c r="L12" s="207" t="s">
        <v>329</v>
      </c>
      <c r="M12" s="207" t="s">
        <v>37</v>
      </c>
      <c r="N12" s="207" t="s">
        <v>38</v>
      </c>
      <c r="O12" s="207" t="s">
        <v>39</v>
      </c>
      <c r="P12" s="207" t="s">
        <v>218</v>
      </c>
      <c r="R12" s="176" t="s">
        <v>1056</v>
      </c>
      <c r="X12" s="195"/>
      <c r="AC12" s="195"/>
      <c r="AD12" s="195"/>
      <c r="AE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</row>
    <row r="13" spans="1:43" ht="15" x14ac:dyDescent="0.25">
      <c r="B13" s="210"/>
      <c r="C13" s="211"/>
      <c r="D13" s="211"/>
      <c r="E13" s="211" t="s">
        <v>231</v>
      </c>
      <c r="F13" s="212"/>
      <c r="G13" s="211"/>
      <c r="H13" s="211"/>
      <c r="I13" s="211"/>
      <c r="J13" s="211"/>
      <c r="K13" s="213" t="s">
        <v>306</v>
      </c>
      <c r="L13" s="211"/>
      <c r="M13" s="211" t="s">
        <v>442</v>
      </c>
      <c r="N13" s="211" t="s">
        <v>440</v>
      </c>
      <c r="O13" s="211" t="s">
        <v>439</v>
      </c>
      <c r="P13" s="211" t="s">
        <v>40</v>
      </c>
      <c r="Q13" s="176"/>
      <c r="R13" s="176"/>
      <c r="S13" s="176"/>
      <c r="T13" s="176"/>
      <c r="V13" s="176"/>
      <c r="W13" s="176"/>
      <c r="X13" s="195"/>
      <c r="Y13" s="176"/>
      <c r="Z13" s="176"/>
      <c r="AA13" s="176"/>
      <c r="AB13" s="176"/>
      <c r="AC13" s="195"/>
      <c r="AD13" s="195"/>
      <c r="AF13" s="176"/>
      <c r="AG13" s="176"/>
    </row>
    <row r="14" spans="1:43" ht="13.8" x14ac:dyDescent="0.25">
      <c r="B14" s="176" t="str">
        <f>X8</f>
        <v>INDDEMCON_N_ST</v>
      </c>
      <c r="C14" s="176" t="str">
        <f>Y8</f>
        <v>Construction Standard</v>
      </c>
      <c r="D14" s="176" t="s">
        <v>430</v>
      </c>
      <c r="E14" s="176"/>
      <c r="F14" s="214">
        <f>G14</f>
        <v>2018</v>
      </c>
      <c r="G14" s="174">
        <f>BASE_YEAR+1</f>
        <v>2018</v>
      </c>
      <c r="H14" s="173">
        <v>1.8831405677580652E-4</v>
      </c>
      <c r="I14" s="173">
        <f>H14*1.05</f>
        <v>1.9772975961459687E-4</v>
      </c>
      <c r="J14" s="173">
        <f>I14*1.05</f>
        <v>2.0761624759532671E-4</v>
      </c>
      <c r="K14" s="215">
        <v>1</v>
      </c>
      <c r="L14" s="174">
        <v>1</v>
      </c>
      <c r="M14" s="216">
        <f>R14/R15</f>
        <v>47.564687975646876</v>
      </c>
      <c r="P14" s="174">
        <v>50</v>
      </c>
      <c r="Q14" s="176"/>
      <c r="R14" s="176">
        <v>1200</v>
      </c>
      <c r="S14" s="176"/>
      <c r="T14" s="176"/>
      <c r="V14" s="176"/>
      <c r="W14" s="176"/>
      <c r="X14" s="195"/>
      <c r="Y14" s="176"/>
      <c r="Z14" s="176"/>
      <c r="AA14" s="176"/>
      <c r="AB14" s="176"/>
      <c r="AC14" s="195"/>
      <c r="AD14" s="195"/>
      <c r="AF14" s="176"/>
      <c r="AG14" s="176"/>
    </row>
    <row r="15" spans="1:43" ht="13.8" x14ac:dyDescent="0.25">
      <c r="B15" s="176"/>
      <c r="C15" s="176"/>
      <c r="D15" s="176" t="s">
        <v>152</v>
      </c>
      <c r="E15" s="176"/>
      <c r="F15" s="214">
        <f>F14</f>
        <v>2018</v>
      </c>
      <c r="H15" s="173">
        <f>0.358640626953316+H14</f>
        <v>0.35882894101009183</v>
      </c>
      <c r="I15" s="173">
        <f t="shared" ref="I15:J23" si="0">H15*1.05</f>
        <v>0.37677038806059643</v>
      </c>
      <c r="J15" s="173">
        <f t="shared" si="0"/>
        <v>0.39560890746362626</v>
      </c>
      <c r="K15" s="217"/>
      <c r="M15" s="216"/>
      <c r="P15" s="176"/>
      <c r="Q15" s="176"/>
      <c r="R15" s="218">
        <f>1*31.536*0.8</f>
        <v>25.228800000000003</v>
      </c>
      <c r="S15" s="176"/>
      <c r="T15" s="176"/>
      <c r="V15" s="176"/>
      <c r="W15" s="176"/>
      <c r="X15" s="195"/>
      <c r="Y15" s="176"/>
      <c r="Z15" s="176"/>
      <c r="AA15" s="176"/>
      <c r="AB15" s="176"/>
      <c r="AC15" s="195"/>
      <c r="AD15" s="195"/>
      <c r="AF15" s="176"/>
      <c r="AG15" s="176"/>
    </row>
    <row r="16" spans="1:43" ht="15.75" customHeight="1" x14ac:dyDescent="0.25">
      <c r="B16" s="176"/>
      <c r="C16" s="176"/>
      <c r="D16" s="176" t="s">
        <v>154</v>
      </c>
      <c r="E16" s="176"/>
      <c r="F16" s="214">
        <f t="shared" ref="F16:F21" si="1">F15</f>
        <v>2018</v>
      </c>
      <c r="H16" s="173">
        <v>7.268860430295042E-3</v>
      </c>
      <c r="I16" s="173">
        <f t="shared" si="0"/>
        <v>7.6323034518097944E-3</v>
      </c>
      <c r="J16" s="173">
        <f t="shared" si="0"/>
        <v>8.013918624400285E-3</v>
      </c>
      <c r="K16" s="217"/>
      <c r="M16" s="216"/>
      <c r="Q16" s="176"/>
      <c r="R16" s="176"/>
      <c r="S16" s="176"/>
      <c r="T16" s="176"/>
      <c r="V16" s="176"/>
      <c r="W16" s="176"/>
      <c r="X16" s="195"/>
      <c r="Y16" s="176"/>
      <c r="Z16" s="176"/>
      <c r="AA16" s="176"/>
      <c r="AB16" s="176"/>
      <c r="AC16" s="195"/>
      <c r="AD16" s="195"/>
      <c r="AF16" s="176"/>
      <c r="AG16" s="176"/>
    </row>
    <row r="17" spans="2:33" ht="13.8" x14ac:dyDescent="0.25">
      <c r="B17" s="176"/>
      <c r="C17" s="176"/>
      <c r="D17" s="176" t="s">
        <v>199</v>
      </c>
      <c r="E17" s="176"/>
      <c r="F17" s="214">
        <f t="shared" si="1"/>
        <v>2018</v>
      </c>
      <c r="H17" s="173">
        <v>6.6967632155692264E-2</v>
      </c>
      <c r="I17" s="173">
        <f t="shared" si="0"/>
        <v>7.0316013763476876E-2</v>
      </c>
      <c r="J17" s="173">
        <f t="shared" si="0"/>
        <v>7.3831814451650726E-2</v>
      </c>
      <c r="K17" s="217"/>
      <c r="M17" s="216"/>
      <c r="V17" s="176"/>
      <c r="W17" s="176"/>
      <c r="X17" s="195"/>
      <c r="Y17" s="176"/>
      <c r="Z17" s="176"/>
      <c r="AA17" s="176"/>
      <c r="AB17" s="176"/>
      <c r="AC17" s="195"/>
      <c r="AD17" s="195"/>
      <c r="AF17" s="176"/>
      <c r="AG17" s="176"/>
    </row>
    <row r="18" spans="2:33" ht="13.8" x14ac:dyDescent="0.25">
      <c r="B18" s="176"/>
      <c r="C18" s="176"/>
      <c r="D18" s="176" t="s">
        <v>1043</v>
      </c>
      <c r="E18" s="176"/>
      <c r="F18" s="214">
        <f t="shared" si="1"/>
        <v>2018</v>
      </c>
      <c r="H18" s="173">
        <v>0.16062287153451837</v>
      </c>
      <c r="I18" s="173">
        <f t="shared" si="0"/>
        <v>0.16865401511124431</v>
      </c>
      <c r="J18" s="173">
        <f t="shared" si="0"/>
        <v>0.17708671586680652</v>
      </c>
      <c r="K18" s="217"/>
      <c r="M18" s="216"/>
      <c r="V18" s="176"/>
      <c r="W18" s="176"/>
      <c r="X18" s="195"/>
      <c r="Y18" s="176"/>
      <c r="Z18" s="176"/>
      <c r="AA18" s="176"/>
      <c r="AB18" s="176"/>
      <c r="AC18" s="195"/>
      <c r="AD18" s="195"/>
      <c r="AF18" s="176"/>
    </row>
    <row r="19" spans="2:33" ht="13.8" x14ac:dyDescent="0.25">
      <c r="B19" s="176"/>
      <c r="C19" s="176"/>
      <c r="D19" s="176" t="s">
        <v>150</v>
      </c>
      <c r="E19" s="176"/>
      <c r="F19" s="214">
        <f t="shared" si="1"/>
        <v>2018</v>
      </c>
      <c r="H19" s="173">
        <v>0.36129163860703417</v>
      </c>
      <c r="I19" s="173">
        <f t="shared" si="0"/>
        <v>0.37935622053738588</v>
      </c>
      <c r="J19" s="173">
        <f t="shared" si="0"/>
        <v>0.39832403156425517</v>
      </c>
      <c r="K19" s="217"/>
      <c r="M19" s="216"/>
    </row>
    <row r="20" spans="2:33" ht="13.8" x14ac:dyDescent="0.25">
      <c r="B20" s="176"/>
      <c r="C20" s="176"/>
      <c r="D20" s="176" t="s">
        <v>265</v>
      </c>
      <c r="E20" s="176"/>
      <c r="F20" s="214">
        <f t="shared" si="1"/>
        <v>2018</v>
      </c>
      <c r="H20" s="173">
        <v>0</v>
      </c>
      <c r="I20" s="173">
        <f t="shared" si="0"/>
        <v>0</v>
      </c>
      <c r="J20" s="173">
        <f t="shared" si="0"/>
        <v>0</v>
      </c>
      <c r="K20" s="217"/>
      <c r="M20" s="216"/>
    </row>
    <row r="21" spans="2:33" ht="13.8" x14ac:dyDescent="0.25">
      <c r="B21" s="176"/>
      <c r="C21" s="176"/>
      <c r="D21" s="176" t="s">
        <v>164</v>
      </c>
      <c r="E21" s="176"/>
      <c r="F21" s="214">
        <f t="shared" si="1"/>
        <v>2018</v>
      </c>
      <c r="H21" s="173">
        <f>0.0450200562623687+H14</f>
        <v>4.5208370319144507E-2</v>
      </c>
      <c r="I21" s="173">
        <f t="shared" si="0"/>
        <v>4.7468788835101736E-2</v>
      </c>
      <c r="J21" s="173">
        <f t="shared" si="0"/>
        <v>4.9842228276856824E-2</v>
      </c>
      <c r="K21" s="217"/>
      <c r="M21" s="216"/>
    </row>
    <row r="22" spans="2:33" ht="13.8" x14ac:dyDescent="0.25">
      <c r="B22" s="176"/>
      <c r="C22" s="176"/>
      <c r="D22" s="176" t="str">
        <f>Commodities!D143</f>
        <v>INDBIODSL</v>
      </c>
      <c r="E22" s="176"/>
      <c r="F22" s="214">
        <f>F21</f>
        <v>2018</v>
      </c>
      <c r="H22" s="173">
        <v>0</v>
      </c>
      <c r="I22" s="173">
        <f t="shared" si="0"/>
        <v>0</v>
      </c>
      <c r="J22" s="173">
        <f t="shared" si="0"/>
        <v>0</v>
      </c>
      <c r="K22" s="217"/>
      <c r="M22" s="216"/>
    </row>
    <row r="23" spans="2:33" ht="13.8" x14ac:dyDescent="0.25">
      <c r="B23" s="176"/>
      <c r="C23" s="176"/>
      <c r="D23" s="176" t="s">
        <v>179</v>
      </c>
      <c r="E23" s="176"/>
      <c r="F23" s="214">
        <f>F21</f>
        <v>2018</v>
      </c>
      <c r="H23" s="173">
        <v>0</v>
      </c>
      <c r="I23" s="173">
        <f t="shared" si="0"/>
        <v>0</v>
      </c>
      <c r="J23" s="173">
        <f t="shared" si="0"/>
        <v>0</v>
      </c>
      <c r="K23" s="217"/>
      <c r="M23" s="216"/>
    </row>
    <row r="24" spans="2:33" ht="13.8" x14ac:dyDescent="0.25">
      <c r="B24" s="219"/>
      <c r="C24" s="219"/>
      <c r="D24" s="219"/>
      <c r="E24" s="219" t="s">
        <v>402</v>
      </c>
      <c r="F24" s="220">
        <f>F21</f>
        <v>2018</v>
      </c>
      <c r="G24" s="221"/>
      <c r="H24" s="221"/>
      <c r="I24" s="221"/>
      <c r="J24" s="221"/>
      <c r="K24" s="222"/>
      <c r="L24" s="221"/>
      <c r="M24" s="223"/>
      <c r="N24" s="221"/>
      <c r="O24" s="221"/>
      <c r="P24" s="221"/>
    </row>
    <row r="25" spans="2:33" ht="13.8" x14ac:dyDescent="0.25">
      <c r="B25" s="176" t="str">
        <f>X9</f>
        <v>INDDEMCON_N_IM</v>
      </c>
      <c r="C25" s="176" t="str">
        <f>Y9</f>
        <v>Construction Improved</v>
      </c>
      <c r="D25" s="176" t="str">
        <f>D14</f>
        <v>INDCOABCO</v>
      </c>
      <c r="E25" s="176"/>
      <c r="F25" s="214">
        <f>G25</f>
        <v>2020</v>
      </c>
      <c r="G25" s="174">
        <f>BASE_YEAR+3</f>
        <v>2020</v>
      </c>
      <c r="H25" s="173">
        <f>ROUNDDOWN(H14,3)</f>
        <v>0</v>
      </c>
      <c r="I25" s="173">
        <f>H25</f>
        <v>0</v>
      </c>
      <c r="J25" s="173">
        <f>I25*1.05</f>
        <v>0</v>
      </c>
      <c r="K25" s="215">
        <f>AVERAGE(K36,K14)</f>
        <v>1.075</v>
      </c>
      <c r="L25" s="174">
        <v>1</v>
      </c>
      <c r="M25" s="216">
        <f>R25/R26</f>
        <v>63.419583967529164</v>
      </c>
      <c r="P25" s="174">
        <v>50</v>
      </c>
      <c r="R25" s="174">
        <v>1600</v>
      </c>
    </row>
    <row r="26" spans="2:33" ht="13.8" x14ac:dyDescent="0.25">
      <c r="B26" s="176"/>
      <c r="C26" s="176"/>
      <c r="D26" s="176" t="str">
        <f t="shared" ref="D26:D34" si="2">D15</f>
        <v>INDOILGSL</v>
      </c>
      <c r="E26" s="176"/>
      <c r="F26" s="214">
        <f>F25</f>
        <v>2020</v>
      </c>
      <c r="H26" s="173">
        <f t="shared" ref="H26:H32" si="3">ROUNDDOWN(H15,3)</f>
        <v>0.35799999999999998</v>
      </c>
      <c r="I26" s="173">
        <f t="shared" ref="I26:I34" si="4">H26</f>
        <v>0.35799999999999998</v>
      </c>
      <c r="J26" s="173">
        <f t="shared" ref="J26:J34" si="5">I26*1.05</f>
        <v>0.37590000000000001</v>
      </c>
      <c r="K26" s="217"/>
      <c r="M26" s="216"/>
      <c r="P26" s="176"/>
      <c r="R26" s="218">
        <f>1*31.536*0.8</f>
        <v>25.228800000000003</v>
      </c>
    </row>
    <row r="27" spans="2:33" ht="13.8" x14ac:dyDescent="0.25">
      <c r="B27" s="176"/>
      <c r="C27" s="176"/>
      <c r="D27" s="176" t="str">
        <f t="shared" si="2"/>
        <v>INDOILLPG</v>
      </c>
      <c r="E27" s="176"/>
      <c r="F27" s="214">
        <f t="shared" ref="F27:F32" si="6">F26</f>
        <v>2020</v>
      </c>
      <c r="H27" s="173">
        <f t="shared" si="3"/>
        <v>7.0000000000000001E-3</v>
      </c>
      <c r="I27" s="173">
        <f t="shared" si="4"/>
        <v>7.0000000000000001E-3</v>
      </c>
      <c r="J27" s="173">
        <f t="shared" si="5"/>
        <v>7.3500000000000006E-3</v>
      </c>
      <c r="K27" s="217"/>
      <c r="M27" s="216"/>
    </row>
    <row r="28" spans="2:33" ht="13.8" x14ac:dyDescent="0.25">
      <c r="B28" s="176"/>
      <c r="C28" s="176"/>
      <c r="D28" s="176" t="str">
        <f t="shared" si="2"/>
        <v>INDELC</v>
      </c>
      <c r="E28" s="176"/>
      <c r="F28" s="214">
        <f t="shared" si="6"/>
        <v>2020</v>
      </c>
      <c r="H28" s="173">
        <f>ROUNDUP(H17,2)</f>
        <v>6.9999999999999993E-2</v>
      </c>
      <c r="I28" s="173">
        <f t="shared" si="4"/>
        <v>6.9999999999999993E-2</v>
      </c>
      <c r="J28" s="173">
        <f t="shared" si="5"/>
        <v>7.3499999999999996E-2</v>
      </c>
      <c r="K28" s="217"/>
      <c r="M28" s="216"/>
    </row>
    <row r="29" spans="2:33" ht="13.8" x14ac:dyDescent="0.25">
      <c r="B29" s="176"/>
      <c r="C29" s="176"/>
      <c r="D29" s="176" t="str">
        <f t="shared" si="2"/>
        <v>INDCONHTH</v>
      </c>
      <c r="E29" s="176"/>
      <c r="F29" s="214">
        <f t="shared" si="6"/>
        <v>2020</v>
      </c>
      <c r="H29" s="173">
        <f>ROUNDUP(H18,2)</f>
        <v>0.17</v>
      </c>
      <c r="I29" s="173">
        <f t="shared" si="4"/>
        <v>0.17</v>
      </c>
      <c r="J29" s="173">
        <f t="shared" si="5"/>
        <v>0.17850000000000002</v>
      </c>
      <c r="K29" s="217"/>
      <c r="M29" s="216"/>
    </row>
    <row r="30" spans="2:33" ht="13.8" x14ac:dyDescent="0.25">
      <c r="B30" s="176"/>
      <c r="C30" s="176"/>
      <c r="D30" s="176" t="str">
        <f t="shared" si="2"/>
        <v>INDOILDSL</v>
      </c>
      <c r="E30" s="176"/>
      <c r="F30" s="214">
        <f t="shared" si="6"/>
        <v>2020</v>
      </c>
      <c r="H30" s="173">
        <f t="shared" si="3"/>
        <v>0.36099999999999999</v>
      </c>
      <c r="I30" s="173">
        <f t="shared" si="4"/>
        <v>0.36099999999999999</v>
      </c>
      <c r="J30" s="173">
        <f t="shared" si="5"/>
        <v>0.37905</v>
      </c>
      <c r="K30" s="217"/>
      <c r="M30" s="216"/>
      <c r="V30" s="176"/>
      <c r="W30" s="176"/>
      <c r="X30" s="195"/>
    </row>
    <row r="31" spans="2:33" ht="13.8" x14ac:dyDescent="0.25">
      <c r="B31" s="176"/>
      <c r="C31" s="176"/>
      <c r="D31" s="176" t="str">
        <f t="shared" si="2"/>
        <v>INDOILHFO</v>
      </c>
      <c r="E31" s="176"/>
      <c r="F31" s="214">
        <f t="shared" si="6"/>
        <v>2020</v>
      </c>
      <c r="H31" s="173">
        <f t="shared" si="3"/>
        <v>0</v>
      </c>
      <c r="I31" s="173">
        <f t="shared" si="4"/>
        <v>0</v>
      </c>
      <c r="J31" s="173">
        <f t="shared" si="5"/>
        <v>0</v>
      </c>
      <c r="K31" s="217"/>
      <c r="M31" s="216"/>
      <c r="V31" s="176"/>
      <c r="W31" s="176"/>
      <c r="X31" s="195"/>
    </row>
    <row r="32" spans="2:33" ht="13.8" x14ac:dyDescent="0.25">
      <c r="B32" s="176"/>
      <c r="C32" s="176"/>
      <c r="D32" s="176" t="str">
        <f t="shared" si="2"/>
        <v>INDGASNAT</v>
      </c>
      <c r="E32" s="176"/>
      <c r="F32" s="214">
        <f t="shared" si="6"/>
        <v>2020</v>
      </c>
      <c r="H32" s="173">
        <f t="shared" si="3"/>
        <v>4.4999999999999998E-2</v>
      </c>
      <c r="I32" s="173">
        <f t="shared" si="4"/>
        <v>4.4999999999999998E-2</v>
      </c>
      <c r="J32" s="173">
        <f t="shared" si="5"/>
        <v>4.725E-2</v>
      </c>
      <c r="K32" s="217"/>
      <c r="M32" s="216"/>
      <c r="V32" s="176"/>
      <c r="W32" s="176"/>
      <c r="X32" s="195"/>
    </row>
    <row r="33" spans="2:24" ht="13.8" x14ac:dyDescent="0.25">
      <c r="B33" s="176"/>
      <c r="C33" s="176"/>
      <c r="D33" s="176" t="str">
        <f t="shared" si="2"/>
        <v>INDBIODSL</v>
      </c>
      <c r="E33" s="176"/>
      <c r="F33" s="214">
        <f>F32</f>
        <v>2020</v>
      </c>
      <c r="H33" s="173">
        <f>H30/2</f>
        <v>0.18049999999999999</v>
      </c>
      <c r="I33" s="173">
        <f t="shared" si="4"/>
        <v>0.18049999999999999</v>
      </c>
      <c r="J33" s="173">
        <f t="shared" si="5"/>
        <v>0.189525</v>
      </c>
      <c r="K33" s="217"/>
      <c r="M33" s="216"/>
      <c r="V33" s="176"/>
      <c r="W33" s="176"/>
      <c r="X33" s="195"/>
    </row>
    <row r="34" spans="2:24" ht="13.8" x14ac:dyDescent="0.25">
      <c r="B34" s="176"/>
      <c r="C34" s="176"/>
      <c r="D34" s="176" t="str">
        <f t="shared" si="2"/>
        <v>INDBIOBGS</v>
      </c>
      <c r="E34" s="176"/>
      <c r="F34" s="214">
        <f>F32</f>
        <v>2020</v>
      </c>
      <c r="H34" s="173">
        <f>H32</f>
        <v>4.4999999999999998E-2</v>
      </c>
      <c r="I34" s="173">
        <f t="shared" si="4"/>
        <v>4.4999999999999998E-2</v>
      </c>
      <c r="J34" s="173">
        <f t="shared" si="5"/>
        <v>4.725E-2</v>
      </c>
      <c r="K34" s="217"/>
      <c r="M34" s="216"/>
      <c r="V34" s="176"/>
      <c r="W34" s="176"/>
      <c r="X34" s="195"/>
    </row>
    <row r="35" spans="2:24" ht="13.8" x14ac:dyDescent="0.25">
      <c r="B35" s="219"/>
      <c r="C35" s="219"/>
      <c r="D35" s="219"/>
      <c r="E35" s="219" t="str">
        <f>E24</f>
        <v>INDCON</v>
      </c>
      <c r="F35" s="220">
        <f>F32</f>
        <v>2020</v>
      </c>
      <c r="G35" s="221"/>
      <c r="H35" s="221"/>
      <c r="I35" s="221"/>
      <c r="J35" s="221"/>
      <c r="K35" s="222"/>
      <c r="L35" s="221"/>
      <c r="M35" s="223"/>
      <c r="N35" s="221"/>
      <c r="O35" s="221"/>
      <c r="P35" s="221"/>
      <c r="V35" s="176"/>
      <c r="W35" s="176"/>
      <c r="X35" s="195"/>
    </row>
    <row r="36" spans="2:24" ht="13.8" x14ac:dyDescent="0.25">
      <c r="B36" s="176" t="str">
        <f>X10</f>
        <v>INDDEMCON_N_AD</v>
      </c>
      <c r="C36" s="176" t="str">
        <f>Y10</f>
        <v>Construction Advanced</v>
      </c>
      <c r="D36" s="176" t="str">
        <f>D25</f>
        <v>INDCOABCO</v>
      </c>
      <c r="E36" s="176"/>
      <c r="F36" s="214">
        <f>G36</f>
        <v>2030</v>
      </c>
      <c r="G36" s="174">
        <f>BASE_YEAR+13</f>
        <v>2030</v>
      </c>
      <c r="H36" s="173">
        <v>0</v>
      </c>
      <c r="I36" s="173">
        <f>H36</f>
        <v>0</v>
      </c>
      <c r="J36" s="173">
        <f>I36</f>
        <v>0</v>
      </c>
      <c r="K36" s="215">
        <v>1.1499999999999999</v>
      </c>
      <c r="L36" s="174">
        <v>1</v>
      </c>
      <c r="M36" s="216">
        <f>R36/R37</f>
        <v>79.274479959411451</v>
      </c>
      <c r="P36" s="174">
        <v>50</v>
      </c>
      <c r="R36" s="174">
        <v>2000</v>
      </c>
      <c r="V36" s="176"/>
      <c r="W36" s="176"/>
      <c r="X36" s="195"/>
    </row>
    <row r="37" spans="2:24" ht="13.8" x14ac:dyDescent="0.25">
      <c r="B37" s="176"/>
      <c r="C37" s="176"/>
      <c r="D37" s="176" t="str">
        <f t="shared" ref="D37:D45" si="7">D26</f>
        <v>INDOILGSL</v>
      </c>
      <c r="E37" s="176"/>
      <c r="F37" s="214">
        <f>F36</f>
        <v>2030</v>
      </c>
      <c r="H37" s="173">
        <f>H26</f>
        <v>0.35799999999999998</v>
      </c>
      <c r="I37" s="173">
        <f t="shared" ref="I37:J45" si="8">H37</f>
        <v>0.35799999999999998</v>
      </c>
      <c r="J37" s="173">
        <f t="shared" si="8"/>
        <v>0.35799999999999998</v>
      </c>
      <c r="K37" s="224"/>
      <c r="M37" s="216"/>
      <c r="P37" s="176"/>
      <c r="R37" s="218">
        <f>1*31.536*0.8</f>
        <v>25.228800000000003</v>
      </c>
      <c r="V37" s="176"/>
      <c r="W37" s="176"/>
      <c r="X37" s="195"/>
    </row>
    <row r="38" spans="2:24" ht="13.8" x14ac:dyDescent="0.25">
      <c r="B38" s="176"/>
      <c r="C38" s="176"/>
      <c r="D38" s="176" t="str">
        <f t="shared" si="7"/>
        <v>INDOILLPG</v>
      </c>
      <c r="E38" s="176"/>
      <c r="F38" s="214">
        <f t="shared" ref="F38:F43" si="9">F37</f>
        <v>2030</v>
      </c>
      <c r="H38" s="173">
        <v>0</v>
      </c>
      <c r="I38" s="173">
        <f t="shared" si="8"/>
        <v>0</v>
      </c>
      <c r="J38" s="173">
        <f t="shared" si="8"/>
        <v>0</v>
      </c>
      <c r="K38" s="224"/>
      <c r="M38" s="216"/>
      <c r="V38" s="176"/>
      <c r="W38" s="176"/>
      <c r="X38" s="195"/>
    </row>
    <row r="39" spans="2:24" ht="13.8" x14ac:dyDescent="0.25">
      <c r="B39" s="176"/>
      <c r="C39" s="176"/>
      <c r="D39" s="176" t="str">
        <f t="shared" si="7"/>
        <v>INDELC</v>
      </c>
      <c r="E39" s="176"/>
      <c r="F39" s="214">
        <f t="shared" si="9"/>
        <v>2030</v>
      </c>
      <c r="H39" s="173">
        <v>0.15</v>
      </c>
      <c r="I39" s="173">
        <f t="shared" si="8"/>
        <v>0.15</v>
      </c>
      <c r="J39" s="173">
        <f t="shared" si="8"/>
        <v>0.15</v>
      </c>
      <c r="K39" s="224"/>
      <c r="M39" s="216"/>
    </row>
    <row r="40" spans="2:24" ht="13.8" x14ac:dyDescent="0.25">
      <c r="B40" s="176"/>
      <c r="C40" s="176"/>
      <c r="D40" s="176" t="str">
        <f t="shared" si="7"/>
        <v>INDCONHTH</v>
      </c>
      <c r="E40" s="176"/>
      <c r="F40" s="214">
        <f t="shared" si="9"/>
        <v>2030</v>
      </c>
      <c r="H40" s="173">
        <v>0.2</v>
      </c>
      <c r="I40" s="173">
        <f t="shared" si="8"/>
        <v>0.2</v>
      </c>
      <c r="J40" s="173">
        <f t="shared" si="8"/>
        <v>0.2</v>
      </c>
      <c r="K40" s="224"/>
      <c r="M40" s="216"/>
    </row>
    <row r="41" spans="2:24" ht="13.8" x14ac:dyDescent="0.25">
      <c r="B41" s="176"/>
      <c r="C41" s="176"/>
      <c r="D41" s="176" t="str">
        <f t="shared" si="7"/>
        <v>INDOILDSL</v>
      </c>
      <c r="E41" s="176"/>
      <c r="F41" s="214">
        <f t="shared" si="9"/>
        <v>2030</v>
      </c>
      <c r="H41" s="173">
        <v>0.37</v>
      </c>
      <c r="I41" s="173">
        <f t="shared" si="8"/>
        <v>0.37</v>
      </c>
      <c r="J41" s="173">
        <f t="shared" si="8"/>
        <v>0.37</v>
      </c>
      <c r="K41" s="224"/>
      <c r="M41" s="216"/>
    </row>
    <row r="42" spans="2:24" ht="13.8" x14ac:dyDescent="0.25">
      <c r="B42" s="176"/>
      <c r="C42" s="176"/>
      <c r="D42" s="176" t="str">
        <f t="shared" si="7"/>
        <v>INDOILHFO</v>
      </c>
      <c r="E42" s="176"/>
      <c r="F42" s="214">
        <f t="shared" si="9"/>
        <v>2030</v>
      </c>
      <c r="H42" s="173">
        <v>0</v>
      </c>
      <c r="I42" s="173">
        <f t="shared" si="8"/>
        <v>0</v>
      </c>
      <c r="J42" s="173">
        <f t="shared" si="8"/>
        <v>0</v>
      </c>
      <c r="K42" s="224"/>
      <c r="M42" s="216"/>
    </row>
    <row r="43" spans="2:24" ht="13.8" x14ac:dyDescent="0.25">
      <c r="B43" s="176"/>
      <c r="C43" s="176"/>
      <c r="D43" s="176" t="str">
        <f t="shared" si="7"/>
        <v>INDGASNAT</v>
      </c>
      <c r="E43" s="176"/>
      <c r="F43" s="214">
        <f t="shared" si="9"/>
        <v>2030</v>
      </c>
      <c r="H43" s="173">
        <v>0.1</v>
      </c>
      <c r="I43" s="173">
        <f t="shared" si="8"/>
        <v>0.1</v>
      </c>
      <c r="J43" s="173">
        <f t="shared" si="8"/>
        <v>0.1</v>
      </c>
      <c r="K43" s="224"/>
      <c r="M43" s="216"/>
    </row>
    <row r="44" spans="2:24" ht="13.8" x14ac:dyDescent="0.25">
      <c r="B44" s="176"/>
      <c r="C44" s="176"/>
      <c r="D44" s="176" t="str">
        <f t="shared" si="7"/>
        <v>INDBIODSL</v>
      </c>
      <c r="E44" s="176"/>
      <c r="F44" s="214">
        <f>F43</f>
        <v>2030</v>
      </c>
      <c r="H44" s="173">
        <f>H41+H37</f>
        <v>0.72799999999999998</v>
      </c>
      <c r="I44" s="173">
        <f t="shared" si="8"/>
        <v>0.72799999999999998</v>
      </c>
      <c r="J44" s="173">
        <f t="shared" si="8"/>
        <v>0.72799999999999998</v>
      </c>
      <c r="K44" s="224"/>
      <c r="M44" s="216"/>
    </row>
    <row r="45" spans="2:24" ht="13.8" x14ac:dyDescent="0.25">
      <c r="B45" s="176"/>
      <c r="C45" s="176"/>
      <c r="D45" s="176" t="str">
        <f t="shared" si="7"/>
        <v>INDBIOBGS</v>
      </c>
      <c r="E45" s="176"/>
      <c r="F45" s="214">
        <f>F43</f>
        <v>2030</v>
      </c>
      <c r="H45" s="173">
        <f>H43+H40</f>
        <v>0.30000000000000004</v>
      </c>
      <c r="I45" s="173">
        <f t="shared" si="8"/>
        <v>0.30000000000000004</v>
      </c>
      <c r="J45" s="173">
        <f t="shared" si="8"/>
        <v>0.30000000000000004</v>
      </c>
      <c r="K45" s="224"/>
      <c r="M45" s="216"/>
    </row>
    <row r="46" spans="2:24" ht="13.8" x14ac:dyDescent="0.25">
      <c r="B46" s="219"/>
      <c r="C46" s="219"/>
      <c r="D46" s="219"/>
      <c r="E46" s="219" t="str">
        <f>E35</f>
        <v>INDCON</v>
      </c>
      <c r="F46" s="220">
        <f>F43</f>
        <v>2030</v>
      </c>
      <c r="G46" s="221"/>
      <c r="H46" s="221"/>
      <c r="I46" s="221"/>
      <c r="J46" s="221"/>
      <c r="K46" s="225"/>
      <c r="L46" s="221"/>
      <c r="M46" s="223"/>
      <c r="N46" s="221"/>
      <c r="O46" s="221"/>
      <c r="P46" s="221"/>
    </row>
    <row r="47" spans="2:24" ht="13.8" x14ac:dyDescent="0.25">
      <c r="B47" s="176" t="str">
        <f>X11</f>
        <v>INDDEMCON_N_ADELC</v>
      </c>
      <c r="C47" s="176" t="str">
        <f>Y11</f>
        <v>Construction Advanced (electric)</v>
      </c>
      <c r="D47" s="176" t="str">
        <f>D36</f>
        <v>INDCOABCO</v>
      </c>
      <c r="E47" s="176"/>
      <c r="F47" s="214">
        <f>G47</f>
        <v>2035</v>
      </c>
      <c r="G47" s="174">
        <v>2035</v>
      </c>
      <c r="H47" s="173">
        <v>0</v>
      </c>
      <c r="I47" s="173">
        <f>H47</f>
        <v>0</v>
      </c>
      <c r="J47" s="173">
        <f>IF(I47&lt;0.1,I47*1.5,MIN(1,I47+$J$7))</f>
        <v>0</v>
      </c>
      <c r="K47" s="215">
        <v>1.1000000000000001</v>
      </c>
      <c r="L47" s="174">
        <v>1</v>
      </c>
      <c r="M47" s="216">
        <f>R47/R48</f>
        <v>118.91171993911719</v>
      </c>
      <c r="P47" s="174">
        <v>50</v>
      </c>
      <c r="R47" s="174">
        <v>3000</v>
      </c>
    </row>
    <row r="48" spans="2:24" ht="13.8" x14ac:dyDescent="0.25">
      <c r="B48" s="176"/>
      <c r="C48" s="176"/>
      <c r="D48" s="176" t="str">
        <f t="shared" ref="D48:D56" si="10">D37</f>
        <v>INDOILGSL</v>
      </c>
      <c r="E48" s="176"/>
      <c r="F48" s="214">
        <f>F47</f>
        <v>2035</v>
      </c>
      <c r="H48" s="173">
        <v>0.05</v>
      </c>
      <c r="I48" s="173">
        <f t="shared" ref="I48:I56" si="11">H48</f>
        <v>0.05</v>
      </c>
      <c r="J48" s="173">
        <f>I48</f>
        <v>0.05</v>
      </c>
      <c r="P48" s="176"/>
      <c r="R48" s="218">
        <f>1*31.536*0.8</f>
        <v>25.228800000000003</v>
      </c>
    </row>
    <row r="49" spans="2:16" ht="13.8" x14ac:dyDescent="0.25">
      <c r="B49" s="176"/>
      <c r="C49" s="176"/>
      <c r="D49" s="176" t="str">
        <f t="shared" si="10"/>
        <v>INDOILLPG</v>
      </c>
      <c r="E49" s="176"/>
      <c r="F49" s="214">
        <f t="shared" ref="F49:F56" si="12">F48</f>
        <v>2035</v>
      </c>
      <c r="H49" s="173">
        <v>0</v>
      </c>
      <c r="I49" s="173">
        <f t="shared" si="11"/>
        <v>0</v>
      </c>
      <c r="J49" s="173">
        <f t="shared" ref="J49:J56" si="13">IF(I49&lt;0.1,I49*1.5,MIN(1,I49+$J$7))</f>
        <v>0</v>
      </c>
    </row>
    <row r="50" spans="2:16" ht="13.8" x14ac:dyDescent="0.25">
      <c r="B50" s="176"/>
      <c r="C50" s="176"/>
      <c r="D50" s="176" t="str">
        <f t="shared" si="10"/>
        <v>INDELC</v>
      </c>
      <c r="E50" s="176"/>
      <c r="F50" s="214">
        <f t="shared" si="12"/>
        <v>2035</v>
      </c>
      <c r="H50" s="173">
        <f>H39*2</f>
        <v>0.3</v>
      </c>
      <c r="I50" s="173">
        <v>0.35</v>
      </c>
      <c r="J50" s="173">
        <v>0.5</v>
      </c>
    </row>
    <row r="51" spans="2:16" ht="13.8" x14ac:dyDescent="0.25">
      <c r="B51" s="176"/>
      <c r="C51" s="176"/>
      <c r="D51" s="176" t="str">
        <f t="shared" si="10"/>
        <v>INDCONHTH</v>
      </c>
      <c r="E51" s="176"/>
      <c r="F51" s="214">
        <f t="shared" si="12"/>
        <v>2035</v>
      </c>
      <c r="H51" s="173">
        <v>0.2</v>
      </c>
      <c r="I51" s="173">
        <f t="shared" si="11"/>
        <v>0.2</v>
      </c>
      <c r="J51" s="173">
        <f t="shared" si="13"/>
        <v>0.2</v>
      </c>
    </row>
    <row r="52" spans="2:16" ht="13.8" x14ac:dyDescent="0.25">
      <c r="B52" s="176"/>
      <c r="C52" s="176"/>
      <c r="D52" s="176" t="str">
        <f t="shared" si="10"/>
        <v>INDOILDSL</v>
      </c>
      <c r="E52" s="176"/>
      <c r="F52" s="214">
        <f t="shared" si="12"/>
        <v>2035</v>
      </c>
      <c r="H52" s="173">
        <v>0.05</v>
      </c>
      <c r="I52" s="173">
        <f t="shared" si="11"/>
        <v>0.05</v>
      </c>
      <c r="J52" s="173">
        <f>I52</f>
        <v>0.05</v>
      </c>
    </row>
    <row r="53" spans="2:16" ht="13.8" x14ac:dyDescent="0.25">
      <c r="B53" s="176"/>
      <c r="C53" s="176"/>
      <c r="D53" s="176" t="str">
        <f t="shared" si="10"/>
        <v>INDOILHFO</v>
      </c>
      <c r="E53" s="176"/>
      <c r="F53" s="214">
        <f t="shared" si="12"/>
        <v>2035</v>
      </c>
      <c r="H53" s="173">
        <v>0</v>
      </c>
      <c r="I53" s="173">
        <f t="shared" si="11"/>
        <v>0</v>
      </c>
      <c r="J53" s="173">
        <f t="shared" si="13"/>
        <v>0</v>
      </c>
    </row>
    <row r="54" spans="2:16" ht="13.8" x14ac:dyDescent="0.25">
      <c r="B54" s="176"/>
      <c r="C54" s="176"/>
      <c r="D54" s="176" t="str">
        <f t="shared" si="10"/>
        <v>INDGASNAT</v>
      </c>
      <c r="E54" s="176"/>
      <c r="F54" s="214">
        <f>F53</f>
        <v>2035</v>
      </c>
      <c r="H54" s="173">
        <v>0.1</v>
      </c>
      <c r="I54" s="173">
        <f t="shared" si="11"/>
        <v>0.1</v>
      </c>
      <c r="J54" s="173">
        <f t="shared" si="13"/>
        <v>0.1</v>
      </c>
    </row>
    <row r="55" spans="2:16" ht="13.8" x14ac:dyDescent="0.25">
      <c r="B55" s="176"/>
      <c r="C55" s="176"/>
      <c r="D55" s="176" t="str">
        <f t="shared" si="10"/>
        <v>INDBIODSL</v>
      </c>
      <c r="E55" s="176"/>
      <c r="F55" s="214">
        <f>F53</f>
        <v>2035</v>
      </c>
      <c r="H55" s="173">
        <v>0.6</v>
      </c>
      <c r="I55" s="173">
        <f t="shared" si="11"/>
        <v>0.6</v>
      </c>
      <c r="J55" s="173">
        <f t="shared" si="13"/>
        <v>0.6</v>
      </c>
    </row>
    <row r="56" spans="2:16" ht="13.8" x14ac:dyDescent="0.25">
      <c r="B56" s="176"/>
      <c r="C56" s="176"/>
      <c r="D56" s="176" t="str">
        <f t="shared" si="10"/>
        <v>INDBIOBGS</v>
      </c>
      <c r="E56" s="176"/>
      <c r="F56" s="214">
        <f t="shared" si="12"/>
        <v>2035</v>
      </c>
      <c r="H56" s="173">
        <v>0.3</v>
      </c>
      <c r="I56" s="173">
        <f t="shared" si="11"/>
        <v>0.3</v>
      </c>
      <c r="J56" s="173">
        <f t="shared" si="13"/>
        <v>0.3</v>
      </c>
    </row>
    <row r="57" spans="2:16" ht="13.8" x14ac:dyDescent="0.25">
      <c r="B57" s="219"/>
      <c r="C57" s="219"/>
      <c r="D57" s="219"/>
      <c r="E57" s="219" t="str">
        <f>E46</f>
        <v>INDCON</v>
      </c>
      <c r="F57" s="220">
        <f>F55</f>
        <v>2035</v>
      </c>
      <c r="G57" s="221"/>
      <c r="H57" s="221"/>
      <c r="I57" s="221"/>
      <c r="J57" s="221"/>
      <c r="K57" s="221"/>
      <c r="L57" s="221"/>
      <c r="M57" s="221"/>
      <c r="N57" s="221"/>
      <c r="O57" s="221"/>
      <c r="P57" s="221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R428"/>
  <sheetViews>
    <sheetView topLeftCell="A27" zoomScale="60" zoomScaleNormal="60" workbookViewId="0">
      <selection activeCell="A27" sqref="A1:XFD1048576"/>
    </sheetView>
  </sheetViews>
  <sheetFormatPr defaultColWidth="9.109375" defaultRowHeight="13.2" x14ac:dyDescent="0.25"/>
  <cols>
    <col min="1" max="1" width="9.109375" style="35"/>
    <col min="2" max="2" width="33.88671875" style="35" customWidth="1"/>
    <col min="3" max="3" width="47.109375" style="35" bestFit="1" customWidth="1"/>
    <col min="4" max="4" width="17.109375" style="35" bestFit="1" customWidth="1"/>
    <col min="5" max="5" width="19.109375" style="35" bestFit="1" customWidth="1"/>
    <col min="6" max="6" width="15.44140625" style="35" customWidth="1"/>
    <col min="7" max="7" width="16.44140625" style="35" customWidth="1"/>
    <col min="8" max="8" width="18.33203125" style="35" bestFit="1" customWidth="1"/>
    <col min="9" max="9" width="16.44140625" style="35" bestFit="1" customWidth="1"/>
    <col min="10" max="10" width="18.88671875" style="35" bestFit="1" customWidth="1"/>
    <col min="11" max="11" width="20.5546875" style="35" customWidth="1"/>
    <col min="12" max="12" width="13.5546875" style="35" customWidth="1"/>
    <col min="13" max="13" width="16.6640625" style="35" customWidth="1"/>
    <col min="14" max="14" width="9.109375" style="35"/>
    <col min="15" max="15" width="24" style="101" bestFit="1" customWidth="1"/>
    <col min="16" max="16" width="9.109375" style="35"/>
    <col min="17" max="17" width="27.5546875" style="35" customWidth="1"/>
    <col min="18" max="18" width="22.88671875" style="35" customWidth="1"/>
    <col min="19" max="19" width="29" style="35" bestFit="1" customWidth="1"/>
    <col min="20" max="20" width="49.6640625" style="35" bestFit="1" customWidth="1"/>
    <col min="21" max="21" width="13.44140625" style="35" bestFit="1" customWidth="1"/>
    <col min="22" max="22" width="10" style="35" bestFit="1" customWidth="1"/>
    <col min="23" max="23" width="35" style="35" bestFit="1" customWidth="1"/>
    <col min="24" max="24" width="27.6640625" style="35" bestFit="1" customWidth="1"/>
    <col min="25" max="25" width="17.88671875" style="35" bestFit="1" customWidth="1"/>
    <col min="26" max="26" width="19.44140625" style="35" bestFit="1" customWidth="1"/>
    <col min="27" max="27" width="4.88671875" style="35" bestFit="1" customWidth="1"/>
    <col min="28" max="28" width="27.109375" style="35" bestFit="1" customWidth="1"/>
    <col min="29" max="29" width="28" style="35" bestFit="1" customWidth="1"/>
    <col min="30" max="30" width="20.44140625" style="35" bestFit="1" customWidth="1"/>
    <col min="31" max="31" width="27.88671875" style="35" bestFit="1" customWidth="1"/>
    <col min="32" max="32" width="10.109375" style="35" customWidth="1"/>
    <col min="33" max="34" width="27.5546875" style="35" customWidth="1"/>
    <col min="35" max="35" width="25.33203125" style="35" customWidth="1"/>
    <col min="36" max="36" width="9.109375" style="35"/>
    <col min="37" max="37" width="15.109375" style="35" customWidth="1"/>
    <col min="38" max="38" width="13.88671875" style="35" bestFit="1" customWidth="1"/>
    <col min="39" max="39" width="40.44140625" style="35" customWidth="1"/>
    <col min="40" max="40" width="65.5546875" style="35" bestFit="1" customWidth="1"/>
    <col min="41" max="42" width="13.44140625" style="35" bestFit="1" customWidth="1"/>
    <col min="43" max="43" width="33.44140625" style="35" bestFit="1" customWidth="1"/>
    <col min="44" max="44" width="26.44140625" style="35" bestFit="1" customWidth="1"/>
    <col min="45" max="45" width="16.6640625" style="35" bestFit="1" customWidth="1"/>
    <col min="46" max="46" width="9.109375" style="35"/>
    <col min="47" max="47" width="40.109375" style="35" bestFit="1" customWidth="1"/>
    <col min="48" max="48" width="58.88671875" style="35" bestFit="1" customWidth="1"/>
    <col min="49" max="50" width="58.88671875" style="35" customWidth="1"/>
    <col min="51" max="51" width="9.109375" style="35"/>
    <col min="52" max="52" width="28.109375" style="35" bestFit="1" customWidth="1"/>
    <col min="53" max="53" width="17.109375" style="35" bestFit="1" customWidth="1"/>
    <col min="54" max="54" width="27.6640625" style="35" bestFit="1" customWidth="1"/>
    <col min="55" max="55" width="5.88671875" style="35" bestFit="1" customWidth="1"/>
    <col min="56" max="56" width="24.5546875" style="35" bestFit="1" customWidth="1"/>
    <col min="57" max="57" width="22.88671875" style="35" bestFit="1" customWidth="1"/>
    <col min="58" max="58" width="15.88671875" style="35" bestFit="1" customWidth="1"/>
    <col min="59" max="59" width="17.44140625" style="35" bestFit="1" customWidth="1"/>
    <col min="60" max="60" width="9.109375" style="35"/>
    <col min="61" max="61" width="22" style="35" bestFit="1" customWidth="1"/>
    <col min="62" max="16384" width="9.109375" style="35"/>
  </cols>
  <sheetData>
    <row r="1" spans="1:58" ht="17.399999999999999" x14ac:dyDescent="0.3">
      <c r="A1" s="34"/>
      <c r="B1" s="34" t="s">
        <v>294</v>
      </c>
      <c r="C1" s="34"/>
      <c r="D1" s="34"/>
      <c r="E1" s="34"/>
      <c r="F1" s="34"/>
      <c r="G1" s="34"/>
      <c r="H1" s="34"/>
      <c r="I1" s="34"/>
      <c r="J1" s="34"/>
    </row>
    <row r="2" spans="1:58" s="72" customFormat="1" ht="13.8" x14ac:dyDescent="0.25">
      <c r="O2" s="102"/>
      <c r="R2" s="103"/>
      <c r="S2" s="104"/>
      <c r="T2" s="104"/>
    </row>
    <row r="3" spans="1:58" s="72" customFormat="1" ht="13.8" x14ac:dyDescent="0.25">
      <c r="O3" s="102"/>
      <c r="R3" s="37" t="s">
        <v>225</v>
      </c>
      <c r="S3" s="37"/>
      <c r="T3" s="37"/>
      <c r="U3" s="37"/>
      <c r="V3" s="37"/>
      <c r="W3" s="37"/>
      <c r="X3" s="37"/>
      <c r="Y3" s="37"/>
    </row>
    <row r="4" spans="1:58" s="72" customFormat="1" ht="13.8" x14ac:dyDescent="0.25">
      <c r="O4" s="102"/>
      <c r="R4" s="37"/>
      <c r="S4" s="37"/>
      <c r="T4" s="37"/>
      <c r="U4" s="37"/>
      <c r="V4" s="37"/>
      <c r="W4" s="37"/>
      <c r="X4" s="37"/>
      <c r="Y4" s="37"/>
      <c r="Z4" s="105"/>
      <c r="AG4" s="106"/>
      <c r="AH4" s="106"/>
      <c r="AI4" s="106"/>
      <c r="AJ4" s="106"/>
      <c r="AK4" s="106"/>
      <c r="AL4" s="106"/>
      <c r="AM4" s="106"/>
      <c r="AN4" s="106"/>
      <c r="AO4" s="106"/>
      <c r="BF4" s="35"/>
    </row>
    <row r="5" spans="1:58" s="72" customFormat="1" ht="13.8" x14ac:dyDescent="0.25">
      <c r="B5" s="37"/>
      <c r="C5" s="107"/>
      <c r="D5" s="107"/>
      <c r="F5" s="108" t="s">
        <v>0</v>
      </c>
      <c r="G5" s="36"/>
      <c r="O5" s="102"/>
      <c r="R5" s="38" t="s">
        <v>226</v>
      </c>
      <c r="S5" s="38" t="s">
        <v>232</v>
      </c>
      <c r="T5" s="38"/>
      <c r="U5" s="38"/>
      <c r="V5" s="38"/>
      <c r="W5" s="38"/>
      <c r="X5" s="38"/>
      <c r="Y5" s="38"/>
      <c r="AG5" s="109"/>
      <c r="AH5" s="109"/>
      <c r="AI5" s="106"/>
      <c r="AJ5" s="106"/>
      <c r="AK5" s="106"/>
      <c r="AL5" s="106"/>
      <c r="AM5" s="106"/>
      <c r="AN5" s="106"/>
      <c r="AO5" s="106"/>
      <c r="AV5" s="110"/>
      <c r="AW5" s="111"/>
      <c r="AX5" s="111"/>
      <c r="AY5" s="112"/>
      <c r="AZ5" s="112"/>
      <c r="BA5" s="111"/>
      <c r="BB5" s="111"/>
      <c r="BC5" s="111"/>
      <c r="BD5" s="113"/>
      <c r="BE5" s="113"/>
      <c r="BF5" s="114"/>
    </row>
    <row r="6" spans="1:58" s="72" customFormat="1" ht="13.8" x14ac:dyDescent="0.25">
      <c r="B6" s="45" t="s">
        <v>1</v>
      </c>
      <c r="C6" s="45" t="s">
        <v>227</v>
      </c>
      <c r="D6" s="45" t="s">
        <v>3</v>
      </c>
      <c r="E6" s="45" t="s">
        <v>4</v>
      </c>
      <c r="F6" s="46" t="s">
        <v>233</v>
      </c>
      <c r="G6" s="115" t="s">
        <v>14</v>
      </c>
      <c r="H6" s="47" t="s">
        <v>250</v>
      </c>
      <c r="I6" s="47" t="s">
        <v>36</v>
      </c>
      <c r="J6" s="49" t="s">
        <v>5</v>
      </c>
      <c r="K6" s="49" t="s">
        <v>48</v>
      </c>
      <c r="O6" s="102"/>
      <c r="R6" s="38"/>
      <c r="S6" s="38"/>
      <c r="T6" s="38"/>
      <c r="U6" s="38"/>
      <c r="V6" s="38"/>
      <c r="W6" s="38"/>
      <c r="X6" s="38"/>
      <c r="Y6" s="38"/>
      <c r="AG6" s="109"/>
      <c r="AH6" s="109"/>
      <c r="AI6" s="109"/>
      <c r="AJ6" s="109"/>
      <c r="AK6" s="109"/>
      <c r="AL6" s="109"/>
      <c r="AM6" s="109"/>
      <c r="AN6" s="109"/>
      <c r="AO6" s="109"/>
      <c r="AQ6" s="116"/>
      <c r="AR6" s="116"/>
      <c r="AS6" s="116"/>
      <c r="AT6" s="116"/>
      <c r="AV6" s="110"/>
      <c r="AW6" s="110"/>
      <c r="AX6" s="110"/>
      <c r="AY6" s="117"/>
      <c r="AZ6" s="117"/>
      <c r="BA6" s="118"/>
      <c r="BB6" s="118"/>
      <c r="BC6" s="118"/>
      <c r="BD6" s="113"/>
      <c r="BE6" s="114"/>
      <c r="BF6" s="119"/>
    </row>
    <row r="7" spans="1:58" s="72" customFormat="1" ht="20.25" customHeight="1" thickBot="1" x14ac:dyDescent="0.3">
      <c r="B7" s="54" t="s">
        <v>234</v>
      </c>
      <c r="C7" s="54" t="s">
        <v>28</v>
      </c>
      <c r="D7" s="54" t="s">
        <v>32</v>
      </c>
      <c r="E7" s="54" t="s">
        <v>33</v>
      </c>
      <c r="F7" s="55"/>
      <c r="G7" s="56" t="s">
        <v>35</v>
      </c>
      <c r="H7" s="56" t="s">
        <v>278</v>
      </c>
      <c r="I7" s="56" t="s">
        <v>37</v>
      </c>
      <c r="J7" s="54" t="s">
        <v>38</v>
      </c>
      <c r="K7" s="54" t="s">
        <v>218</v>
      </c>
      <c r="O7" s="102"/>
      <c r="R7" s="41" t="s">
        <v>17</v>
      </c>
      <c r="S7" s="38"/>
      <c r="T7" s="38"/>
      <c r="U7" s="38"/>
      <c r="V7" s="38"/>
      <c r="W7" s="38"/>
      <c r="X7" s="38"/>
      <c r="Y7" s="38"/>
      <c r="AA7" s="120"/>
      <c r="AB7" s="120"/>
      <c r="AG7" s="121"/>
      <c r="AH7" s="121"/>
      <c r="AI7" s="121"/>
      <c r="AJ7" s="121"/>
      <c r="AK7" s="121"/>
      <c r="AL7" s="121"/>
      <c r="AM7" s="121"/>
      <c r="AN7" s="121"/>
      <c r="AO7" s="121"/>
      <c r="AP7" s="102"/>
      <c r="AQ7" s="121"/>
      <c r="AR7" s="121"/>
      <c r="AS7" s="121"/>
      <c r="AT7" s="121"/>
      <c r="AV7" s="122"/>
      <c r="AW7" s="122"/>
      <c r="AX7" s="122"/>
      <c r="AY7" s="112"/>
      <c r="AZ7" s="112"/>
      <c r="BA7" s="122"/>
      <c r="BB7" s="122"/>
      <c r="BC7" s="122"/>
      <c r="BD7" s="113"/>
      <c r="BE7" s="119"/>
      <c r="BF7" s="113"/>
    </row>
    <row r="8" spans="1:58" s="72" customFormat="1" ht="17.25" customHeight="1" x14ac:dyDescent="0.25">
      <c r="B8" s="89"/>
      <c r="C8" s="90"/>
      <c r="D8" s="90"/>
      <c r="E8" s="90" t="s">
        <v>231</v>
      </c>
      <c r="F8" s="91"/>
      <c r="G8" s="90"/>
      <c r="H8" s="90"/>
      <c r="I8" s="90" t="str">
        <f>General!E14</f>
        <v>M$/PJ/a</v>
      </c>
      <c r="J8" s="90" t="str">
        <f>General!E14</f>
        <v>M$/PJ/a</v>
      </c>
      <c r="K8" s="90" t="s">
        <v>40</v>
      </c>
      <c r="O8" s="102"/>
      <c r="R8" s="50" t="s">
        <v>15</v>
      </c>
      <c r="S8" s="50" t="s">
        <v>1</v>
      </c>
      <c r="T8" s="50" t="s">
        <v>2</v>
      </c>
      <c r="U8" s="50" t="s">
        <v>18</v>
      </c>
      <c r="V8" s="50" t="s">
        <v>19</v>
      </c>
      <c r="W8" s="50" t="s">
        <v>20</v>
      </c>
      <c r="X8" s="50" t="s">
        <v>21</v>
      </c>
      <c r="Y8" s="50" t="s">
        <v>22</v>
      </c>
      <c r="AI8" s="102"/>
      <c r="AV8" s="111"/>
      <c r="AW8" s="111"/>
      <c r="AX8" s="111"/>
      <c r="AY8" s="112"/>
      <c r="AZ8" s="101"/>
      <c r="BD8" s="113"/>
      <c r="BE8" s="113"/>
      <c r="BF8" s="113"/>
    </row>
    <row r="9" spans="1:58" s="72" customFormat="1" ht="19.5" customHeight="1" thickBot="1" x14ac:dyDescent="0.3">
      <c r="B9" s="60" t="str">
        <f>S94</f>
        <v>INDDEMOTH_N_ST</v>
      </c>
      <c r="C9" s="60" t="str">
        <f>T94</f>
        <v>Other Industry Demand Technology_N_ST</v>
      </c>
      <c r="D9" s="36" t="s">
        <v>286</v>
      </c>
      <c r="E9" s="36"/>
      <c r="F9" s="123">
        <f>G9</f>
        <v>2017</v>
      </c>
      <c r="G9" s="124">
        <v>2017</v>
      </c>
      <c r="H9" s="125">
        <v>0.28999999999999998</v>
      </c>
      <c r="I9" s="126">
        <f>1*(1/0.9)</f>
        <v>1.1111111111111112</v>
      </c>
      <c r="J9" s="127"/>
      <c r="K9" s="127">
        <v>30</v>
      </c>
      <c r="O9" s="102"/>
      <c r="R9" s="57" t="s">
        <v>228</v>
      </c>
      <c r="S9" s="57" t="s">
        <v>27</v>
      </c>
      <c r="T9" s="57" t="s">
        <v>28</v>
      </c>
      <c r="U9" s="57" t="s">
        <v>29</v>
      </c>
      <c r="V9" s="57" t="s">
        <v>30</v>
      </c>
      <c r="W9" s="57" t="s">
        <v>229</v>
      </c>
      <c r="X9" s="57" t="s">
        <v>230</v>
      </c>
      <c r="Y9" s="57" t="s">
        <v>31</v>
      </c>
      <c r="AI9" s="102"/>
      <c r="AW9" s="111"/>
      <c r="AX9" s="111"/>
      <c r="AY9" s="112"/>
      <c r="AZ9" s="101"/>
      <c r="BF9" s="113"/>
    </row>
    <row r="10" spans="1:58" s="72" customFormat="1" ht="13.8" x14ac:dyDescent="0.25">
      <c r="B10" s="36"/>
      <c r="C10" s="128"/>
      <c r="D10" s="36" t="s">
        <v>267</v>
      </c>
      <c r="E10" s="36"/>
      <c r="F10" s="123">
        <f>F9</f>
        <v>2017</v>
      </c>
      <c r="G10" s="129"/>
      <c r="H10" s="97">
        <v>0.09</v>
      </c>
      <c r="I10" s="130"/>
      <c r="O10" s="102"/>
      <c r="R10" s="37" t="s">
        <v>272</v>
      </c>
      <c r="S10" s="37" t="str">
        <f>"INDOTHSTM"&amp;RIGHT(Commodities!$D$7,6)&amp;"_"&amp;AA10</f>
        <v>INDOTHSTMCOASUB_ST</v>
      </c>
      <c r="T10" s="37" t="str">
        <f>"Steam Boiler INDOTH Sub-bituminous"&amp;"_"&amp;$S$5&amp;"_"&amp;AA10</f>
        <v>Steam Boiler INDOTH Sub-bituminous_N_ST</v>
      </c>
      <c r="U10" s="37" t="s">
        <v>206</v>
      </c>
      <c r="V10" s="37" t="s">
        <v>224</v>
      </c>
      <c r="W10" s="37"/>
      <c r="X10" s="37"/>
      <c r="Y10" s="37"/>
      <c r="AA10" s="72" t="s">
        <v>274</v>
      </c>
      <c r="AB10" s="35"/>
      <c r="AC10" s="35"/>
      <c r="AI10" s="102"/>
      <c r="AW10" s="111"/>
      <c r="AX10" s="111"/>
      <c r="AY10" s="112"/>
      <c r="BF10" s="113"/>
    </row>
    <row r="11" spans="1:58" s="72" customFormat="1" ht="13.8" x14ac:dyDescent="0.25">
      <c r="B11" s="36"/>
      <c r="C11" s="128"/>
      <c r="D11" s="36" t="s">
        <v>269</v>
      </c>
      <c r="E11" s="36"/>
      <c r="F11" s="123">
        <f>F9</f>
        <v>2017</v>
      </c>
      <c r="G11" s="129"/>
      <c r="H11" s="97">
        <v>0.51</v>
      </c>
      <c r="I11" s="130"/>
      <c r="O11" s="102"/>
      <c r="R11" s="37"/>
      <c r="S11" s="37" t="str">
        <f>"INDOTHSTM"&amp;RIGHT(Commodities!$D$7,6)&amp;"_"&amp;AA11</f>
        <v>INDOTHSTMCOASUB_IM</v>
      </c>
      <c r="T11" s="37" t="str">
        <f>"Steam Boiler INDOTH Sub-bituminous"&amp;"_"&amp;$S$5&amp;"_"&amp;AA11</f>
        <v>Steam Boiler INDOTH Sub-bituminous_N_IM</v>
      </c>
      <c r="U11" s="37" t="s">
        <v>206</v>
      </c>
      <c r="V11" s="37" t="s">
        <v>224</v>
      </c>
      <c r="W11" s="37"/>
      <c r="X11" s="37"/>
      <c r="Y11" s="37"/>
      <c r="AA11" s="72" t="s">
        <v>275</v>
      </c>
      <c r="AB11" s="35"/>
      <c r="AC11" s="35"/>
      <c r="AI11" s="102"/>
      <c r="AW11" s="111"/>
      <c r="AX11" s="111"/>
      <c r="AY11" s="112"/>
      <c r="BF11" s="113"/>
    </row>
    <row r="12" spans="1:58" s="72" customFormat="1" ht="13.8" x14ac:dyDescent="0.25">
      <c r="B12" s="36"/>
      <c r="C12" s="128"/>
      <c r="D12" s="36" t="s">
        <v>271</v>
      </c>
      <c r="E12" s="36"/>
      <c r="F12" s="123">
        <f>F9</f>
        <v>2017</v>
      </c>
      <c r="G12" s="129"/>
      <c r="H12" s="97">
        <v>0.11</v>
      </c>
      <c r="I12" s="130"/>
      <c r="O12" s="102"/>
      <c r="R12" s="37"/>
      <c r="S12" s="37" t="str">
        <f>"INDOTHSTM"&amp;RIGHT(Commodities!$D$7,6)&amp;"_"&amp;AA12</f>
        <v>INDOTHSTMCOASUB_AD</v>
      </c>
      <c r="T12" s="37" t="str">
        <f>"Steam Boiler INDOTH Sub-bituminous"&amp;"_"&amp;$S$5&amp;"_"&amp;AA12</f>
        <v>Steam Boiler INDOTH Sub-bituminous_N_AD</v>
      </c>
      <c r="U12" s="37" t="s">
        <v>206</v>
      </c>
      <c r="V12" s="37" t="s">
        <v>224</v>
      </c>
      <c r="W12" s="37"/>
      <c r="X12" s="37"/>
      <c r="Y12" s="37"/>
      <c r="AA12" s="72" t="s">
        <v>276</v>
      </c>
      <c r="AB12" s="35"/>
      <c r="AC12" s="35"/>
      <c r="AI12" s="102"/>
      <c r="AW12" s="111"/>
      <c r="AX12" s="111"/>
      <c r="AY12" s="112"/>
      <c r="BF12" s="113"/>
    </row>
    <row r="13" spans="1:58" s="72" customFormat="1" ht="13.8" x14ac:dyDescent="0.25">
      <c r="B13" s="67"/>
      <c r="C13" s="131"/>
      <c r="D13" s="131"/>
      <c r="E13" s="131" t="s">
        <v>258</v>
      </c>
      <c r="F13" s="132">
        <f>F9</f>
        <v>2017</v>
      </c>
      <c r="G13" s="133"/>
      <c r="H13" s="98"/>
      <c r="I13" s="134"/>
      <c r="J13" s="98"/>
      <c r="K13" s="98"/>
      <c r="O13" s="102"/>
      <c r="R13" s="37"/>
      <c r="S13" s="37" t="str">
        <f>"INDOTHSTM"&amp;RIGHT(Commodities!$D$9,6)&amp;"_"&amp;AA13</f>
        <v>INDOTHSTMCOABIC_ST</v>
      </c>
      <c r="T13" s="37" t="str">
        <f>"Steam Boiler INDOTH Bituminous"&amp;"_"&amp;$S$5&amp;"_"&amp;AA13</f>
        <v>Steam Boiler INDOTH Bituminous_N_ST</v>
      </c>
      <c r="U13" s="37" t="s">
        <v>206</v>
      </c>
      <c r="V13" s="37" t="s">
        <v>224</v>
      </c>
      <c r="W13" s="37"/>
      <c r="X13" s="37"/>
      <c r="Y13" s="37"/>
      <c r="AA13" s="72" t="s">
        <v>274</v>
      </c>
      <c r="AB13" s="35"/>
      <c r="AC13" s="35"/>
      <c r="AI13" s="102"/>
      <c r="BF13" s="113"/>
    </row>
    <row r="14" spans="1:58" s="72" customFormat="1" ht="13.8" x14ac:dyDescent="0.25">
      <c r="B14" s="60" t="str">
        <f>S95</f>
        <v>INDDEMOTH_N_IM</v>
      </c>
      <c r="C14" s="60" t="str">
        <f>T95</f>
        <v>Other Industry Demand Technology_N_IM</v>
      </c>
      <c r="D14" s="36" t="s">
        <v>286</v>
      </c>
      <c r="E14" s="36"/>
      <c r="F14" s="123">
        <f>G14</f>
        <v>2025</v>
      </c>
      <c r="G14" s="124">
        <f>G9+8</f>
        <v>2025</v>
      </c>
      <c r="H14" s="125">
        <f>H9*$M$14</f>
        <v>0.28129999999999999</v>
      </c>
      <c r="I14" s="126">
        <v>1.4266949074308242</v>
      </c>
      <c r="J14" s="127"/>
      <c r="K14" s="127">
        <v>30</v>
      </c>
      <c r="M14" s="135">
        <v>0.97</v>
      </c>
      <c r="O14" s="102"/>
      <c r="R14" s="37"/>
      <c r="S14" s="37" t="str">
        <f>"INDOTHSTM"&amp;RIGHT(Commodities!$D$9,6)&amp;"_"&amp;AA14</f>
        <v>INDOTHSTMCOABIC_IM</v>
      </c>
      <c r="T14" s="37" t="str">
        <f>"Steam Boiler INDOTH Bituminous"&amp;"_"&amp;$S$5&amp;"_"&amp;AA14</f>
        <v>Steam Boiler INDOTH Bituminous_N_IM</v>
      </c>
      <c r="U14" s="37" t="s">
        <v>206</v>
      </c>
      <c r="V14" s="37" t="s">
        <v>224</v>
      </c>
      <c r="W14" s="37"/>
      <c r="X14" s="37"/>
      <c r="Y14" s="37"/>
      <c r="AA14" s="72" t="s">
        <v>275</v>
      </c>
      <c r="AB14" s="35"/>
      <c r="AC14" s="35"/>
      <c r="AI14" s="102"/>
      <c r="BF14" s="113"/>
    </row>
    <row r="15" spans="1:58" s="72" customFormat="1" ht="13.8" x14ac:dyDescent="0.25">
      <c r="B15" s="36"/>
      <c r="C15" s="128"/>
      <c r="D15" s="36" t="s">
        <v>267</v>
      </c>
      <c r="E15" s="36"/>
      <c r="F15" s="123">
        <f>F14</f>
        <v>2025</v>
      </c>
      <c r="G15" s="129"/>
      <c r="H15" s="97">
        <f t="shared" ref="H15:H17" si="0">H10*$M$14</f>
        <v>8.7299999999999989E-2</v>
      </c>
      <c r="I15" s="130"/>
      <c r="M15" s="102"/>
      <c r="O15" s="102"/>
      <c r="R15" s="37"/>
      <c r="S15" s="37" t="str">
        <f>"INDOTHSTM"&amp;RIGHT(Commodities!$D$9,6)&amp;"_"&amp;AA15</f>
        <v>INDOTHSTMCOABIC_AD</v>
      </c>
      <c r="T15" s="37" t="str">
        <f>"Steam Boiler INDOTH Bituminous"&amp;"_"&amp;$S$5&amp;"_"&amp;AA15</f>
        <v>Steam Boiler INDOTH Bituminous_N_AD</v>
      </c>
      <c r="U15" s="37" t="s">
        <v>206</v>
      </c>
      <c r="V15" s="37" t="s">
        <v>224</v>
      </c>
      <c r="W15" s="37"/>
      <c r="X15" s="37"/>
      <c r="Y15" s="37"/>
      <c r="AA15" s="72" t="s">
        <v>276</v>
      </c>
      <c r="AB15" s="35"/>
      <c r="AC15" s="35"/>
      <c r="AI15" s="102"/>
      <c r="BF15" s="113"/>
    </row>
    <row r="16" spans="1:58" s="72" customFormat="1" ht="13.8" x14ac:dyDescent="0.25">
      <c r="B16" s="36"/>
      <c r="C16" s="128"/>
      <c r="D16" s="36" t="s">
        <v>269</v>
      </c>
      <c r="E16" s="36"/>
      <c r="F16" s="123">
        <f>F14</f>
        <v>2025</v>
      </c>
      <c r="G16" s="129"/>
      <c r="H16" s="97">
        <f t="shared" si="0"/>
        <v>0.49469999999999997</v>
      </c>
      <c r="I16" s="130"/>
      <c r="M16" s="102"/>
      <c r="O16" s="102"/>
      <c r="R16" s="37"/>
      <c r="S16" s="37" t="str">
        <f>"INDOTHSTM"&amp;RIGHT(Commodities!$D$10,6)&amp;"_"&amp;AA16</f>
        <v>INDOTHSTMCOABCO_ST</v>
      </c>
      <c r="T16" s="37" t="str">
        <f>"Steam Boiler INDOTH Lignite"&amp;"_"&amp;$S$5&amp;"_"&amp;AA16</f>
        <v>Steam Boiler INDOTH Lignite_N_ST</v>
      </c>
      <c r="U16" s="37" t="s">
        <v>206</v>
      </c>
      <c r="V16" s="37" t="s">
        <v>224</v>
      </c>
      <c r="W16" s="37"/>
      <c r="X16" s="37"/>
      <c r="Y16" s="37"/>
      <c r="AA16" s="72" t="s">
        <v>274</v>
      </c>
      <c r="AB16" s="35"/>
      <c r="AC16" s="35"/>
      <c r="AI16" s="102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</row>
    <row r="17" spans="1:58" s="72" customFormat="1" ht="13.8" x14ac:dyDescent="0.25">
      <c r="B17" s="36"/>
      <c r="C17" s="128"/>
      <c r="D17" s="36" t="s">
        <v>271</v>
      </c>
      <c r="E17" s="36"/>
      <c r="F17" s="123">
        <f>F14</f>
        <v>2025</v>
      </c>
      <c r="G17" s="129"/>
      <c r="H17" s="97">
        <f t="shared" si="0"/>
        <v>0.1067</v>
      </c>
      <c r="I17" s="130"/>
      <c r="M17" s="102"/>
      <c r="O17" s="102"/>
      <c r="R17" s="37"/>
      <c r="S17" s="37" t="str">
        <f>"INDOTHSTM"&amp;RIGHT(Commodities!$D$10,6)&amp;"_"&amp;AA17</f>
        <v>INDOTHSTMCOABCO_IM</v>
      </c>
      <c r="T17" s="37" t="str">
        <f t="shared" ref="T17:T18" si="1">"Steam Boiler INDOTH Lignite"&amp;"_"&amp;$S$5&amp;"_"&amp;AA17</f>
        <v>Steam Boiler INDOTH Lignite_N_IM</v>
      </c>
      <c r="U17" s="37" t="s">
        <v>206</v>
      </c>
      <c r="V17" s="37" t="s">
        <v>224</v>
      </c>
      <c r="W17" s="37"/>
      <c r="X17" s="37"/>
      <c r="Y17" s="37"/>
      <c r="AA17" s="72" t="s">
        <v>275</v>
      </c>
      <c r="AB17" s="35"/>
      <c r="AC17" s="35"/>
      <c r="AI17" s="102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</row>
    <row r="18" spans="1:58" s="72" customFormat="1" ht="13.8" x14ac:dyDescent="0.25">
      <c r="B18" s="67"/>
      <c r="C18" s="131"/>
      <c r="D18" s="131"/>
      <c r="E18" s="131" t="s">
        <v>258</v>
      </c>
      <c r="F18" s="132">
        <f>F14</f>
        <v>2025</v>
      </c>
      <c r="G18" s="133"/>
      <c r="H18" s="98"/>
      <c r="I18" s="134"/>
      <c r="J18" s="98"/>
      <c r="K18" s="98"/>
      <c r="M18" s="102"/>
      <c r="O18" s="102"/>
      <c r="R18" s="37"/>
      <c r="S18" s="37" t="str">
        <f>"INDOTHSTM"&amp;RIGHT(Commodities!$D$10,6)&amp;"_"&amp;AA18</f>
        <v>INDOTHSTMCOABCO_AD</v>
      </c>
      <c r="T18" s="37" t="str">
        <f t="shared" si="1"/>
        <v>Steam Boiler INDOTH Lignite_N_AD</v>
      </c>
      <c r="U18" s="37" t="s">
        <v>206</v>
      </c>
      <c r="V18" s="37" t="s">
        <v>224</v>
      </c>
      <c r="W18" s="37"/>
      <c r="X18" s="37"/>
      <c r="Y18" s="37"/>
      <c r="AA18" s="72" t="s">
        <v>276</v>
      </c>
      <c r="AB18" s="35"/>
      <c r="AC18" s="35"/>
      <c r="AI18" s="102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</row>
    <row r="19" spans="1:58" ht="13.8" x14ac:dyDescent="0.25">
      <c r="B19" s="60" t="str">
        <f>S96</f>
        <v>INDDEMOTH_N_AD</v>
      </c>
      <c r="C19" s="60" t="str">
        <f>T96</f>
        <v>Other Industry Demand Technology_N_AD</v>
      </c>
      <c r="D19" s="36" t="s">
        <v>286</v>
      </c>
      <c r="E19" s="36"/>
      <c r="F19" s="123">
        <f>G19</f>
        <v>2035</v>
      </c>
      <c r="G19" s="124">
        <f>G14+10</f>
        <v>2035</v>
      </c>
      <c r="H19" s="125">
        <f>H9*$M$19</f>
        <v>0.27549999999999997</v>
      </c>
      <c r="I19" s="126">
        <v>1.8319125230001425</v>
      </c>
      <c r="J19" s="127"/>
      <c r="K19" s="127">
        <v>30</v>
      </c>
      <c r="M19" s="135">
        <v>0.95</v>
      </c>
      <c r="R19" s="37"/>
      <c r="S19" s="37" t="str">
        <f>"INDOTHSTM"&amp;RIGHT(Commodities!$D$18,6)&amp;"_"&amp;AA19</f>
        <v>INDOTHSTMOILDSL_ST</v>
      </c>
      <c r="T19" s="37" t="str">
        <f>"Steam Boiler INDOTH Diesel"&amp;"_"&amp;$S$5&amp;"_"&amp;AA19</f>
        <v>Steam Boiler INDOTH Diesel_N_ST</v>
      </c>
      <c r="U19" s="37" t="s">
        <v>206</v>
      </c>
      <c r="V19" s="37" t="s">
        <v>224</v>
      </c>
      <c r="W19" s="37"/>
      <c r="X19" s="37"/>
      <c r="Y19" s="37"/>
      <c r="AA19" s="72" t="s">
        <v>274</v>
      </c>
      <c r="AG19" s="72"/>
      <c r="AH19" s="72"/>
      <c r="AI19" s="102"/>
      <c r="AJ19" s="72"/>
      <c r="AK19" s="72"/>
      <c r="AL19" s="72"/>
      <c r="AM19" s="72"/>
      <c r="AN19" s="72"/>
      <c r="AO19" s="72"/>
      <c r="AQ19" s="72"/>
      <c r="AS19" s="72"/>
      <c r="AT19" s="72"/>
    </row>
    <row r="20" spans="1:58" ht="13.8" x14ac:dyDescent="0.25">
      <c r="B20" s="36"/>
      <c r="C20" s="128"/>
      <c r="D20" s="36" t="s">
        <v>267</v>
      </c>
      <c r="E20" s="36"/>
      <c r="F20" s="123">
        <f>F19</f>
        <v>2035</v>
      </c>
      <c r="G20" s="129"/>
      <c r="H20" s="97">
        <f t="shared" ref="H20:H22" si="2">H10*$M$19</f>
        <v>8.5499999999999993E-2</v>
      </c>
      <c r="I20" s="72"/>
      <c r="J20" s="72"/>
      <c r="K20" s="72"/>
      <c r="R20" s="37"/>
      <c r="S20" s="37" t="str">
        <f>"INDOTHSTM"&amp;RIGHT(Commodities!$D$18,6)&amp;"_"&amp;AA20</f>
        <v>INDOTHSTMOILDSL_IM</v>
      </c>
      <c r="T20" s="37" t="str">
        <f>"Steam Boiler INDOTH Diesel"&amp;"_"&amp;$S$5&amp;"_"&amp;AA20</f>
        <v>Steam Boiler INDOTH Diesel_N_IM</v>
      </c>
      <c r="U20" s="37" t="s">
        <v>206</v>
      </c>
      <c r="V20" s="37" t="s">
        <v>224</v>
      </c>
      <c r="W20" s="37"/>
      <c r="X20" s="37"/>
      <c r="Y20" s="37"/>
      <c r="AA20" s="72" t="s">
        <v>275</v>
      </c>
      <c r="AG20" s="72"/>
      <c r="AH20" s="72"/>
      <c r="AI20" s="102"/>
      <c r="AJ20" s="72"/>
      <c r="AK20" s="72"/>
      <c r="AL20" s="72"/>
      <c r="AM20" s="72"/>
      <c r="AN20" s="72"/>
      <c r="AO20" s="72"/>
      <c r="AQ20" s="72"/>
      <c r="AS20" s="72"/>
      <c r="AT20" s="72"/>
    </row>
    <row r="21" spans="1:58" ht="13.8" x14ac:dyDescent="0.25">
      <c r="B21" s="36"/>
      <c r="C21" s="128"/>
      <c r="D21" s="36" t="s">
        <v>269</v>
      </c>
      <c r="E21" s="36"/>
      <c r="F21" s="123">
        <f>F19</f>
        <v>2035</v>
      </c>
      <c r="G21" s="129"/>
      <c r="H21" s="97">
        <f t="shared" si="2"/>
        <v>0.48449999999999999</v>
      </c>
      <c r="I21" s="72"/>
      <c r="J21" s="72"/>
      <c r="K21" s="72"/>
      <c r="R21" s="37"/>
      <c r="S21" s="37" t="str">
        <f>"INDOTHSTM"&amp;RIGHT(Commodities!$D$18,6)&amp;"_"&amp;AA21</f>
        <v>INDOTHSTMOILDSL_AD</v>
      </c>
      <c r="T21" s="37" t="str">
        <f>"Steam Boiler INDOTH Diesel"&amp;"_"&amp;$S$5&amp;"_"&amp;AA21</f>
        <v>Steam Boiler INDOTH Diesel_N_AD</v>
      </c>
      <c r="U21" s="37" t="s">
        <v>206</v>
      </c>
      <c r="V21" s="37" t="s">
        <v>224</v>
      </c>
      <c r="W21" s="37"/>
      <c r="X21" s="37"/>
      <c r="Y21" s="37"/>
      <c r="AA21" s="72" t="s">
        <v>276</v>
      </c>
      <c r="AG21" s="72"/>
      <c r="AH21" s="72"/>
      <c r="AI21" s="102"/>
      <c r="AJ21" s="72"/>
      <c r="AK21" s="72"/>
      <c r="AL21" s="72"/>
      <c r="AM21" s="72"/>
      <c r="AN21" s="72"/>
      <c r="AO21" s="72"/>
      <c r="AQ21" s="72"/>
      <c r="AS21" s="72"/>
      <c r="AT21" s="72"/>
    </row>
    <row r="22" spans="1:58" ht="13.8" x14ac:dyDescent="0.25">
      <c r="B22" s="36"/>
      <c r="C22" s="128"/>
      <c r="D22" s="36" t="s">
        <v>271</v>
      </c>
      <c r="E22" s="36"/>
      <c r="F22" s="123">
        <f>F19</f>
        <v>2035</v>
      </c>
      <c r="G22" s="129"/>
      <c r="H22" s="97">
        <f t="shared" si="2"/>
        <v>0.1045</v>
      </c>
      <c r="I22" s="72"/>
      <c r="J22" s="72"/>
      <c r="K22" s="72"/>
      <c r="R22" s="37"/>
      <c r="S22" s="37" t="str">
        <f>"INDOTHSTM"&amp;RIGHT(Commodities!$D$22,6)&amp;"_"&amp;AA22</f>
        <v>INDOTHSTMOILHFO_ST</v>
      </c>
      <c r="T22" s="37" t="str">
        <f>"Steam Boiler INDOTH HFO"&amp;"_"&amp;$S$5&amp;"_"&amp;AA22</f>
        <v>Steam Boiler INDOTH HFO_N_ST</v>
      </c>
      <c r="U22" s="37" t="s">
        <v>206</v>
      </c>
      <c r="V22" s="37" t="s">
        <v>224</v>
      </c>
      <c r="W22" s="37"/>
      <c r="X22" s="37"/>
      <c r="Y22" s="37"/>
      <c r="AA22" s="72" t="s">
        <v>274</v>
      </c>
      <c r="AG22" s="72"/>
      <c r="AH22" s="72"/>
      <c r="AI22" s="10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</row>
    <row r="23" spans="1:58" ht="13.8" x14ac:dyDescent="0.25">
      <c r="B23" s="67"/>
      <c r="C23" s="131"/>
      <c r="D23" s="131"/>
      <c r="E23" s="131" t="s">
        <v>258</v>
      </c>
      <c r="F23" s="132">
        <f>F19</f>
        <v>2035</v>
      </c>
      <c r="G23" s="133"/>
      <c r="H23" s="98"/>
      <c r="I23" s="98"/>
      <c r="J23" s="98"/>
      <c r="K23" s="98"/>
      <c r="R23" s="37"/>
      <c r="S23" s="37" t="str">
        <f>"INDOTHSTM"&amp;RIGHT(Commodities!$D$22,6)&amp;"_"&amp;AA23</f>
        <v>INDOTHSTMOILHFO_IM</v>
      </c>
      <c r="T23" s="37" t="str">
        <f t="shared" ref="T23:T24" si="3">"Steam Boiler INDOTH HFO"&amp;"_"&amp;$S$5&amp;"_"&amp;AA23</f>
        <v>Steam Boiler INDOTH HFO_N_IM</v>
      </c>
      <c r="U23" s="37" t="s">
        <v>206</v>
      </c>
      <c r="V23" s="37" t="s">
        <v>224</v>
      </c>
      <c r="W23" s="37"/>
      <c r="X23" s="37"/>
      <c r="Y23" s="37"/>
      <c r="AA23" s="72" t="s">
        <v>275</v>
      </c>
      <c r="AG23" s="72"/>
      <c r="AH23" s="72"/>
      <c r="AI23" s="10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</row>
    <row r="24" spans="1:58" ht="13.8" x14ac:dyDescent="0.25">
      <c r="R24" s="37"/>
      <c r="S24" s="37" t="str">
        <f>"INDOTHSTM"&amp;RIGHT(Commodities!$D$22,6)&amp;"_"&amp;AA24</f>
        <v>INDOTHSTMOILHFO_AD</v>
      </c>
      <c r="T24" s="37" t="str">
        <f t="shared" si="3"/>
        <v>Steam Boiler INDOTH HFO_N_AD</v>
      </c>
      <c r="U24" s="37" t="s">
        <v>206</v>
      </c>
      <c r="V24" s="37" t="s">
        <v>224</v>
      </c>
      <c r="W24" s="37"/>
      <c r="X24" s="37"/>
      <c r="Y24" s="37"/>
      <c r="AA24" s="72" t="s">
        <v>276</v>
      </c>
      <c r="AG24" s="72"/>
      <c r="AH24" s="72"/>
      <c r="AI24" s="10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</row>
    <row r="25" spans="1:58" ht="13.8" x14ac:dyDescent="0.25">
      <c r="R25" s="37"/>
      <c r="S25" s="37" t="str">
        <f>"INDOTHSTM"&amp;RIGHT(Commodities!$D$27,6)&amp;"_"&amp;AA25</f>
        <v>INDOTHSTMOILPCK_ST</v>
      </c>
      <c r="T25" s="37" t="str">
        <f>"Steam Boiler INDOTH PetCoke"&amp;"_"&amp;$S$5&amp;"_"&amp;AA25</f>
        <v>Steam Boiler INDOTH PetCoke_N_ST</v>
      </c>
      <c r="U25" s="37" t="s">
        <v>206</v>
      </c>
      <c r="V25" s="37" t="s">
        <v>224</v>
      </c>
      <c r="W25" s="37"/>
      <c r="X25" s="37"/>
      <c r="Y25" s="37"/>
      <c r="AA25" s="72" t="s">
        <v>274</v>
      </c>
      <c r="AG25" s="72"/>
      <c r="AH25" s="72"/>
      <c r="AI25" s="102"/>
      <c r="AJ25" s="72"/>
      <c r="AK25" s="72"/>
      <c r="AL25" s="72"/>
      <c r="AM25" s="72"/>
      <c r="AN25" s="72"/>
      <c r="AO25" s="72"/>
      <c r="AQ25" s="72"/>
      <c r="AS25" s="72"/>
      <c r="AT25" s="72"/>
    </row>
    <row r="26" spans="1:58" ht="13.8" x14ac:dyDescent="0.25">
      <c r="R26" s="37"/>
      <c r="S26" s="37" t="str">
        <f>"INDOTHSTM"&amp;RIGHT(Commodities!$D$27,6)&amp;"_"&amp;AA26</f>
        <v>INDOTHSTMOILPCK_IM</v>
      </c>
      <c r="T26" s="37" t="str">
        <f t="shared" ref="T26:T27" si="4">"Steam Boiler INDOTH PetCoke"&amp;"_"&amp;$S$5&amp;"_"&amp;AA26</f>
        <v>Steam Boiler INDOTH PetCoke_N_IM</v>
      </c>
      <c r="U26" s="37" t="s">
        <v>206</v>
      </c>
      <c r="V26" s="37" t="s">
        <v>224</v>
      </c>
      <c r="W26" s="37"/>
      <c r="X26" s="37"/>
      <c r="Y26" s="37"/>
      <c r="AA26" s="72" t="s">
        <v>275</v>
      </c>
      <c r="AG26" s="72"/>
      <c r="AH26" s="72"/>
      <c r="AI26" s="102"/>
      <c r="AJ26" s="72"/>
      <c r="AK26" s="72"/>
      <c r="AL26" s="72"/>
      <c r="AM26" s="72"/>
      <c r="AN26" s="72"/>
      <c r="AO26" s="72"/>
      <c r="AQ26" s="72"/>
      <c r="AS26" s="72"/>
      <c r="AT26" s="72"/>
    </row>
    <row r="27" spans="1:58" ht="13.8" x14ac:dyDescent="0.25">
      <c r="R27" s="37"/>
      <c r="S27" s="37" t="str">
        <f>"INDOTHSTM"&amp;RIGHT(Commodities!$D$27,6)&amp;"_"&amp;AA27</f>
        <v>INDOTHSTMOILPCK_AD</v>
      </c>
      <c r="T27" s="37" t="str">
        <f t="shared" si="4"/>
        <v>Steam Boiler INDOTH PetCoke_N_AD</v>
      </c>
      <c r="U27" s="37" t="s">
        <v>206</v>
      </c>
      <c r="V27" s="37" t="s">
        <v>224</v>
      </c>
      <c r="W27" s="37"/>
      <c r="X27" s="37"/>
      <c r="Y27" s="37"/>
      <c r="AA27" s="72" t="s">
        <v>276</v>
      </c>
      <c r="AG27" s="72"/>
      <c r="AH27" s="72"/>
      <c r="AI27" s="102"/>
      <c r="AJ27" s="72"/>
      <c r="AK27" s="72"/>
      <c r="AL27" s="72"/>
      <c r="AM27" s="72"/>
      <c r="AN27" s="72"/>
      <c r="AO27" s="72"/>
      <c r="AQ27" s="72"/>
      <c r="AS27" s="72"/>
      <c r="AT27" s="72"/>
    </row>
    <row r="28" spans="1:58" ht="15.75" customHeight="1" x14ac:dyDescent="0.25">
      <c r="R28" s="37"/>
      <c r="S28" s="37" t="str">
        <f>"INDOTHSTM"&amp;RIGHT(Commodities!$D$30,6)&amp;"_"&amp;AA28</f>
        <v>INDOTHSTMOILOTH_ST</v>
      </c>
      <c r="T28" s="37" t="str">
        <f>"Steam Boiler INDOTH Other Oil Products"&amp;"_"&amp;$S$5&amp;"_"&amp;AA28</f>
        <v>Steam Boiler INDOTH Other Oil Products_N_ST</v>
      </c>
      <c r="U28" s="37" t="s">
        <v>206</v>
      </c>
      <c r="V28" s="37" t="s">
        <v>224</v>
      </c>
      <c r="W28" s="37"/>
      <c r="X28" s="37"/>
      <c r="Y28" s="37"/>
      <c r="AA28" s="72" t="s">
        <v>274</v>
      </c>
      <c r="AG28" s="72"/>
      <c r="AH28" s="72"/>
      <c r="AI28" s="102"/>
      <c r="AJ28" s="72"/>
      <c r="AK28" s="72"/>
      <c r="AL28" s="72"/>
      <c r="AM28" s="72"/>
      <c r="AN28" s="72"/>
      <c r="AO28" s="72"/>
      <c r="AQ28" s="72"/>
      <c r="AS28" s="72"/>
      <c r="AT28" s="72"/>
    </row>
    <row r="29" spans="1:58" ht="15.75" customHeight="1" x14ac:dyDescent="0.25">
      <c r="A29" s="72"/>
      <c r="B29" s="37"/>
      <c r="C29" s="37"/>
      <c r="D29" s="37"/>
      <c r="E29" s="136" t="s">
        <v>295</v>
      </c>
      <c r="F29" s="137" t="s">
        <v>0</v>
      </c>
      <c r="G29" s="138" t="s">
        <v>295</v>
      </c>
      <c r="H29" s="138" t="s">
        <v>295</v>
      </c>
      <c r="I29" s="138" t="s">
        <v>295</v>
      </c>
      <c r="J29" s="37"/>
      <c r="K29" s="37"/>
      <c r="L29" s="72"/>
      <c r="M29" s="72"/>
      <c r="R29" s="37"/>
      <c r="S29" s="37" t="str">
        <f>"INDOTHSTM"&amp;RIGHT(Commodities!$D$30,6)&amp;"_"&amp;AA29</f>
        <v>INDOTHSTMOILOTH_IM</v>
      </c>
      <c r="T29" s="37" t="str">
        <f t="shared" ref="T29:T30" si="5">"Steam Boiler INDOTH Other Oil Products"&amp;"_"&amp;$S$5&amp;"_"&amp;AA29</f>
        <v>Steam Boiler INDOTH Other Oil Products_N_IM</v>
      </c>
      <c r="U29" s="37" t="s">
        <v>206</v>
      </c>
      <c r="V29" s="37" t="s">
        <v>224</v>
      </c>
      <c r="W29" s="37"/>
      <c r="X29" s="37"/>
      <c r="Y29" s="37"/>
      <c r="AA29" s="72" t="s">
        <v>275</v>
      </c>
      <c r="AG29" s="72"/>
      <c r="AH29" s="72"/>
      <c r="AI29" s="102"/>
      <c r="AJ29" s="72"/>
      <c r="AK29" s="72"/>
      <c r="AL29" s="72"/>
      <c r="AM29" s="72"/>
      <c r="AN29" s="72"/>
      <c r="AO29" s="72"/>
      <c r="AQ29" s="72"/>
      <c r="AS29" s="72"/>
      <c r="AT29" s="72"/>
    </row>
    <row r="30" spans="1:58" ht="15.75" customHeight="1" x14ac:dyDescent="0.25">
      <c r="A30" s="72"/>
      <c r="B30" s="45" t="s">
        <v>1</v>
      </c>
      <c r="C30" s="45" t="s">
        <v>227</v>
      </c>
      <c r="D30" s="45" t="s">
        <v>3</v>
      </c>
      <c r="E30" s="45" t="s">
        <v>4</v>
      </c>
      <c r="F30" s="46" t="s">
        <v>233</v>
      </c>
      <c r="G30" s="45" t="s">
        <v>14</v>
      </c>
      <c r="H30" s="139" t="s">
        <v>250</v>
      </c>
      <c r="I30" s="79" t="s">
        <v>36</v>
      </c>
      <c r="J30" s="49" t="s">
        <v>5</v>
      </c>
      <c r="K30" s="49" t="s">
        <v>48</v>
      </c>
      <c r="L30" s="46" t="s">
        <v>296</v>
      </c>
      <c r="M30" s="46" t="s">
        <v>297</v>
      </c>
      <c r="R30" s="37"/>
      <c r="S30" s="37" t="str">
        <f>"INDOTHSTM"&amp;RIGHT(Commodities!$D$30,6)&amp;"_"&amp;AA30</f>
        <v>INDOTHSTMOILOTH_AD</v>
      </c>
      <c r="T30" s="37" t="str">
        <f t="shared" si="5"/>
        <v>Steam Boiler INDOTH Other Oil Products_N_AD</v>
      </c>
      <c r="U30" s="37" t="s">
        <v>206</v>
      </c>
      <c r="V30" s="37" t="s">
        <v>224</v>
      </c>
      <c r="W30" s="37"/>
      <c r="X30" s="37"/>
      <c r="Y30" s="37"/>
      <c r="AA30" s="72" t="s">
        <v>276</v>
      </c>
      <c r="AG30" s="72"/>
      <c r="AH30" s="72"/>
      <c r="AI30" s="102"/>
      <c r="AJ30" s="72"/>
      <c r="AK30" s="72"/>
      <c r="AL30" s="72"/>
      <c r="AM30" s="72"/>
      <c r="AN30" s="72"/>
      <c r="AO30" s="72"/>
      <c r="AQ30" s="72"/>
      <c r="AS30" s="72"/>
      <c r="AT30" s="72"/>
    </row>
    <row r="31" spans="1:58" ht="14.4" thickBot="1" x14ac:dyDescent="0.3">
      <c r="A31" s="72"/>
      <c r="B31" s="54" t="s">
        <v>280</v>
      </c>
      <c r="C31" s="54" t="s">
        <v>28</v>
      </c>
      <c r="D31" s="54" t="s">
        <v>32</v>
      </c>
      <c r="E31" s="54" t="s">
        <v>33</v>
      </c>
      <c r="F31" s="54"/>
      <c r="G31" s="84" t="s">
        <v>35</v>
      </c>
      <c r="H31" s="84"/>
      <c r="I31" s="84" t="s">
        <v>37</v>
      </c>
      <c r="J31" s="54" t="s">
        <v>38</v>
      </c>
      <c r="K31" s="54" t="s">
        <v>218</v>
      </c>
      <c r="L31" s="54"/>
      <c r="M31" s="54"/>
      <c r="R31" s="37"/>
      <c r="S31" s="37" t="str">
        <f>"INDOTHSTM"&amp;RIGHT(Commodities!$D$33,6)&amp;"_"&amp;AA31</f>
        <v>INDOTHSTMGASNAT_ST</v>
      </c>
      <c r="T31" s="37" t="str">
        <f>"Steam Boiler INDOTH N. Gas"&amp;"_"&amp;$S$5&amp;"_"&amp;AA31</f>
        <v>Steam Boiler INDOTH N. Gas_N_ST</v>
      </c>
      <c r="U31" s="37" t="s">
        <v>206</v>
      </c>
      <c r="V31" s="37" t="s">
        <v>224</v>
      </c>
      <c r="W31" s="37"/>
      <c r="X31" s="37"/>
      <c r="Y31" s="37"/>
      <c r="AA31" s="72" t="s">
        <v>274</v>
      </c>
      <c r="AG31" s="72"/>
      <c r="AH31" s="72"/>
      <c r="AI31" s="10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58" ht="13.8" x14ac:dyDescent="0.25">
      <c r="A32" s="72"/>
      <c r="B32" s="89" t="s">
        <v>281</v>
      </c>
      <c r="C32" s="90"/>
      <c r="D32" s="90"/>
      <c r="E32" s="90"/>
      <c r="F32" s="90"/>
      <c r="G32" s="90"/>
      <c r="H32" s="90"/>
      <c r="I32" s="90" t="s">
        <v>447</v>
      </c>
      <c r="J32" s="90" t="s">
        <v>447</v>
      </c>
      <c r="K32" s="90" t="s">
        <v>40</v>
      </c>
      <c r="L32" s="90"/>
      <c r="M32" s="90"/>
      <c r="R32" s="37"/>
      <c r="S32" s="37" t="str">
        <f>"INDOTHSTM"&amp;RIGHT(Commodities!$D$33,6)&amp;"_"&amp;AA32</f>
        <v>INDOTHSTMGASNAT_IM</v>
      </c>
      <c r="T32" s="37" t="str">
        <f t="shared" ref="T32:T33" si="6">"Steam Boiler INDOTH N. Gas"&amp;"_"&amp;$S$5&amp;"_"&amp;AA32</f>
        <v>Steam Boiler INDOTH N. Gas_N_IM</v>
      </c>
      <c r="U32" s="37" t="s">
        <v>206</v>
      </c>
      <c r="V32" s="37" t="s">
        <v>224</v>
      </c>
      <c r="W32" s="37"/>
      <c r="X32" s="37"/>
      <c r="Y32" s="37"/>
      <c r="AA32" s="72" t="s">
        <v>275</v>
      </c>
      <c r="AG32" s="72"/>
      <c r="AH32" s="72"/>
      <c r="AI32" s="10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</row>
    <row r="33" spans="1:46" ht="13.8" x14ac:dyDescent="0.25">
      <c r="A33" s="72"/>
      <c r="B33" s="37" t="str">
        <f>S10</f>
        <v>INDOTHSTMCOASUB_ST</v>
      </c>
      <c r="C33" s="37" t="str">
        <f>T10</f>
        <v>Steam Boiler INDOTH Sub-bituminous_N_ST</v>
      </c>
      <c r="D33" s="72" t="s">
        <v>426</v>
      </c>
      <c r="E33" s="72" t="s">
        <v>286</v>
      </c>
      <c r="F33" s="94">
        <f>G33</f>
        <v>2018</v>
      </c>
      <c r="G33" s="72">
        <v>2018</v>
      </c>
      <c r="H33" s="140">
        <f>O33</f>
        <v>1.4285714285714286</v>
      </c>
      <c r="I33" s="95">
        <v>585.16800000000001</v>
      </c>
      <c r="J33" s="95">
        <f t="shared" ref="J33:J41" si="7">53.92656*(1/0.9)</f>
        <v>59.918400000000005</v>
      </c>
      <c r="K33" s="141">
        <v>30</v>
      </c>
      <c r="L33" s="141">
        <v>31.536000000000001</v>
      </c>
      <c r="M33" s="141">
        <v>0.8</v>
      </c>
      <c r="O33" s="142">
        <v>1.4285714285714286</v>
      </c>
      <c r="R33" s="37"/>
      <c r="S33" s="37" t="str">
        <f>"INDOTHSTM"&amp;RIGHT(Commodities!$D$33,6)&amp;"_"&amp;AA33</f>
        <v>INDOTHSTMGASNAT_AD</v>
      </c>
      <c r="T33" s="37" t="str">
        <f t="shared" si="6"/>
        <v>Steam Boiler INDOTH N. Gas_N_AD</v>
      </c>
      <c r="U33" s="37" t="s">
        <v>206</v>
      </c>
      <c r="V33" s="37" t="s">
        <v>224</v>
      </c>
      <c r="W33" s="37"/>
      <c r="X33" s="37"/>
      <c r="Y33" s="37"/>
      <c r="AA33" s="72" t="s">
        <v>276</v>
      </c>
      <c r="AG33" s="72"/>
      <c r="AH33" s="72"/>
      <c r="AI33" s="10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</row>
    <row r="34" spans="1:46" ht="13.8" x14ac:dyDescent="0.25">
      <c r="A34" s="72"/>
      <c r="B34" s="37" t="str">
        <f t="shared" ref="B34:C62" si="8">S11</f>
        <v>INDOTHSTMCOASUB_IM</v>
      </c>
      <c r="C34" s="37" t="str">
        <f t="shared" si="8"/>
        <v>Steam Boiler INDOTH Sub-bituminous_N_IM</v>
      </c>
      <c r="D34" s="72" t="str">
        <f>D33</f>
        <v>INDCOASUB</v>
      </c>
      <c r="E34" s="72" t="str">
        <f>E33</f>
        <v>INDOTHSTM</v>
      </c>
      <c r="F34" s="94">
        <f t="shared" ref="F34:F62" si="9">G34</f>
        <v>2025</v>
      </c>
      <c r="G34" s="72">
        <f>G33+7</f>
        <v>2025</v>
      </c>
      <c r="H34" s="140">
        <f>H33*0.95</f>
        <v>1.3571428571428572</v>
      </c>
      <c r="I34" s="95">
        <v>834.85620559148049</v>
      </c>
      <c r="J34" s="95">
        <f t="shared" si="7"/>
        <v>59.918400000000005</v>
      </c>
      <c r="K34" s="141">
        <v>30</v>
      </c>
      <c r="L34" s="141">
        <v>31.536000000000001</v>
      </c>
      <c r="M34" s="141">
        <v>0.8</v>
      </c>
      <c r="O34" s="142">
        <v>1.4285714285714286</v>
      </c>
      <c r="R34" s="37"/>
      <c r="S34" s="37" t="str">
        <f>"INDOTHSTM"&amp;RIGHT(Commodities!$D$35,6)&amp;"_"&amp;AA34</f>
        <v>INDOTHSTMBIOLOG_ST</v>
      </c>
      <c r="T34" s="37" t="str">
        <f>"Steam Boiler INDOTH Biomass"&amp;"_"&amp;$S$5&amp;"_"&amp;AA34</f>
        <v>Steam Boiler INDOTH Biomass_N_ST</v>
      </c>
      <c r="U34" s="37" t="s">
        <v>206</v>
      </c>
      <c r="V34" s="37" t="s">
        <v>224</v>
      </c>
      <c r="W34" s="37"/>
      <c r="X34" s="37"/>
      <c r="Y34" s="37"/>
      <c r="AA34" s="72" t="s">
        <v>274</v>
      </c>
      <c r="AG34" s="72"/>
      <c r="AH34" s="72"/>
      <c r="AI34" s="102"/>
      <c r="AJ34" s="72"/>
      <c r="AK34" s="72"/>
      <c r="AL34" s="72"/>
      <c r="AM34" s="72"/>
      <c r="AN34" s="72"/>
      <c r="AO34" s="72"/>
      <c r="AQ34" s="72"/>
      <c r="AS34" s="72"/>
    </row>
    <row r="35" spans="1:46" ht="13.8" x14ac:dyDescent="0.25">
      <c r="A35" s="72"/>
      <c r="B35" s="98" t="str">
        <f t="shared" si="8"/>
        <v>INDOTHSTMCOASUB_AD</v>
      </c>
      <c r="C35" s="98" t="str">
        <f t="shared" si="8"/>
        <v>Steam Boiler INDOTH Sub-bituminous_N_AD</v>
      </c>
      <c r="D35" s="98" t="str">
        <f>D34</f>
        <v>INDCOASUB</v>
      </c>
      <c r="E35" s="98" t="str">
        <f>E33</f>
        <v>INDOTHSTM</v>
      </c>
      <c r="F35" s="99">
        <f t="shared" si="9"/>
        <v>2035</v>
      </c>
      <c r="G35" s="98">
        <f>G34+10</f>
        <v>2035</v>
      </c>
      <c r="H35" s="143">
        <f>H33*0.85</f>
        <v>1.2142857142857142</v>
      </c>
      <c r="I35" s="144">
        <v>1071.9765872589473</v>
      </c>
      <c r="J35" s="144">
        <f t="shared" si="7"/>
        <v>59.918400000000005</v>
      </c>
      <c r="K35" s="145">
        <v>30</v>
      </c>
      <c r="L35" s="145">
        <v>31.536000000000001</v>
      </c>
      <c r="M35" s="145">
        <v>0.8</v>
      </c>
      <c r="O35" s="142">
        <v>1.4285714285714286</v>
      </c>
      <c r="R35" s="37"/>
      <c r="S35" s="37" t="str">
        <f>"INDOTHSTM"&amp;RIGHT(Commodities!$D$35,6)&amp;"_"&amp;AA35</f>
        <v>INDOTHSTMBIOLOG_IM</v>
      </c>
      <c r="T35" s="37" t="str">
        <f t="shared" ref="T35:T36" si="10">"Steam Boiler INDOTH Biomass"&amp;"_"&amp;$S$5&amp;"_"&amp;AA35</f>
        <v>Steam Boiler INDOTH Biomass_N_IM</v>
      </c>
      <c r="U35" s="37" t="s">
        <v>206</v>
      </c>
      <c r="V35" s="37" t="s">
        <v>224</v>
      </c>
      <c r="W35" s="37"/>
      <c r="X35" s="37"/>
      <c r="Y35" s="37"/>
      <c r="AA35" s="72" t="s">
        <v>275</v>
      </c>
      <c r="AG35" s="72"/>
      <c r="AH35" s="72"/>
      <c r="AI35" s="102"/>
      <c r="AJ35" s="72"/>
      <c r="AK35" s="72"/>
      <c r="AL35" s="72"/>
      <c r="AM35" s="72"/>
      <c r="AN35" s="72"/>
      <c r="AO35" s="72"/>
      <c r="AQ35" s="72"/>
      <c r="AS35" s="72"/>
    </row>
    <row r="36" spans="1:46" ht="13.8" x14ac:dyDescent="0.25">
      <c r="A36" s="72"/>
      <c r="B36" s="37" t="str">
        <f t="shared" si="8"/>
        <v>INDOTHSTMCOABIC_ST</v>
      </c>
      <c r="C36" s="37" t="str">
        <f t="shared" si="8"/>
        <v>Steam Boiler INDOTH Bituminous_N_ST</v>
      </c>
      <c r="D36" s="72" t="s">
        <v>141</v>
      </c>
      <c r="E36" s="72" t="s">
        <v>286</v>
      </c>
      <c r="F36" s="94">
        <f>G36</f>
        <v>2018</v>
      </c>
      <c r="G36" s="72">
        <v>2018</v>
      </c>
      <c r="H36" s="140">
        <f>O34</f>
        <v>1.4285714285714286</v>
      </c>
      <c r="I36" s="95">
        <v>585.16800000000001</v>
      </c>
      <c r="J36" s="95">
        <f t="shared" si="7"/>
        <v>59.918400000000005</v>
      </c>
      <c r="K36" s="141">
        <v>30</v>
      </c>
      <c r="L36" s="141">
        <v>31.536000000000001</v>
      </c>
      <c r="M36" s="141">
        <v>0.8</v>
      </c>
      <c r="O36" s="142">
        <v>1.2820512820512819</v>
      </c>
      <c r="R36" s="37"/>
      <c r="S36" s="37" t="str">
        <f>"INDOTHSTM"&amp;RIGHT(Commodities!$D$35,6)&amp;"_"&amp;AA36</f>
        <v>INDOTHSTMBIOLOG_AD</v>
      </c>
      <c r="T36" s="37" t="str">
        <f t="shared" si="10"/>
        <v>Steam Boiler INDOTH Biomass_N_AD</v>
      </c>
      <c r="U36" s="37" t="s">
        <v>206</v>
      </c>
      <c r="V36" s="37" t="s">
        <v>224</v>
      </c>
      <c r="W36" s="37"/>
      <c r="X36" s="37"/>
      <c r="Y36" s="37"/>
      <c r="AA36" s="72" t="s">
        <v>276</v>
      </c>
      <c r="AG36" s="72"/>
      <c r="AH36" s="72"/>
      <c r="AI36" s="102"/>
      <c r="AJ36" s="72"/>
      <c r="AK36" s="72"/>
      <c r="AL36" s="72"/>
      <c r="AM36" s="72"/>
      <c r="AN36" s="72"/>
      <c r="AO36" s="72"/>
      <c r="AQ36" s="72"/>
      <c r="AS36" s="72"/>
    </row>
    <row r="37" spans="1:46" ht="13.8" x14ac:dyDescent="0.25">
      <c r="A37" s="72"/>
      <c r="B37" s="37" t="str">
        <f t="shared" si="8"/>
        <v>INDOTHSTMCOABIC_IM</v>
      </c>
      <c r="C37" s="37" t="str">
        <f t="shared" si="8"/>
        <v>Steam Boiler INDOTH Bituminous_N_IM</v>
      </c>
      <c r="D37" s="72" t="str">
        <f>D36</f>
        <v>INDCOABIC</v>
      </c>
      <c r="E37" s="72" t="str">
        <f>E36</f>
        <v>INDOTHSTM</v>
      </c>
      <c r="F37" s="94">
        <f t="shared" si="9"/>
        <v>2025</v>
      </c>
      <c r="G37" s="72">
        <f>G36+7</f>
        <v>2025</v>
      </c>
      <c r="H37" s="140">
        <f>H36*0.95</f>
        <v>1.3571428571428572</v>
      </c>
      <c r="I37" s="95">
        <v>834.85620559148049</v>
      </c>
      <c r="J37" s="95">
        <f t="shared" si="7"/>
        <v>59.918400000000005</v>
      </c>
      <c r="K37" s="141">
        <v>30</v>
      </c>
      <c r="L37" s="141">
        <v>31.536000000000001</v>
      </c>
      <c r="M37" s="141">
        <v>0.8</v>
      </c>
      <c r="O37" s="142">
        <v>1.2820512820512819</v>
      </c>
      <c r="R37" s="37"/>
      <c r="S37" s="37" t="str">
        <f>"INDOTHSTM"&amp;RIGHT(Commodities!$D$349,3)&amp;"_"&amp;AA37</f>
        <v>INDOTHSTMHTH_ST</v>
      </c>
      <c r="T37" s="37" t="str">
        <f>"Steam Boiler INDOTH Heat"&amp;"_"&amp;$S$5&amp;"_"&amp;AA37</f>
        <v>Steam Boiler INDOTH Heat_N_ST</v>
      </c>
      <c r="U37" s="37" t="s">
        <v>206</v>
      </c>
      <c r="V37" s="37" t="s">
        <v>224</v>
      </c>
      <c r="W37" s="37"/>
      <c r="X37" s="37"/>
      <c r="Y37" s="37"/>
      <c r="AA37" s="72" t="s">
        <v>274</v>
      </c>
      <c r="AG37" s="72"/>
      <c r="AH37" s="72"/>
      <c r="AI37" s="102"/>
      <c r="AJ37" s="72"/>
      <c r="AK37" s="72"/>
      <c r="AL37" s="72"/>
      <c r="AM37" s="72"/>
      <c r="AN37" s="72"/>
      <c r="AO37" s="72"/>
      <c r="AQ37" s="72"/>
      <c r="AS37" s="72"/>
    </row>
    <row r="38" spans="1:46" ht="13.8" x14ac:dyDescent="0.25">
      <c r="A38" s="72"/>
      <c r="B38" s="98" t="str">
        <f t="shared" si="8"/>
        <v>INDOTHSTMCOABIC_AD</v>
      </c>
      <c r="C38" s="98" t="str">
        <f t="shared" si="8"/>
        <v>Steam Boiler INDOTH Bituminous_N_AD</v>
      </c>
      <c r="D38" s="98" t="str">
        <f>D37</f>
        <v>INDCOABIC</v>
      </c>
      <c r="E38" s="98" t="str">
        <f>E36</f>
        <v>INDOTHSTM</v>
      </c>
      <c r="F38" s="99">
        <f t="shared" si="9"/>
        <v>2035</v>
      </c>
      <c r="G38" s="98">
        <f>G37+10</f>
        <v>2035</v>
      </c>
      <c r="H38" s="143">
        <f>H36*0.85</f>
        <v>1.2142857142857142</v>
      </c>
      <c r="I38" s="144">
        <v>1071.9765872589473</v>
      </c>
      <c r="J38" s="144">
        <f t="shared" si="7"/>
        <v>59.918400000000005</v>
      </c>
      <c r="K38" s="145">
        <v>30</v>
      </c>
      <c r="L38" s="145">
        <v>31.536000000000001</v>
      </c>
      <c r="M38" s="145">
        <v>0.8</v>
      </c>
      <c r="O38" s="142">
        <v>1.4285714285714286</v>
      </c>
      <c r="R38" s="37"/>
      <c r="S38" s="37" t="str">
        <f>"INDOTHSTM"&amp;RIGHT(Commodities!$D$349,3)&amp;"_"&amp;AA38</f>
        <v>INDOTHSTMHTH_IM</v>
      </c>
      <c r="T38" s="37" t="str">
        <f t="shared" ref="T38:T39" si="11">"Steam Boiler INDOTH Heat"&amp;"_"&amp;$S$5&amp;"_"&amp;AA38</f>
        <v>Steam Boiler INDOTH Heat_N_IM</v>
      </c>
      <c r="U38" s="37" t="s">
        <v>206</v>
      </c>
      <c r="V38" s="37" t="s">
        <v>224</v>
      </c>
      <c r="W38" s="37"/>
      <c r="X38" s="37"/>
      <c r="Y38" s="37"/>
      <c r="AA38" s="72" t="s">
        <v>275</v>
      </c>
      <c r="AG38" s="72"/>
      <c r="AH38" s="72"/>
      <c r="AI38" s="102"/>
      <c r="AJ38" s="72"/>
      <c r="AK38" s="72"/>
      <c r="AL38" s="72"/>
      <c r="AM38" s="72"/>
      <c r="AN38" s="72"/>
      <c r="AO38" s="72"/>
      <c r="AQ38" s="72"/>
      <c r="AS38" s="72"/>
    </row>
    <row r="39" spans="1:46" ht="13.8" x14ac:dyDescent="0.25">
      <c r="A39" s="72"/>
      <c r="B39" s="37" t="str">
        <f t="shared" si="8"/>
        <v>INDOTHSTMCOABCO_ST</v>
      </c>
      <c r="C39" s="37" t="str">
        <f t="shared" si="8"/>
        <v>Steam Boiler INDOTH Lignite_N_ST</v>
      </c>
      <c r="D39" s="72" t="s">
        <v>430</v>
      </c>
      <c r="E39" s="72" t="s">
        <v>286</v>
      </c>
      <c r="F39" s="94">
        <f>G39</f>
        <v>2018</v>
      </c>
      <c r="G39" s="72">
        <v>2018</v>
      </c>
      <c r="H39" s="140">
        <f>O35</f>
        <v>1.4285714285714286</v>
      </c>
      <c r="I39" s="95">
        <v>585.16800000000001</v>
      </c>
      <c r="J39" s="95">
        <f t="shared" si="7"/>
        <v>59.918400000000005</v>
      </c>
      <c r="K39" s="141">
        <v>30</v>
      </c>
      <c r="L39" s="141">
        <v>31.536000000000001</v>
      </c>
      <c r="M39" s="141">
        <v>0.8</v>
      </c>
      <c r="O39" s="142">
        <v>1.4285714285714286</v>
      </c>
      <c r="R39" s="37"/>
      <c r="S39" s="37" t="str">
        <f>"INDOTHSTM"&amp;RIGHT(Commodities!$D$349,3)&amp;"_"&amp;AA39</f>
        <v>INDOTHSTMHTH_AD</v>
      </c>
      <c r="T39" s="37" t="str">
        <f t="shared" si="11"/>
        <v>Steam Boiler INDOTH Heat_N_AD</v>
      </c>
      <c r="U39" s="37" t="s">
        <v>206</v>
      </c>
      <c r="V39" s="37" t="s">
        <v>224</v>
      </c>
      <c r="W39" s="37"/>
      <c r="X39" s="37"/>
      <c r="Y39" s="37"/>
      <c r="AA39" s="72" t="s">
        <v>276</v>
      </c>
      <c r="AG39" s="72"/>
      <c r="AH39" s="72"/>
      <c r="AI39" s="102"/>
      <c r="AJ39" s="72"/>
      <c r="AK39" s="72"/>
      <c r="AL39" s="72"/>
      <c r="AM39" s="72"/>
      <c r="AN39" s="72"/>
      <c r="AO39" s="72"/>
      <c r="AQ39" s="72"/>
      <c r="AS39" s="72"/>
    </row>
    <row r="40" spans="1:46" ht="13.8" x14ac:dyDescent="0.25">
      <c r="A40" s="72"/>
      <c r="B40" s="37" t="str">
        <f t="shared" si="8"/>
        <v>INDOTHSTMCOABCO_IM</v>
      </c>
      <c r="C40" s="37" t="str">
        <f t="shared" si="8"/>
        <v>Steam Boiler INDOTH Lignite_N_IM</v>
      </c>
      <c r="D40" s="72" t="str">
        <f>D39</f>
        <v>INDCOABCO</v>
      </c>
      <c r="E40" s="72" t="str">
        <f>E39</f>
        <v>INDOTHSTM</v>
      </c>
      <c r="F40" s="94">
        <f t="shared" si="9"/>
        <v>2025</v>
      </c>
      <c r="G40" s="72">
        <f>G39+7</f>
        <v>2025</v>
      </c>
      <c r="H40" s="140">
        <f>H39*0.95</f>
        <v>1.3571428571428572</v>
      </c>
      <c r="I40" s="95">
        <v>834.85620559148049</v>
      </c>
      <c r="J40" s="95">
        <f t="shared" si="7"/>
        <v>59.918400000000005</v>
      </c>
      <c r="K40" s="141">
        <v>30</v>
      </c>
      <c r="L40" s="141">
        <v>31.536000000000001</v>
      </c>
      <c r="M40" s="141">
        <v>0.8</v>
      </c>
      <c r="O40" s="142">
        <v>1.25</v>
      </c>
      <c r="R40" s="37"/>
      <c r="S40" s="37" t="str">
        <f>"INDOTHSTM"&amp;RIGHT(Commodities!$D$51,6)&amp;"_"&amp;AA40</f>
        <v>INDOTHSTMBIOBGS_ST</v>
      </c>
      <c r="T40" s="37" t="str">
        <f>"Steam Boiler INDOTH Biogas"&amp;"_"&amp;$S$5&amp;"_"&amp;AA40</f>
        <v>Steam Boiler INDOTH Biogas_N_ST</v>
      </c>
      <c r="U40" s="37" t="s">
        <v>206</v>
      </c>
      <c r="V40" s="37" t="s">
        <v>224</v>
      </c>
      <c r="W40" s="37"/>
      <c r="X40" s="37"/>
      <c r="Y40" s="37"/>
      <c r="AA40" s="72" t="s">
        <v>274</v>
      </c>
      <c r="AG40" s="72"/>
      <c r="AH40" s="72"/>
      <c r="AI40" s="10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</row>
    <row r="41" spans="1:46" ht="13.8" x14ac:dyDescent="0.25">
      <c r="A41" s="72"/>
      <c r="B41" s="98" t="str">
        <f t="shared" si="8"/>
        <v>INDOTHSTMCOABCO_AD</v>
      </c>
      <c r="C41" s="98" t="str">
        <f t="shared" si="8"/>
        <v>Steam Boiler INDOTH Lignite_N_AD</v>
      </c>
      <c r="D41" s="98" t="str">
        <f>D40</f>
        <v>INDCOABCO</v>
      </c>
      <c r="E41" s="98" t="str">
        <f>E39</f>
        <v>INDOTHSTM</v>
      </c>
      <c r="F41" s="99">
        <f t="shared" si="9"/>
        <v>2035</v>
      </c>
      <c r="G41" s="98">
        <f>G40+10</f>
        <v>2035</v>
      </c>
      <c r="H41" s="143">
        <f>H39*0.85</f>
        <v>1.2142857142857142</v>
      </c>
      <c r="I41" s="144">
        <v>1071.9765872589473</v>
      </c>
      <c r="J41" s="144">
        <f t="shared" si="7"/>
        <v>59.918400000000005</v>
      </c>
      <c r="K41" s="145">
        <v>30</v>
      </c>
      <c r="L41" s="145">
        <v>31.536000000000001</v>
      </c>
      <c r="M41" s="145">
        <v>0.8</v>
      </c>
      <c r="O41" s="142">
        <v>1.4285714285714286</v>
      </c>
      <c r="R41" s="37"/>
      <c r="S41" s="37" t="str">
        <f>"INDOTHSTM"&amp;RIGHT(Commodities!$D$51,6)&amp;"_"&amp;AA41</f>
        <v>INDOTHSTMBIOBGS_IM</v>
      </c>
      <c r="T41" s="37" t="str">
        <f>"Steam Boiler INDOTH Biogas"&amp;"_"&amp;$S$5&amp;"_"&amp;AA41</f>
        <v>Steam Boiler INDOTH Biogas_N_IM</v>
      </c>
      <c r="U41" s="37" t="s">
        <v>206</v>
      </c>
      <c r="V41" s="37" t="s">
        <v>224</v>
      </c>
      <c r="W41" s="37"/>
      <c r="X41" s="37"/>
      <c r="Y41" s="37"/>
      <c r="AA41" s="72" t="s">
        <v>275</v>
      </c>
      <c r="AG41" s="72"/>
      <c r="AH41" s="72"/>
      <c r="AI41" s="10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</row>
    <row r="42" spans="1:46" ht="13.8" x14ac:dyDescent="0.25">
      <c r="A42" s="72"/>
      <c r="B42" s="37" t="str">
        <f t="shared" si="8"/>
        <v>INDOTHSTMOILDSL_ST</v>
      </c>
      <c r="C42" s="37" t="str">
        <f t="shared" si="8"/>
        <v>Steam Boiler INDOTH Diesel_N_ST</v>
      </c>
      <c r="D42" s="72" t="s">
        <v>150</v>
      </c>
      <c r="E42" s="72" t="s">
        <v>286</v>
      </c>
      <c r="F42" s="94">
        <f>G42</f>
        <v>2018</v>
      </c>
      <c r="G42" s="72">
        <v>2018</v>
      </c>
      <c r="H42" s="140">
        <f>O36</f>
        <v>1.2820512820512819</v>
      </c>
      <c r="I42" s="95">
        <v>219.17176470588223</v>
      </c>
      <c r="J42" s="95">
        <f t="shared" ref="J42:J47" si="12">12.6144*(1/0.9)</f>
        <v>14.016</v>
      </c>
      <c r="K42" s="141">
        <v>30</v>
      </c>
      <c r="L42" s="141">
        <v>31.536000000000001</v>
      </c>
      <c r="M42" s="141">
        <v>0.8</v>
      </c>
      <c r="O42" s="142">
        <v>1.2</v>
      </c>
      <c r="R42" s="37"/>
      <c r="S42" s="37" t="str">
        <f>"INDOTHSTM"&amp;RIGHT(Commodities!$D$51,6)&amp;"_"&amp;AA42</f>
        <v>INDOTHSTMBIOBGS_AD</v>
      </c>
      <c r="T42" s="37" t="str">
        <f>"Steam Boiler INDOTH Biogas"&amp;"_"&amp;$S$5&amp;"_"&amp;AA42</f>
        <v>Steam Boiler INDOTH Biogas_N_AD</v>
      </c>
      <c r="U42" s="37" t="s">
        <v>206</v>
      </c>
      <c r="V42" s="37" t="s">
        <v>224</v>
      </c>
      <c r="W42" s="37"/>
      <c r="X42" s="37"/>
      <c r="Y42" s="37"/>
      <c r="AA42" s="72" t="s">
        <v>276</v>
      </c>
      <c r="AG42" s="72"/>
      <c r="AH42" s="72"/>
      <c r="AI42" s="10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</row>
    <row r="43" spans="1:46" ht="13.8" x14ac:dyDescent="0.25">
      <c r="A43" s="72"/>
      <c r="B43" s="37" t="str">
        <f t="shared" si="8"/>
        <v>INDOTHSTMOILDSL_IM</v>
      </c>
      <c r="C43" s="37" t="str">
        <f t="shared" si="8"/>
        <v>Steam Boiler INDOTH Diesel_N_IM</v>
      </c>
      <c r="D43" s="72" t="str">
        <f>D42</f>
        <v>INDOILDSL</v>
      </c>
      <c r="E43" s="72" t="str">
        <f>E42</f>
        <v>INDOTHSTM</v>
      </c>
      <c r="F43" s="94">
        <f t="shared" si="9"/>
        <v>2025</v>
      </c>
      <c r="G43" s="72">
        <f>G42+7</f>
        <v>2025</v>
      </c>
      <c r="H43" s="140">
        <f>H42*0.95</f>
        <v>1.2179487179487178</v>
      </c>
      <c r="I43" s="95">
        <v>312.69124055850898</v>
      </c>
      <c r="J43" s="95">
        <f t="shared" si="12"/>
        <v>14.016</v>
      </c>
      <c r="K43" s="141">
        <v>30</v>
      </c>
      <c r="L43" s="141">
        <v>31.536000000000001</v>
      </c>
      <c r="M43" s="141">
        <v>0.8</v>
      </c>
      <c r="R43" s="37"/>
      <c r="S43" s="37" t="str">
        <f>"INDOTHSTM"&amp;RIGHT(Commodities!$D$340,3)&amp;"_"&amp;AA43</f>
        <v>INDOTHSTMELC_ST</v>
      </c>
      <c r="T43" s="37" t="str">
        <f>"Steam Boiler INDOTH Electricity"&amp;"_"&amp;$S$5&amp;"_"&amp;AA43</f>
        <v>Steam Boiler INDOTH Electricity_N_ST</v>
      </c>
      <c r="U43" s="37" t="s">
        <v>206</v>
      </c>
      <c r="V43" s="37" t="s">
        <v>224</v>
      </c>
      <c r="W43" s="37"/>
      <c r="X43" s="37"/>
      <c r="Y43" s="37"/>
      <c r="AA43" s="72" t="s">
        <v>274</v>
      </c>
      <c r="AG43" s="72"/>
      <c r="AH43" s="72"/>
      <c r="AI43" s="102"/>
      <c r="AJ43" s="72"/>
      <c r="AK43" s="72"/>
      <c r="AL43" s="72"/>
      <c r="AM43" s="72"/>
      <c r="AN43" s="72"/>
      <c r="AO43" s="72"/>
      <c r="AQ43" s="72"/>
      <c r="AS43" s="72"/>
      <c r="AT43" s="72"/>
    </row>
    <row r="44" spans="1:46" ht="13.8" x14ac:dyDescent="0.25">
      <c r="A44" s="72"/>
      <c r="B44" s="98" t="str">
        <f t="shared" si="8"/>
        <v>INDOTHSTMOILDSL_AD</v>
      </c>
      <c r="C44" s="98" t="str">
        <f t="shared" si="8"/>
        <v>Steam Boiler INDOTH Diesel_N_AD</v>
      </c>
      <c r="D44" s="98" t="str">
        <f>D43</f>
        <v>INDOILDSL</v>
      </c>
      <c r="E44" s="98" t="str">
        <f>E42</f>
        <v>INDOTHSTM</v>
      </c>
      <c r="F44" s="99">
        <f t="shared" si="9"/>
        <v>2035</v>
      </c>
      <c r="G44" s="98">
        <f>G43+10</f>
        <v>2035</v>
      </c>
      <c r="H44" s="143">
        <f>H42*0.85</f>
        <v>1.0897435897435896</v>
      </c>
      <c r="I44" s="144">
        <v>401.50350045274632</v>
      </c>
      <c r="J44" s="144">
        <f t="shared" si="12"/>
        <v>14.016</v>
      </c>
      <c r="K44" s="145">
        <v>30</v>
      </c>
      <c r="L44" s="145">
        <v>31.536000000000001</v>
      </c>
      <c r="M44" s="145">
        <v>0.8</v>
      </c>
      <c r="R44" s="37"/>
      <c r="S44" s="37" t="str">
        <f>"INDOTHSTM"&amp;RIGHT(Commodities!$D$340,3)&amp;"_"&amp;AA44</f>
        <v>INDOTHSTMELC_IM</v>
      </c>
      <c r="T44" s="37" t="str">
        <f>"Steam Boiler INDOTH Electricity"&amp;"_"&amp;$S$5&amp;"_"&amp;AA44</f>
        <v>Steam Boiler INDOTH Electricity_N_IM</v>
      </c>
      <c r="U44" s="37" t="s">
        <v>206</v>
      </c>
      <c r="V44" s="37" t="s">
        <v>224</v>
      </c>
      <c r="W44" s="37"/>
      <c r="X44" s="37"/>
      <c r="Y44" s="37"/>
      <c r="AA44" s="72" t="s">
        <v>275</v>
      </c>
      <c r="AG44" s="72"/>
      <c r="AH44" s="72"/>
      <c r="AI44" s="102"/>
      <c r="AJ44" s="72"/>
      <c r="AK44" s="72"/>
      <c r="AL44" s="72"/>
      <c r="AM44" s="72"/>
      <c r="AN44" s="72"/>
      <c r="AO44" s="72"/>
      <c r="AQ44" s="72"/>
      <c r="AS44" s="72"/>
      <c r="AT44" s="72"/>
    </row>
    <row r="45" spans="1:46" ht="13.8" x14ac:dyDescent="0.25">
      <c r="A45" s="72"/>
      <c r="B45" s="37" t="str">
        <f t="shared" si="8"/>
        <v>INDOTHSTMOILHFO_ST</v>
      </c>
      <c r="C45" s="37" t="str">
        <f t="shared" si="8"/>
        <v>Steam Boiler INDOTH HFO_N_ST</v>
      </c>
      <c r="D45" s="72" t="s">
        <v>265</v>
      </c>
      <c r="E45" s="72" t="s">
        <v>286</v>
      </c>
      <c r="F45" s="94">
        <f>G45</f>
        <v>2018</v>
      </c>
      <c r="G45" s="72">
        <v>2018</v>
      </c>
      <c r="H45" s="140">
        <f>O37</f>
        <v>1.2820512820512819</v>
      </c>
      <c r="I45" s="95">
        <v>219.17176470588223</v>
      </c>
      <c r="J45" s="95">
        <f t="shared" si="12"/>
        <v>14.016</v>
      </c>
      <c r="K45" s="141">
        <v>30</v>
      </c>
      <c r="L45" s="141">
        <v>31.536000000000001</v>
      </c>
      <c r="M45" s="141">
        <v>0.8</v>
      </c>
      <c r="R45" s="98"/>
      <c r="S45" s="98" t="str">
        <f>"INDOTHSTM"&amp;RIGHT(Commodities!$D$340,3)&amp;"_"&amp;AA45</f>
        <v>INDOTHSTMELC_AD</v>
      </c>
      <c r="T45" s="98" t="str">
        <f>"Steam Boiler INDOTH Electricity"&amp;"_"&amp;$S$5&amp;"_"&amp;AA45</f>
        <v>Steam Boiler INDOTH Electricity_N_AD</v>
      </c>
      <c r="U45" s="98" t="s">
        <v>206</v>
      </c>
      <c r="V45" s="98" t="s">
        <v>224</v>
      </c>
      <c r="W45" s="98"/>
      <c r="X45" s="98"/>
      <c r="Y45" s="98"/>
      <c r="AA45" s="72" t="s">
        <v>276</v>
      </c>
      <c r="AG45" s="72"/>
      <c r="AH45" s="72"/>
      <c r="AI45" s="102"/>
      <c r="AJ45" s="72"/>
      <c r="AK45" s="72"/>
      <c r="AL45" s="72"/>
      <c r="AM45" s="72"/>
      <c r="AN45" s="72"/>
      <c r="AO45" s="72"/>
      <c r="AQ45" s="72"/>
      <c r="AS45" s="72"/>
      <c r="AT45" s="72"/>
    </row>
    <row r="46" spans="1:46" ht="13.8" x14ac:dyDescent="0.25">
      <c r="A46" s="72"/>
      <c r="B46" s="37" t="str">
        <f t="shared" si="8"/>
        <v>INDOTHSTMOILHFO_IM</v>
      </c>
      <c r="C46" s="37" t="str">
        <f t="shared" si="8"/>
        <v>Steam Boiler INDOTH HFO_N_IM</v>
      </c>
      <c r="D46" s="72" t="str">
        <f>D45</f>
        <v>INDOILHFO</v>
      </c>
      <c r="E46" s="72" t="str">
        <f>E45</f>
        <v>INDOTHSTM</v>
      </c>
      <c r="F46" s="94">
        <f t="shared" si="9"/>
        <v>2025</v>
      </c>
      <c r="G46" s="72">
        <f>G45+7</f>
        <v>2025</v>
      </c>
      <c r="H46" s="140">
        <f>H45*0.95</f>
        <v>1.2179487179487178</v>
      </c>
      <c r="I46" s="95">
        <v>312.69124055850898</v>
      </c>
      <c r="J46" s="95">
        <f t="shared" si="12"/>
        <v>14.016</v>
      </c>
      <c r="K46" s="141">
        <v>30</v>
      </c>
      <c r="L46" s="141">
        <v>31.536000000000001</v>
      </c>
      <c r="M46" s="141">
        <v>0.8</v>
      </c>
      <c r="R46" s="37"/>
      <c r="S46" s="37" t="str">
        <f>"INDOTHHPR"&amp;RIGHT(Commodities!$D$7,6)&amp;"_"&amp;AA46</f>
        <v>INDOTHHPRCOASUB_ST</v>
      </c>
      <c r="T46" s="37" t="str">
        <f>"Process Heat INDOTH Sub-bituminous"&amp;"_"&amp;$S$5&amp;"_"&amp;AA46</f>
        <v>Process Heat INDOTH Sub-bituminous_N_ST</v>
      </c>
      <c r="U46" s="37" t="s">
        <v>206</v>
      </c>
      <c r="V46" s="37" t="s">
        <v>293</v>
      </c>
      <c r="W46" s="37"/>
      <c r="X46" s="37"/>
      <c r="Y46" s="37"/>
      <c r="AA46" s="72" t="s">
        <v>274</v>
      </c>
      <c r="AG46" s="72"/>
      <c r="AH46" s="72"/>
      <c r="AI46" s="102"/>
      <c r="AJ46" s="72"/>
      <c r="AK46" s="72"/>
      <c r="AL46" s="72"/>
      <c r="AM46" s="72"/>
      <c r="AN46" s="72"/>
      <c r="AO46" s="72"/>
      <c r="AQ46" s="72"/>
      <c r="AS46" s="72"/>
      <c r="AT46" s="72"/>
    </row>
    <row r="47" spans="1:46" ht="13.8" x14ac:dyDescent="0.25">
      <c r="A47" s="72"/>
      <c r="B47" s="98" t="str">
        <f t="shared" si="8"/>
        <v>INDOTHSTMOILHFO_AD</v>
      </c>
      <c r="C47" s="98" t="str">
        <f t="shared" si="8"/>
        <v>Steam Boiler INDOTH HFO_N_AD</v>
      </c>
      <c r="D47" s="98" t="str">
        <f>D46</f>
        <v>INDOILHFO</v>
      </c>
      <c r="E47" s="98" t="str">
        <f>E45</f>
        <v>INDOTHSTM</v>
      </c>
      <c r="F47" s="99">
        <f t="shared" si="9"/>
        <v>2035</v>
      </c>
      <c r="G47" s="98">
        <f>G46+10</f>
        <v>2035</v>
      </c>
      <c r="H47" s="143">
        <f>H45*0.85</f>
        <v>1.0897435897435896</v>
      </c>
      <c r="I47" s="144">
        <v>401.50350045274632</v>
      </c>
      <c r="J47" s="144">
        <f t="shared" si="12"/>
        <v>14.016</v>
      </c>
      <c r="K47" s="145">
        <v>30</v>
      </c>
      <c r="L47" s="145">
        <v>31.536000000000001</v>
      </c>
      <c r="M47" s="145">
        <v>0.8</v>
      </c>
      <c r="R47" s="37"/>
      <c r="S47" s="37" t="str">
        <f>"INDOTHHPR"&amp;RIGHT(Commodities!$D$7,6)&amp;"_"&amp;AA47</f>
        <v>INDOTHHPRCOASUB_IM</v>
      </c>
      <c r="T47" s="37" t="str">
        <f>"Process Heat INDOTH Sub-bituminous"&amp;"_"&amp;$S$5&amp;"_"&amp;AA47</f>
        <v>Process Heat INDOTH Sub-bituminous_N_IM</v>
      </c>
      <c r="U47" s="37" t="s">
        <v>206</v>
      </c>
      <c r="V47" s="37" t="s">
        <v>293</v>
      </c>
      <c r="W47" s="37"/>
      <c r="X47" s="37"/>
      <c r="Y47" s="37"/>
      <c r="AA47" s="72" t="s">
        <v>275</v>
      </c>
      <c r="AG47" s="72"/>
      <c r="AH47" s="72"/>
      <c r="AI47" s="102"/>
      <c r="AJ47" s="72"/>
      <c r="AK47" s="72"/>
      <c r="AL47" s="72"/>
      <c r="AM47" s="72"/>
      <c r="AN47" s="72"/>
      <c r="AO47" s="72"/>
      <c r="AQ47" s="72"/>
      <c r="AS47" s="72"/>
      <c r="AT47" s="72"/>
    </row>
    <row r="48" spans="1:46" ht="13.8" x14ac:dyDescent="0.25">
      <c r="A48" s="72"/>
      <c r="B48" s="37" t="str">
        <f t="shared" si="8"/>
        <v>INDOTHSTMOILPCK_ST</v>
      </c>
      <c r="C48" s="37" t="str">
        <f t="shared" si="8"/>
        <v>Steam Boiler INDOTH PetCoke_N_ST</v>
      </c>
      <c r="D48" s="72" t="s">
        <v>160</v>
      </c>
      <c r="E48" s="72" t="s">
        <v>286</v>
      </c>
      <c r="F48" s="94">
        <f>G48</f>
        <v>2100</v>
      </c>
      <c r="G48" s="72">
        <v>2100</v>
      </c>
      <c r="H48" s="140">
        <f>O38</f>
        <v>1.4285714285714286</v>
      </c>
      <c r="I48" s="95">
        <v>585.16800000000001</v>
      </c>
      <c r="J48" s="95">
        <f>53.92656*(1/0.9)</f>
        <v>59.918400000000005</v>
      </c>
      <c r="K48" s="141">
        <v>30</v>
      </c>
      <c r="L48" s="141">
        <v>31.536000000000001</v>
      </c>
      <c r="M48" s="141">
        <v>0.8</v>
      </c>
      <c r="R48" s="37"/>
      <c r="S48" s="37" t="str">
        <f>"INDOTHHPR"&amp;RIGHT(Commodities!$D$7,6)&amp;"_"&amp;AA48</f>
        <v>INDOTHHPRCOASUB_AD</v>
      </c>
      <c r="T48" s="37" t="str">
        <f>"Process Heat INDOTH Sub-bituminous"&amp;"_"&amp;$S$5&amp;"_"&amp;AA48</f>
        <v>Process Heat INDOTH Sub-bituminous_N_AD</v>
      </c>
      <c r="U48" s="37" t="s">
        <v>206</v>
      </c>
      <c r="V48" s="37" t="s">
        <v>293</v>
      </c>
      <c r="W48" s="37"/>
      <c r="X48" s="37"/>
      <c r="Y48" s="37"/>
      <c r="AA48" s="72" t="s">
        <v>276</v>
      </c>
      <c r="AG48" s="72"/>
      <c r="AH48" s="72"/>
      <c r="AI48" s="102"/>
      <c r="AJ48" s="72"/>
      <c r="AK48" s="72"/>
      <c r="AL48" s="72"/>
      <c r="AM48" s="72"/>
      <c r="AN48" s="72"/>
      <c r="AO48" s="72"/>
      <c r="AQ48" s="72"/>
      <c r="AS48" s="72"/>
      <c r="AT48" s="72"/>
    </row>
    <row r="49" spans="1:46" ht="13.8" x14ac:dyDescent="0.25">
      <c r="A49" s="72"/>
      <c r="B49" s="37" t="str">
        <f t="shared" si="8"/>
        <v>INDOTHSTMOILPCK_IM</v>
      </c>
      <c r="C49" s="37" t="str">
        <f t="shared" si="8"/>
        <v>Steam Boiler INDOTH PetCoke_N_IM</v>
      </c>
      <c r="D49" s="72" t="str">
        <f>D48</f>
        <v>INDOILPCK</v>
      </c>
      <c r="E49" s="72" t="str">
        <f>E48</f>
        <v>INDOTHSTM</v>
      </c>
      <c r="F49" s="94">
        <f t="shared" si="9"/>
        <v>2100</v>
      </c>
      <c r="G49" s="72">
        <f>G48</f>
        <v>2100</v>
      </c>
      <c r="H49" s="140">
        <f>H48*0.95</f>
        <v>1.3571428571428572</v>
      </c>
      <c r="I49" s="95">
        <v>834.85620559148049</v>
      </c>
      <c r="J49" s="95">
        <f>53.92656*(1/0.9)</f>
        <v>59.918400000000005</v>
      </c>
      <c r="K49" s="141">
        <v>30</v>
      </c>
      <c r="L49" s="141">
        <v>31.536000000000001</v>
      </c>
      <c r="M49" s="141">
        <v>0.8</v>
      </c>
      <c r="R49" s="37"/>
      <c r="S49" s="37" t="str">
        <f>"INDOTHHPR"&amp;RIGHT(Commodities!$D$9,6)&amp;"_"&amp;AA49</f>
        <v>INDOTHHPRCOABIC_ST</v>
      </c>
      <c r="T49" s="37" t="str">
        <f>"Process Heat INDOTH Bituminous"&amp;"_"&amp;$S$5&amp;"_"&amp;AA49</f>
        <v>Process Heat INDOTH Bituminous_N_ST</v>
      </c>
      <c r="U49" s="37" t="s">
        <v>206</v>
      </c>
      <c r="V49" s="37" t="s">
        <v>293</v>
      </c>
      <c r="W49" s="37"/>
      <c r="X49" s="37"/>
      <c r="Y49" s="37"/>
      <c r="AA49" s="72" t="s">
        <v>274</v>
      </c>
      <c r="AG49" s="72"/>
      <c r="AH49" s="72"/>
      <c r="AI49" s="10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</row>
    <row r="50" spans="1:46" ht="13.8" x14ac:dyDescent="0.25">
      <c r="A50" s="72"/>
      <c r="B50" s="98" t="str">
        <f t="shared" si="8"/>
        <v>INDOTHSTMOILPCK_AD</v>
      </c>
      <c r="C50" s="98" t="str">
        <f t="shared" si="8"/>
        <v>Steam Boiler INDOTH PetCoke_N_AD</v>
      </c>
      <c r="D50" s="98" t="str">
        <f>D49</f>
        <v>INDOILPCK</v>
      </c>
      <c r="E50" s="98" t="str">
        <f>E48</f>
        <v>INDOTHSTM</v>
      </c>
      <c r="F50" s="99">
        <f t="shared" si="9"/>
        <v>2100</v>
      </c>
      <c r="G50" s="98">
        <f>G49</f>
        <v>2100</v>
      </c>
      <c r="H50" s="143">
        <f>H48*0.85</f>
        <v>1.2142857142857142</v>
      </c>
      <c r="I50" s="144">
        <v>1071.9765872589473</v>
      </c>
      <c r="J50" s="144">
        <f>53.92656*(1/0.9)</f>
        <v>59.918400000000005</v>
      </c>
      <c r="K50" s="145">
        <v>30</v>
      </c>
      <c r="L50" s="145">
        <v>31.536000000000001</v>
      </c>
      <c r="M50" s="145">
        <v>0.8</v>
      </c>
      <c r="R50" s="37"/>
      <c r="S50" s="37" t="str">
        <f>"INDOTHHPR"&amp;RIGHT(Commodities!$D$9,6)&amp;"_"&amp;AA50</f>
        <v>INDOTHHPRCOABIC_IM</v>
      </c>
      <c r="T50" s="37" t="str">
        <f>"Process Heat INDOTH Bituminous"&amp;"_"&amp;$S$5&amp;"_"&amp;AA50</f>
        <v>Process Heat INDOTH Bituminous_N_IM</v>
      </c>
      <c r="U50" s="37" t="s">
        <v>206</v>
      </c>
      <c r="V50" s="37" t="s">
        <v>293</v>
      </c>
      <c r="W50" s="37"/>
      <c r="X50" s="37"/>
      <c r="Y50" s="37"/>
      <c r="AA50" s="72" t="s">
        <v>275</v>
      </c>
      <c r="AG50" s="72"/>
      <c r="AH50" s="72"/>
      <c r="AI50" s="10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</row>
    <row r="51" spans="1:46" ht="13.8" x14ac:dyDescent="0.25">
      <c r="A51" s="72"/>
      <c r="B51" s="37" t="str">
        <f t="shared" si="8"/>
        <v>INDOTHSTMOILOTH_ST</v>
      </c>
      <c r="C51" s="37" t="str">
        <f t="shared" si="8"/>
        <v>Steam Boiler INDOTH Other Oil Products_N_ST</v>
      </c>
      <c r="D51" s="72" t="s">
        <v>162</v>
      </c>
      <c r="E51" s="72" t="s">
        <v>286</v>
      </c>
      <c r="F51" s="94">
        <f>G51</f>
        <v>2018</v>
      </c>
      <c r="G51" s="72">
        <v>2018</v>
      </c>
      <c r="H51" s="140">
        <f>O39</f>
        <v>1.4285714285714286</v>
      </c>
      <c r="I51" s="95">
        <v>219.17176470588223</v>
      </c>
      <c r="J51" s="95">
        <f t="shared" ref="J51:J56" si="13">12.6144*(1/0.9)</f>
        <v>14.016</v>
      </c>
      <c r="K51" s="141">
        <v>30</v>
      </c>
      <c r="L51" s="141">
        <v>31.536000000000001</v>
      </c>
      <c r="M51" s="141">
        <v>0.8</v>
      </c>
      <c r="R51" s="37"/>
      <c r="S51" s="37" t="str">
        <f>"INDOTHHPR"&amp;RIGHT(Commodities!$D$9,6)&amp;"_"&amp;AA51</f>
        <v>INDOTHHPRCOABIC_AD</v>
      </c>
      <c r="T51" s="37" t="str">
        <f>"Process Heat INDOTH Bituminous"&amp;"_"&amp;$S$5&amp;"_"&amp;AA51</f>
        <v>Process Heat INDOTH Bituminous_N_AD</v>
      </c>
      <c r="U51" s="37" t="s">
        <v>206</v>
      </c>
      <c r="V51" s="37" t="s">
        <v>293</v>
      </c>
      <c r="W51" s="37"/>
      <c r="X51" s="37"/>
      <c r="Y51" s="37"/>
      <c r="AA51" s="72" t="s">
        <v>276</v>
      </c>
      <c r="AG51" s="72"/>
      <c r="AH51" s="72"/>
      <c r="AI51" s="10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</row>
    <row r="52" spans="1:46" ht="13.8" x14ac:dyDescent="0.25">
      <c r="A52" s="72"/>
      <c r="B52" s="37" t="str">
        <f t="shared" si="8"/>
        <v>INDOTHSTMOILOTH_IM</v>
      </c>
      <c r="C52" s="37" t="str">
        <f t="shared" si="8"/>
        <v>Steam Boiler INDOTH Other Oil Products_N_IM</v>
      </c>
      <c r="D52" s="72" t="str">
        <f>D51</f>
        <v>INDOILOTH</v>
      </c>
      <c r="E52" s="72" t="str">
        <f>E51</f>
        <v>INDOTHSTM</v>
      </c>
      <c r="F52" s="94">
        <f t="shared" si="9"/>
        <v>2025</v>
      </c>
      <c r="G52" s="72">
        <f>G51+7</f>
        <v>2025</v>
      </c>
      <c r="H52" s="140">
        <f>H51*0.95</f>
        <v>1.3571428571428572</v>
      </c>
      <c r="I52" s="95">
        <v>312.69124055850898</v>
      </c>
      <c r="J52" s="95">
        <f t="shared" si="13"/>
        <v>14.016</v>
      </c>
      <c r="K52" s="141">
        <v>30</v>
      </c>
      <c r="L52" s="141">
        <v>31.536000000000001</v>
      </c>
      <c r="M52" s="141">
        <v>0.8</v>
      </c>
      <c r="R52" s="37"/>
      <c r="S52" s="37" t="str">
        <f>"INDOTHHPR"&amp;RIGHT(Commodities!$D$10,6)&amp;"_"&amp;AA52</f>
        <v>INDOTHHPRCOABCO_ST</v>
      </c>
      <c r="T52" s="37" t="str">
        <f>"Process Heat INDOTH Lignite"&amp;"_"&amp;$S$5&amp;"_"&amp;AA52</f>
        <v>Process Heat INDOTH Lignite_N_ST</v>
      </c>
      <c r="U52" s="37" t="s">
        <v>206</v>
      </c>
      <c r="V52" s="37" t="s">
        <v>293</v>
      </c>
      <c r="W52" s="37"/>
      <c r="X52" s="37"/>
      <c r="Y52" s="37"/>
      <c r="AA52" s="72" t="s">
        <v>274</v>
      </c>
      <c r="AG52" s="72"/>
      <c r="AH52" s="72"/>
      <c r="AI52" s="102"/>
      <c r="AJ52" s="72"/>
      <c r="AK52" s="72"/>
      <c r="AL52" s="72"/>
      <c r="AM52" s="72"/>
      <c r="AN52" s="72"/>
      <c r="AO52" s="72"/>
      <c r="AQ52" s="72"/>
      <c r="AS52" s="72"/>
      <c r="AT52" s="72"/>
    </row>
    <row r="53" spans="1:46" ht="13.8" x14ac:dyDescent="0.25">
      <c r="A53" s="72"/>
      <c r="B53" s="98" t="str">
        <f t="shared" si="8"/>
        <v>INDOTHSTMOILOTH_AD</v>
      </c>
      <c r="C53" s="98" t="str">
        <f t="shared" si="8"/>
        <v>Steam Boiler INDOTH Other Oil Products_N_AD</v>
      </c>
      <c r="D53" s="98" t="str">
        <f>D52</f>
        <v>INDOILOTH</v>
      </c>
      <c r="E53" s="98" t="str">
        <f>E51</f>
        <v>INDOTHSTM</v>
      </c>
      <c r="F53" s="99">
        <f t="shared" si="9"/>
        <v>2035</v>
      </c>
      <c r="G53" s="98">
        <f>G52+10</f>
        <v>2035</v>
      </c>
      <c r="H53" s="143">
        <f>H51*0.85</f>
        <v>1.2142857142857142</v>
      </c>
      <c r="I53" s="144">
        <v>401.50350045274632</v>
      </c>
      <c r="J53" s="144">
        <f t="shared" si="13"/>
        <v>14.016</v>
      </c>
      <c r="K53" s="145">
        <v>30</v>
      </c>
      <c r="L53" s="145">
        <v>31.536000000000001</v>
      </c>
      <c r="M53" s="145">
        <v>0.8</v>
      </c>
      <c r="R53" s="37"/>
      <c r="S53" s="37" t="str">
        <f>"INDOTHHPR"&amp;RIGHT(Commodities!$D$10,6)&amp;"_"&amp;AA53</f>
        <v>INDOTHHPRCOABCO_IM</v>
      </c>
      <c r="T53" s="37" t="str">
        <f t="shared" ref="T53:T54" si="14">"Process Heat INDOTH Lignite"&amp;"_"&amp;$S$5&amp;"_"&amp;AA53</f>
        <v>Process Heat INDOTH Lignite_N_IM</v>
      </c>
      <c r="U53" s="37" t="s">
        <v>206</v>
      </c>
      <c r="V53" s="37" t="s">
        <v>293</v>
      </c>
      <c r="W53" s="37"/>
      <c r="X53" s="37"/>
      <c r="Y53" s="37"/>
      <c r="AA53" s="72" t="s">
        <v>275</v>
      </c>
      <c r="AG53" s="72"/>
      <c r="AH53" s="72"/>
      <c r="AI53" s="102"/>
      <c r="AJ53" s="72"/>
      <c r="AK53" s="72"/>
      <c r="AL53" s="72"/>
      <c r="AM53" s="72"/>
      <c r="AN53" s="72"/>
      <c r="AO53" s="72"/>
      <c r="AQ53" s="72"/>
      <c r="AS53" s="72"/>
      <c r="AT53" s="72"/>
    </row>
    <row r="54" spans="1:46" ht="13.8" x14ac:dyDescent="0.25">
      <c r="A54" s="72"/>
      <c r="B54" s="37" t="str">
        <f t="shared" si="8"/>
        <v>INDOTHSTMGASNAT_ST</v>
      </c>
      <c r="C54" s="37" t="str">
        <f t="shared" si="8"/>
        <v>Steam Boiler INDOTH N. Gas_N_ST</v>
      </c>
      <c r="D54" s="72" t="s">
        <v>164</v>
      </c>
      <c r="E54" s="72" t="s">
        <v>286</v>
      </c>
      <c r="F54" s="94">
        <f>G54</f>
        <v>2018</v>
      </c>
      <c r="G54" s="72">
        <v>2018</v>
      </c>
      <c r="H54" s="140">
        <f>O40</f>
        <v>1.25</v>
      </c>
      <c r="I54" s="95">
        <f>148.816941176471*1.5</f>
        <v>223.22541176470651</v>
      </c>
      <c r="J54" s="95">
        <f t="shared" si="13"/>
        <v>14.016</v>
      </c>
      <c r="K54" s="141">
        <v>30</v>
      </c>
      <c r="L54" s="141">
        <v>31.536000000000001</v>
      </c>
      <c r="M54" s="141">
        <v>0.8</v>
      </c>
      <c r="R54" s="37"/>
      <c r="S54" s="37" t="str">
        <f>"INDOTHHPR"&amp;RIGHT(Commodities!$D$10,6)&amp;"_"&amp;AA54</f>
        <v>INDOTHHPRCOABCO_AD</v>
      </c>
      <c r="T54" s="37" t="str">
        <f t="shared" si="14"/>
        <v>Process Heat INDOTH Lignite_N_AD</v>
      </c>
      <c r="U54" s="37" t="s">
        <v>206</v>
      </c>
      <c r="V54" s="37" t="s">
        <v>293</v>
      </c>
      <c r="W54" s="37"/>
      <c r="X54" s="37"/>
      <c r="Y54" s="37"/>
      <c r="AA54" s="72" t="s">
        <v>276</v>
      </c>
      <c r="AG54" s="72"/>
      <c r="AH54" s="72"/>
      <c r="AI54" s="102"/>
      <c r="AJ54" s="72"/>
      <c r="AK54" s="72"/>
      <c r="AL54" s="72"/>
      <c r="AM54" s="72"/>
      <c r="AN54" s="72"/>
      <c r="AO54" s="72"/>
      <c r="AQ54" s="72"/>
      <c r="AS54" s="72"/>
      <c r="AT54" s="72"/>
    </row>
    <row r="55" spans="1:46" ht="13.8" x14ac:dyDescent="0.25">
      <c r="A55" s="72"/>
      <c r="B55" s="37" t="str">
        <f t="shared" si="8"/>
        <v>INDOTHSTMGASNAT_IM</v>
      </c>
      <c r="C55" s="37" t="str">
        <f t="shared" si="8"/>
        <v>Steam Boiler INDOTH N. Gas_N_IM</v>
      </c>
      <c r="D55" s="72" t="str">
        <f>D54</f>
        <v>INDGASNAT</v>
      </c>
      <c r="E55" s="72" t="str">
        <f>E54</f>
        <v>INDOTHSTM</v>
      </c>
      <c r="F55" s="94">
        <f t="shared" si="9"/>
        <v>2025</v>
      </c>
      <c r="G55" s="72">
        <f>G54+7</f>
        <v>2025</v>
      </c>
      <c r="H55" s="140">
        <f>H54*0.95</f>
        <v>1.1875</v>
      </c>
      <c r="I55" s="95">
        <f>212.316372115904*1.5</f>
        <v>318.474558173856</v>
      </c>
      <c r="J55" s="95">
        <f t="shared" si="13"/>
        <v>14.016</v>
      </c>
      <c r="K55" s="141">
        <v>30</v>
      </c>
      <c r="L55" s="141">
        <v>31.536000000000001</v>
      </c>
      <c r="M55" s="141">
        <v>0.8</v>
      </c>
      <c r="R55" s="37"/>
      <c r="S55" s="37" t="str">
        <f>"INDOTHHPR"&amp;RIGHT(Commodities!$D$18,6)&amp;"_"&amp;AA55</f>
        <v>INDOTHHPROILDSL_ST</v>
      </c>
      <c r="T55" s="37" t="str">
        <f>"Process Heat INDOTH Diesel"&amp;"_"&amp;$S$5&amp;"_"&amp;AA55</f>
        <v>Process Heat INDOTH Diesel_N_ST</v>
      </c>
      <c r="U55" s="37" t="s">
        <v>206</v>
      </c>
      <c r="V55" s="37" t="s">
        <v>293</v>
      </c>
      <c r="W55" s="37"/>
      <c r="X55" s="37"/>
      <c r="Y55" s="37"/>
      <c r="AA55" s="72" t="s">
        <v>274</v>
      </c>
      <c r="AG55" s="72"/>
      <c r="AH55" s="72"/>
      <c r="AI55" s="102"/>
      <c r="AJ55" s="72"/>
      <c r="AK55" s="72"/>
      <c r="AL55" s="72"/>
      <c r="AM55" s="72"/>
      <c r="AN55" s="72"/>
      <c r="AO55" s="72"/>
      <c r="AQ55" s="72"/>
      <c r="AS55" s="72"/>
      <c r="AT55" s="72"/>
    </row>
    <row r="56" spans="1:46" ht="13.8" x14ac:dyDescent="0.25">
      <c r="A56" s="72"/>
      <c r="B56" s="98" t="str">
        <f t="shared" si="8"/>
        <v>INDOTHSTMGASNAT_AD</v>
      </c>
      <c r="C56" s="98" t="str">
        <f t="shared" si="8"/>
        <v>Steam Boiler INDOTH N. Gas_N_AD</v>
      </c>
      <c r="D56" s="98" t="str">
        <f>D55</f>
        <v>INDGASNAT</v>
      </c>
      <c r="E56" s="98" t="str">
        <f>E54</f>
        <v>INDOTHSTM</v>
      </c>
      <c r="F56" s="99">
        <f t="shared" si="9"/>
        <v>2035</v>
      </c>
      <c r="G56" s="98">
        <f>G55+10</f>
        <v>2035</v>
      </c>
      <c r="H56" s="143">
        <f>H54*0.85</f>
        <v>1.0625</v>
      </c>
      <c r="I56" s="144">
        <f>272.619618175753*1.75</f>
        <v>477.08433180756771</v>
      </c>
      <c r="J56" s="144">
        <f t="shared" si="13"/>
        <v>14.016</v>
      </c>
      <c r="K56" s="145">
        <v>30</v>
      </c>
      <c r="L56" s="145">
        <v>31.536000000000001</v>
      </c>
      <c r="M56" s="145">
        <v>0.8</v>
      </c>
      <c r="R56" s="37"/>
      <c r="S56" s="37" t="str">
        <f>"INDOTHHPR"&amp;RIGHT(Commodities!$D$18,6)&amp;"_"&amp;AA56</f>
        <v>INDOTHHPROILDSL_IM</v>
      </c>
      <c r="T56" s="37" t="str">
        <f t="shared" ref="T56:T57" si="15">"Process Heat INDOTH Diesel"&amp;"_"&amp;$S$5&amp;"_"&amp;AA56</f>
        <v>Process Heat INDOTH Diesel_N_IM</v>
      </c>
      <c r="U56" s="37" t="s">
        <v>206</v>
      </c>
      <c r="V56" s="37" t="s">
        <v>293</v>
      </c>
      <c r="W56" s="37"/>
      <c r="X56" s="37"/>
      <c r="Y56" s="37"/>
      <c r="AA56" s="72" t="s">
        <v>275</v>
      </c>
      <c r="AG56" s="72"/>
      <c r="AH56" s="72"/>
      <c r="AI56" s="102"/>
      <c r="AJ56" s="72"/>
      <c r="AK56" s="72"/>
      <c r="AL56" s="72"/>
      <c r="AM56" s="72"/>
      <c r="AN56" s="72"/>
      <c r="AO56" s="72"/>
      <c r="AQ56" s="72"/>
      <c r="AS56" s="72"/>
      <c r="AT56" s="72"/>
    </row>
    <row r="57" spans="1:46" ht="13.8" x14ac:dyDescent="0.25">
      <c r="A57" s="72"/>
      <c r="B57" s="37" t="str">
        <f t="shared" si="8"/>
        <v>INDOTHSTMBIOLOG_ST</v>
      </c>
      <c r="C57" s="37" t="str">
        <f t="shared" si="8"/>
        <v>Steam Boiler INDOTH Biomass_N_ST</v>
      </c>
      <c r="D57" s="72" t="s">
        <v>168</v>
      </c>
      <c r="E57" s="72" t="s">
        <v>286</v>
      </c>
      <c r="F57" s="94">
        <f>G57</f>
        <v>2018</v>
      </c>
      <c r="G57" s="72">
        <v>2018</v>
      </c>
      <c r="H57" s="140">
        <f>O41</f>
        <v>1.4285714285714286</v>
      </c>
      <c r="I57" s="95">
        <v>760.71840000000009</v>
      </c>
      <c r="J57" s="95">
        <f>53.92656*(1/0.9)</f>
        <v>59.918400000000005</v>
      </c>
      <c r="K57" s="141">
        <v>30</v>
      </c>
      <c r="L57" s="141">
        <v>31.536000000000001</v>
      </c>
      <c r="M57" s="141">
        <v>0.8</v>
      </c>
      <c r="R57" s="37"/>
      <c r="S57" s="37" t="str">
        <f>"INDOTHHPR"&amp;RIGHT(Commodities!$D$18,6)&amp;"_"&amp;AA57</f>
        <v>INDOTHHPROILDSL_AD</v>
      </c>
      <c r="T57" s="37" t="str">
        <f t="shared" si="15"/>
        <v>Process Heat INDOTH Diesel_N_AD</v>
      </c>
      <c r="U57" s="37" t="s">
        <v>206</v>
      </c>
      <c r="V57" s="37" t="s">
        <v>293</v>
      </c>
      <c r="W57" s="37"/>
      <c r="X57" s="37"/>
      <c r="Y57" s="37"/>
      <c r="AA57" s="72" t="s">
        <v>276</v>
      </c>
      <c r="AG57" s="72"/>
      <c r="AH57" s="72"/>
      <c r="AI57" s="102"/>
      <c r="AJ57" s="72"/>
      <c r="AK57" s="72"/>
      <c r="AL57" s="72"/>
      <c r="AM57" s="72"/>
      <c r="AN57" s="72"/>
      <c r="AO57" s="72"/>
      <c r="AQ57" s="72"/>
      <c r="AS57" s="72"/>
      <c r="AT57" s="72"/>
    </row>
    <row r="58" spans="1:46" ht="13.8" x14ac:dyDescent="0.25">
      <c r="A58" s="72"/>
      <c r="B58" s="37" t="str">
        <f t="shared" si="8"/>
        <v>INDOTHSTMBIOLOG_IM</v>
      </c>
      <c r="C58" s="37" t="str">
        <f t="shared" si="8"/>
        <v>Steam Boiler INDOTH Biomass_N_IM</v>
      </c>
      <c r="D58" s="72" t="str">
        <f>D57</f>
        <v>INDBIOLOG</v>
      </c>
      <c r="E58" s="72" t="str">
        <f>E57</f>
        <v>INDOTHSTM</v>
      </c>
      <c r="F58" s="94">
        <f t="shared" si="9"/>
        <v>2025</v>
      </c>
      <c r="G58" s="72">
        <f>G57+7</f>
        <v>2025</v>
      </c>
      <c r="H58" s="140">
        <f>H57*0.95</f>
        <v>1.3571428571428572</v>
      </c>
      <c r="I58" s="95">
        <v>1085.3130672689247</v>
      </c>
      <c r="J58" s="95">
        <f>53.92656*(1/0.9)</f>
        <v>59.918400000000005</v>
      </c>
      <c r="K58" s="141">
        <v>30</v>
      </c>
      <c r="L58" s="141">
        <v>31.536000000000001</v>
      </c>
      <c r="M58" s="141">
        <v>0.8</v>
      </c>
      <c r="R58" s="37"/>
      <c r="S58" s="37" t="str">
        <f>"INDOTHHPR"&amp;RIGHT(Commodities!$D$22,6)&amp;"_"&amp;AA58</f>
        <v>INDOTHHPROILHFO_ST</v>
      </c>
      <c r="T58" s="37" t="str">
        <f>"Process Heat INDOTH HFO"&amp;"_"&amp;$S$5&amp;"_"&amp;AA58</f>
        <v>Process Heat INDOTH HFO_N_ST</v>
      </c>
      <c r="U58" s="37" t="s">
        <v>206</v>
      </c>
      <c r="V58" s="37" t="s">
        <v>293</v>
      </c>
      <c r="W58" s="37"/>
      <c r="X58" s="37"/>
      <c r="Y58" s="37"/>
      <c r="AA58" s="72" t="s">
        <v>274</v>
      </c>
      <c r="AG58" s="72"/>
      <c r="AH58" s="72"/>
      <c r="AI58" s="102"/>
      <c r="AJ58" s="72"/>
      <c r="AK58" s="72"/>
      <c r="AL58" s="72"/>
      <c r="AM58" s="72"/>
      <c r="AN58" s="102"/>
      <c r="AO58" s="102"/>
      <c r="AP58" s="72"/>
      <c r="AQ58" s="72"/>
      <c r="AR58" s="72"/>
      <c r="AS58" s="72"/>
      <c r="AT58" s="72"/>
    </row>
    <row r="59" spans="1:46" ht="13.8" x14ac:dyDescent="0.25">
      <c r="A59" s="72"/>
      <c r="B59" s="98" t="str">
        <f t="shared" si="8"/>
        <v>INDOTHSTMBIOLOG_AD</v>
      </c>
      <c r="C59" s="98" t="str">
        <f t="shared" si="8"/>
        <v>Steam Boiler INDOTH Biomass_N_AD</v>
      </c>
      <c r="D59" s="98" t="str">
        <f>D58</f>
        <v>INDBIOLOG</v>
      </c>
      <c r="E59" s="98" t="str">
        <f>E57</f>
        <v>INDOTHSTM</v>
      </c>
      <c r="F59" s="99">
        <f t="shared" si="9"/>
        <v>2035</v>
      </c>
      <c r="G59" s="98">
        <f>G58+10</f>
        <v>2035</v>
      </c>
      <c r="H59" s="143">
        <f>H57*0.85</f>
        <v>1.2142857142857142</v>
      </c>
      <c r="I59" s="144">
        <v>1393.5695634366316</v>
      </c>
      <c r="J59" s="144">
        <f>53.92656*(1/0.9)</f>
        <v>59.918400000000005</v>
      </c>
      <c r="K59" s="145">
        <v>30</v>
      </c>
      <c r="L59" s="145">
        <v>31.536000000000001</v>
      </c>
      <c r="M59" s="145">
        <v>0.8</v>
      </c>
      <c r="R59" s="37"/>
      <c r="S59" s="37" t="str">
        <f>"INDOTHHPR"&amp;RIGHT(Commodities!$D$22,6)&amp;"_"&amp;AA59</f>
        <v>INDOTHHPROILHFO_IM</v>
      </c>
      <c r="T59" s="37" t="str">
        <f t="shared" ref="T59:T60" si="16">"Process Heat INDOTH HFO"&amp;"_"&amp;$S$5&amp;"_"&amp;AA59</f>
        <v>Process Heat INDOTH HFO_N_IM</v>
      </c>
      <c r="U59" s="37" t="s">
        <v>206</v>
      </c>
      <c r="V59" s="37" t="s">
        <v>293</v>
      </c>
      <c r="W59" s="37"/>
      <c r="X59" s="37"/>
      <c r="Y59" s="37"/>
      <c r="AA59" s="72" t="s">
        <v>275</v>
      </c>
      <c r="AG59" s="72"/>
      <c r="AH59" s="72"/>
      <c r="AI59" s="102"/>
      <c r="AJ59" s="72"/>
      <c r="AK59" s="72"/>
      <c r="AL59" s="72"/>
      <c r="AM59" s="72"/>
      <c r="AN59" s="102"/>
      <c r="AO59" s="102"/>
      <c r="AP59" s="72"/>
      <c r="AQ59" s="72"/>
      <c r="AR59" s="72"/>
      <c r="AS59" s="72"/>
      <c r="AT59" s="72"/>
    </row>
    <row r="60" spans="1:46" ht="13.8" x14ac:dyDescent="0.25">
      <c r="A60" s="72"/>
      <c r="B60" s="37" t="str">
        <f t="shared" si="8"/>
        <v>INDOTHSTMHTH_ST</v>
      </c>
      <c r="C60" s="37" t="str">
        <f t="shared" si="8"/>
        <v>Steam Boiler INDOTH Heat_N_ST</v>
      </c>
      <c r="D60" s="72" t="s">
        <v>1016</v>
      </c>
      <c r="E60" s="72" t="s">
        <v>286</v>
      </c>
      <c r="F60" s="94">
        <f>G60</f>
        <v>2018</v>
      </c>
      <c r="G60" s="72">
        <v>2018</v>
      </c>
      <c r="H60" s="140">
        <f>O42</f>
        <v>1.2</v>
      </c>
      <c r="I60" s="95">
        <v>148.81694117647112</v>
      </c>
      <c r="J60" s="95">
        <f t="shared" ref="J60:J65" si="17">12.6144*(1/0.9)</f>
        <v>14.016</v>
      </c>
      <c r="K60" s="141">
        <v>30</v>
      </c>
      <c r="L60" s="141">
        <v>31.536000000000001</v>
      </c>
      <c r="M60" s="141">
        <v>0.8</v>
      </c>
      <c r="R60" s="37"/>
      <c r="S60" s="37" t="str">
        <f>"INDOTHHPR"&amp;RIGHT(Commodities!$D$22,6)&amp;"_"&amp;AA60</f>
        <v>INDOTHHPROILHFO_AD</v>
      </c>
      <c r="T60" s="37" t="str">
        <f t="shared" si="16"/>
        <v>Process Heat INDOTH HFO_N_AD</v>
      </c>
      <c r="U60" s="37" t="s">
        <v>206</v>
      </c>
      <c r="V60" s="37" t="s">
        <v>293</v>
      </c>
      <c r="W60" s="37"/>
      <c r="X60" s="37"/>
      <c r="Y60" s="37"/>
      <c r="AA60" s="72" t="s">
        <v>276</v>
      </c>
      <c r="AG60" s="72"/>
      <c r="AH60" s="72"/>
      <c r="AI60" s="102"/>
      <c r="AJ60" s="72"/>
      <c r="AK60" s="72"/>
      <c r="AL60" s="72"/>
      <c r="AM60" s="72"/>
      <c r="AN60" s="102"/>
      <c r="AO60" s="102"/>
      <c r="AP60" s="72"/>
      <c r="AQ60" s="72"/>
      <c r="AR60" s="72"/>
      <c r="AS60" s="72"/>
      <c r="AT60" s="72"/>
    </row>
    <row r="61" spans="1:46" ht="13.8" x14ac:dyDescent="0.25">
      <c r="A61" s="72"/>
      <c r="B61" s="37" t="str">
        <f t="shared" si="8"/>
        <v>INDOTHSTMHTH_IM</v>
      </c>
      <c r="C61" s="37" t="str">
        <f t="shared" si="8"/>
        <v>Steam Boiler INDOTH Heat_N_IM</v>
      </c>
      <c r="D61" s="72" t="str">
        <f>D60</f>
        <v>INDOTHHTH</v>
      </c>
      <c r="E61" s="72" t="str">
        <f>E60</f>
        <v>INDOTHSTM</v>
      </c>
      <c r="F61" s="94">
        <f t="shared" si="9"/>
        <v>2025</v>
      </c>
      <c r="G61" s="72">
        <f>G60+7</f>
        <v>2025</v>
      </c>
      <c r="H61" s="140">
        <f>H60*0.95</f>
        <v>1.1399999999999999</v>
      </c>
      <c r="I61" s="95">
        <v>212.31637211590385</v>
      </c>
      <c r="J61" s="95">
        <f t="shared" si="17"/>
        <v>14.016</v>
      </c>
      <c r="K61" s="141">
        <v>30</v>
      </c>
      <c r="L61" s="141">
        <v>31.536000000000001</v>
      </c>
      <c r="M61" s="141">
        <v>0.8</v>
      </c>
      <c r="R61" s="37"/>
      <c r="S61" s="37" t="str">
        <f>"INDOTHHPR"&amp;RIGHT(Commodities!$D$27,6)&amp;"_"&amp;AA61</f>
        <v>INDOTHHPROILPCK_ST</v>
      </c>
      <c r="T61" s="37" t="str">
        <f>"Process Heat INDOTH PetCoke"&amp;"_"&amp;$S$5&amp;"_"&amp;AA61</f>
        <v>Process Heat INDOTH PetCoke_N_ST</v>
      </c>
      <c r="U61" s="37" t="s">
        <v>206</v>
      </c>
      <c r="V61" s="37" t="s">
        <v>293</v>
      </c>
      <c r="W61" s="37"/>
      <c r="X61" s="37"/>
      <c r="Y61" s="37"/>
      <c r="AA61" s="72" t="s">
        <v>274</v>
      </c>
      <c r="AG61" s="72"/>
      <c r="AH61" s="72"/>
      <c r="AI61" s="102"/>
      <c r="AJ61" s="72"/>
      <c r="AK61" s="72"/>
      <c r="AL61" s="72"/>
      <c r="AM61" s="72"/>
      <c r="AN61" s="102"/>
      <c r="AO61" s="102"/>
      <c r="AQ61" s="72"/>
      <c r="AR61" s="72"/>
      <c r="AS61" s="72"/>
      <c r="AT61" s="72"/>
    </row>
    <row r="62" spans="1:46" ht="13.8" x14ac:dyDescent="0.25">
      <c r="A62" s="72"/>
      <c r="B62" s="98" t="str">
        <f t="shared" si="8"/>
        <v>INDOTHSTMHTH_AD</v>
      </c>
      <c r="C62" s="98" t="str">
        <f t="shared" si="8"/>
        <v>Steam Boiler INDOTH Heat_N_AD</v>
      </c>
      <c r="D62" s="98" t="str">
        <f>D61</f>
        <v>INDOTHHTH</v>
      </c>
      <c r="E62" s="98" t="str">
        <f>E60</f>
        <v>INDOTHSTM</v>
      </c>
      <c r="F62" s="99">
        <f t="shared" si="9"/>
        <v>2035</v>
      </c>
      <c r="G62" s="98">
        <f>G61+10</f>
        <v>2035</v>
      </c>
      <c r="H62" s="143">
        <f>H60*0.85</f>
        <v>1.02</v>
      </c>
      <c r="I62" s="144">
        <v>272.61961817575303</v>
      </c>
      <c r="J62" s="144">
        <f t="shared" si="17"/>
        <v>14.016</v>
      </c>
      <c r="K62" s="145">
        <v>30</v>
      </c>
      <c r="L62" s="145">
        <v>31.536000000000001</v>
      </c>
      <c r="M62" s="145">
        <v>0.8</v>
      </c>
      <c r="R62" s="37"/>
      <c r="S62" s="37" t="str">
        <f>"INDOTHHPR"&amp;RIGHT(Commodities!$D$27,6)&amp;"_"&amp;AA62</f>
        <v>INDOTHHPROILPCK_IM</v>
      </c>
      <c r="T62" s="37" t="str">
        <f t="shared" ref="T62:T63" si="18">"Process Heat INDOTH PetCoke"&amp;"_"&amp;$S$5&amp;"_"&amp;AA62</f>
        <v>Process Heat INDOTH PetCoke_N_IM</v>
      </c>
      <c r="U62" s="37" t="s">
        <v>206</v>
      </c>
      <c r="V62" s="37" t="s">
        <v>293</v>
      </c>
      <c r="W62" s="37"/>
      <c r="X62" s="37"/>
      <c r="Y62" s="37"/>
      <c r="AA62" s="72" t="s">
        <v>275</v>
      </c>
      <c r="AG62" s="72"/>
      <c r="AH62" s="72"/>
      <c r="AI62" s="102"/>
      <c r="AJ62" s="72"/>
      <c r="AK62" s="72"/>
      <c r="AL62" s="72"/>
      <c r="AM62" s="72"/>
      <c r="AN62" s="102"/>
      <c r="AO62" s="102"/>
      <c r="AQ62" s="72"/>
      <c r="AR62" s="72"/>
      <c r="AS62" s="72"/>
      <c r="AT62" s="72"/>
    </row>
    <row r="63" spans="1:46" ht="13.8" x14ac:dyDescent="0.25">
      <c r="A63" s="72"/>
      <c r="B63" s="37" t="str">
        <f t="shared" ref="B63:B65" si="19">S40</f>
        <v>INDOTHSTMBIOBGS_ST</v>
      </c>
      <c r="C63" s="37" t="str">
        <f t="shared" ref="C63:C65" si="20">T40</f>
        <v>Steam Boiler INDOTH Biogas_N_ST</v>
      </c>
      <c r="D63" s="72" t="str">
        <f>Commodities!$D$145</f>
        <v>INDBIOBGS</v>
      </c>
      <c r="E63" s="72" t="s">
        <v>286</v>
      </c>
      <c r="F63" s="94">
        <f>G63</f>
        <v>2018</v>
      </c>
      <c r="G63" s="72">
        <v>2018</v>
      </c>
      <c r="H63" s="140">
        <f>H54</f>
        <v>1.25</v>
      </c>
      <c r="I63" s="95">
        <v>148.81694117647112</v>
      </c>
      <c r="J63" s="95">
        <f t="shared" si="17"/>
        <v>14.016</v>
      </c>
      <c r="K63" s="141">
        <v>30</v>
      </c>
      <c r="L63" s="141">
        <v>31.536000000000001</v>
      </c>
      <c r="M63" s="141">
        <v>0.8</v>
      </c>
      <c r="R63" s="37"/>
      <c r="S63" s="37" t="str">
        <f>"INDOTHHPR"&amp;RIGHT(Commodities!$D$27,6)&amp;"_"&amp;AA63</f>
        <v>INDOTHHPROILPCK_AD</v>
      </c>
      <c r="T63" s="37" t="str">
        <f t="shared" si="18"/>
        <v>Process Heat INDOTH PetCoke_N_AD</v>
      </c>
      <c r="U63" s="37" t="s">
        <v>206</v>
      </c>
      <c r="V63" s="37" t="s">
        <v>293</v>
      </c>
      <c r="W63" s="37"/>
      <c r="X63" s="37"/>
      <c r="Y63" s="37"/>
      <c r="AA63" s="72" t="s">
        <v>276</v>
      </c>
      <c r="AG63" s="72"/>
      <c r="AH63" s="72"/>
      <c r="AI63" s="102"/>
      <c r="AJ63" s="72"/>
      <c r="AK63" s="72"/>
      <c r="AL63" s="72"/>
      <c r="AM63" s="72"/>
      <c r="AN63" s="102"/>
      <c r="AO63" s="102"/>
      <c r="AQ63" s="72"/>
      <c r="AR63" s="72"/>
      <c r="AS63" s="72"/>
      <c r="AT63" s="72"/>
    </row>
    <row r="64" spans="1:46" ht="13.8" x14ac:dyDescent="0.25">
      <c r="A64" s="72"/>
      <c r="B64" s="37" t="str">
        <f t="shared" si="19"/>
        <v>INDOTHSTMBIOBGS_IM</v>
      </c>
      <c r="C64" s="37" t="str">
        <f t="shared" si="20"/>
        <v>Steam Boiler INDOTH Biogas_N_IM</v>
      </c>
      <c r="D64" s="72" t="str">
        <f>D63</f>
        <v>INDBIOBGS</v>
      </c>
      <c r="E64" s="72" t="str">
        <f>E63</f>
        <v>INDOTHSTM</v>
      </c>
      <c r="F64" s="94">
        <f t="shared" ref="F64:F65" si="21">G64</f>
        <v>2025</v>
      </c>
      <c r="G64" s="72">
        <f>G63+7</f>
        <v>2025</v>
      </c>
      <c r="H64" s="140">
        <f>H55</f>
        <v>1.1875</v>
      </c>
      <c r="I64" s="95">
        <v>212.31637211590385</v>
      </c>
      <c r="J64" s="95">
        <f t="shared" si="17"/>
        <v>14.016</v>
      </c>
      <c r="K64" s="141">
        <v>30</v>
      </c>
      <c r="L64" s="141">
        <v>31.536000000000001</v>
      </c>
      <c r="M64" s="141">
        <v>0.8</v>
      </c>
      <c r="R64" s="37"/>
      <c r="S64" s="37" t="str">
        <f>"INDOTHHPR"&amp;RIGHT(Commodities!$D$30,6)&amp;"_"&amp;AA64</f>
        <v>INDOTHHPROILOTH_ST</v>
      </c>
      <c r="T64" s="37" t="str">
        <f>"Process Heat INDOTH Other Oil Products"&amp;"_"&amp;$S$5&amp;"_"&amp;AA64</f>
        <v>Process Heat INDOTH Other Oil Products_N_ST</v>
      </c>
      <c r="U64" s="37" t="s">
        <v>206</v>
      </c>
      <c r="V64" s="37" t="s">
        <v>293</v>
      </c>
      <c r="W64" s="37"/>
      <c r="X64" s="37"/>
      <c r="Y64" s="37"/>
      <c r="AA64" s="72" t="s">
        <v>274</v>
      </c>
      <c r="AG64" s="72"/>
      <c r="AH64" s="72"/>
      <c r="AI64" s="102"/>
      <c r="AJ64" s="72"/>
      <c r="AK64" s="72"/>
      <c r="AL64" s="72"/>
      <c r="AM64" s="72"/>
      <c r="AN64" s="102"/>
      <c r="AO64" s="102"/>
      <c r="AQ64" s="72"/>
      <c r="AR64" s="72"/>
    </row>
    <row r="65" spans="1:44" ht="13.8" x14ac:dyDescent="0.25">
      <c r="A65" s="72"/>
      <c r="B65" s="98" t="str">
        <f t="shared" si="19"/>
        <v>INDOTHSTMBIOBGS_AD</v>
      </c>
      <c r="C65" s="98" t="str">
        <f t="shared" si="20"/>
        <v>Steam Boiler INDOTH Biogas_N_AD</v>
      </c>
      <c r="D65" s="98" t="str">
        <f>D64</f>
        <v>INDBIOBGS</v>
      </c>
      <c r="E65" s="98" t="str">
        <f>E63</f>
        <v>INDOTHSTM</v>
      </c>
      <c r="F65" s="99">
        <f t="shared" si="21"/>
        <v>2035</v>
      </c>
      <c r="G65" s="98">
        <f>G64+10</f>
        <v>2035</v>
      </c>
      <c r="H65" s="146">
        <f>H56</f>
        <v>1.0625</v>
      </c>
      <c r="I65" s="144">
        <v>272.61961817575303</v>
      </c>
      <c r="J65" s="144">
        <f t="shared" si="17"/>
        <v>14.016</v>
      </c>
      <c r="K65" s="145">
        <v>30</v>
      </c>
      <c r="L65" s="145">
        <v>31.536000000000001</v>
      </c>
      <c r="M65" s="145">
        <v>0.8</v>
      </c>
      <c r="R65" s="37"/>
      <c r="S65" s="37" t="str">
        <f>"INDOTHHPR"&amp;RIGHT(Commodities!$D$30,6)&amp;"_"&amp;AA65</f>
        <v>INDOTHHPROILOTH_IM</v>
      </c>
      <c r="T65" s="37" t="str">
        <f t="shared" ref="T65:T66" si="22">"Process Heat INDOTH Other Oil Products"&amp;"_"&amp;$S$5&amp;"_"&amp;AA65</f>
        <v>Process Heat INDOTH Other Oil Products_N_IM</v>
      </c>
      <c r="U65" s="37" t="s">
        <v>206</v>
      </c>
      <c r="V65" s="37" t="s">
        <v>293</v>
      </c>
      <c r="W65" s="37"/>
      <c r="X65" s="37"/>
      <c r="Y65" s="37"/>
      <c r="AA65" s="72" t="s">
        <v>275</v>
      </c>
      <c r="AG65" s="72"/>
      <c r="AH65" s="72"/>
      <c r="AI65" s="102"/>
      <c r="AJ65" s="72"/>
      <c r="AK65" s="72"/>
      <c r="AL65" s="72"/>
      <c r="AM65" s="72"/>
      <c r="AN65" s="102"/>
      <c r="AO65" s="102"/>
      <c r="AQ65" s="72"/>
      <c r="AR65" s="72"/>
    </row>
    <row r="66" spans="1:44" ht="13.8" x14ac:dyDescent="0.25">
      <c r="A66" s="72"/>
      <c r="B66" s="37" t="str">
        <f>S43</f>
        <v>INDOTHSTMELC_ST</v>
      </c>
      <c r="C66" s="37" t="str">
        <f t="shared" ref="C66:C68" si="23">T43</f>
        <v>Steam Boiler INDOTH Electricity_N_ST</v>
      </c>
      <c r="D66" s="72" t="str">
        <f>Commodities!$D$341</f>
        <v>INDELC</v>
      </c>
      <c r="E66" s="72" t="s">
        <v>286</v>
      </c>
      <c r="F66" s="94">
        <f>G66</f>
        <v>2018</v>
      </c>
      <c r="G66" s="72">
        <v>2018</v>
      </c>
      <c r="H66" s="140">
        <v>1.1000000000000001</v>
      </c>
      <c r="I66" s="95">
        <v>833.33333333333337</v>
      </c>
      <c r="J66" s="95">
        <v>30</v>
      </c>
      <c r="K66" s="141">
        <v>30</v>
      </c>
      <c r="L66" s="141">
        <v>31.536000000000001</v>
      </c>
      <c r="M66" s="141">
        <v>0.8</v>
      </c>
      <c r="R66" s="37"/>
      <c r="S66" s="37" t="str">
        <f>"INDOTHHPR"&amp;RIGHT(Commodities!$D$30,6)&amp;"_"&amp;AA66</f>
        <v>INDOTHHPROILOTH_AD</v>
      </c>
      <c r="T66" s="37" t="str">
        <f t="shared" si="22"/>
        <v>Process Heat INDOTH Other Oil Products_N_AD</v>
      </c>
      <c r="U66" s="37" t="s">
        <v>206</v>
      </c>
      <c r="V66" s="37" t="s">
        <v>293</v>
      </c>
      <c r="W66" s="37"/>
      <c r="X66" s="37"/>
      <c r="Y66" s="37"/>
      <c r="AA66" s="72" t="s">
        <v>276</v>
      </c>
      <c r="AG66" s="72"/>
      <c r="AH66" s="72"/>
      <c r="AI66" s="102"/>
      <c r="AJ66" s="72"/>
      <c r="AK66" s="72"/>
      <c r="AL66" s="72"/>
      <c r="AM66" s="72"/>
      <c r="AN66" s="102"/>
      <c r="AO66" s="102"/>
      <c r="AQ66" s="72"/>
      <c r="AR66" s="72"/>
    </row>
    <row r="67" spans="1:44" ht="13.8" x14ac:dyDescent="0.25">
      <c r="A67" s="72"/>
      <c r="B67" s="37" t="str">
        <f t="shared" ref="B67:B68" si="24">S44</f>
        <v>INDOTHSTMELC_IM</v>
      </c>
      <c r="C67" s="37" t="str">
        <f t="shared" si="23"/>
        <v>Steam Boiler INDOTH Electricity_N_IM</v>
      </c>
      <c r="D67" s="72" t="str">
        <f>D66</f>
        <v>INDELC</v>
      </c>
      <c r="E67" s="72" t="str">
        <f>E66</f>
        <v>INDOTHSTM</v>
      </c>
      <c r="F67" s="94">
        <f t="shared" ref="F67:F68" si="25">G67</f>
        <v>2025</v>
      </c>
      <c r="G67" s="72">
        <f>G66+7</f>
        <v>2025</v>
      </c>
      <c r="H67" s="140">
        <f>H66*0.95</f>
        <v>1.0449999999999999</v>
      </c>
      <c r="I67" s="95">
        <v>1188.9124228590201</v>
      </c>
      <c r="J67" s="95">
        <v>30</v>
      </c>
      <c r="K67" s="141">
        <v>30</v>
      </c>
      <c r="L67" s="141">
        <v>31.536000000000001</v>
      </c>
      <c r="M67" s="141">
        <v>0.8</v>
      </c>
      <c r="R67" s="37"/>
      <c r="S67" s="37" t="str">
        <f>"INDOTHHPR"&amp;RIGHT(Commodities!$D$33,6)&amp;"_"&amp;AA67</f>
        <v>INDOTHHPRGASNAT_ST</v>
      </c>
      <c r="T67" s="37" t="str">
        <f>"Process Heat INDOTH N. Gas"&amp;"_"&amp;$S$5&amp;"_"&amp;AA67</f>
        <v>Process Heat INDOTH N. Gas_N_ST</v>
      </c>
      <c r="U67" s="37" t="s">
        <v>206</v>
      </c>
      <c r="V67" s="37" t="s">
        <v>293</v>
      </c>
      <c r="W67" s="37"/>
      <c r="X67" s="37"/>
      <c r="Y67" s="37"/>
      <c r="AA67" s="72" t="s">
        <v>274</v>
      </c>
      <c r="AG67" s="72"/>
      <c r="AH67" s="72"/>
      <c r="AI67" s="102"/>
      <c r="AJ67" s="72"/>
      <c r="AK67" s="72"/>
      <c r="AL67" s="72"/>
      <c r="AM67" s="72"/>
      <c r="AN67" s="102"/>
      <c r="AO67" s="102"/>
      <c r="AQ67" s="72"/>
      <c r="AR67" s="72"/>
    </row>
    <row r="68" spans="1:44" ht="13.8" x14ac:dyDescent="0.25">
      <c r="A68" s="72"/>
      <c r="B68" s="98" t="str">
        <f t="shared" si="24"/>
        <v>INDOTHSTMELC_AD</v>
      </c>
      <c r="C68" s="98" t="str">
        <f t="shared" si="23"/>
        <v>Steam Boiler INDOTH Electricity_N_AD</v>
      </c>
      <c r="D68" s="98" t="str">
        <f>D67</f>
        <v>INDELC</v>
      </c>
      <c r="E68" s="98" t="str">
        <f>E66</f>
        <v>INDOTHSTM</v>
      </c>
      <c r="F68" s="99">
        <f t="shared" si="25"/>
        <v>2035</v>
      </c>
      <c r="G68" s="98">
        <f>G67+10</f>
        <v>2035</v>
      </c>
      <c r="H68" s="143">
        <f>H66*0.92</f>
        <v>1.0120000000000002</v>
      </c>
      <c r="I68" s="144">
        <v>1526.5937691667855</v>
      </c>
      <c r="J68" s="144">
        <v>30</v>
      </c>
      <c r="K68" s="145">
        <v>30</v>
      </c>
      <c r="L68" s="145">
        <v>31.536000000000001</v>
      </c>
      <c r="M68" s="145">
        <v>0.8</v>
      </c>
      <c r="R68" s="37"/>
      <c r="S68" s="37" t="str">
        <f>"INDOTHHPR"&amp;RIGHT(Commodities!$D$33,6)&amp;"_"&amp;AA68</f>
        <v>INDOTHHPRGASNAT_IM</v>
      </c>
      <c r="T68" s="37" t="str">
        <f t="shared" ref="T68:T69" si="26">"Process Heat INDOTH N. Gas"&amp;"_"&amp;$S$5&amp;"_"&amp;AA68</f>
        <v>Process Heat INDOTH N. Gas_N_IM</v>
      </c>
      <c r="U68" s="37" t="s">
        <v>206</v>
      </c>
      <c r="V68" s="37" t="s">
        <v>293</v>
      </c>
      <c r="W68" s="37"/>
      <c r="X68" s="37"/>
      <c r="Y68" s="37"/>
      <c r="AA68" s="72" t="s">
        <v>275</v>
      </c>
      <c r="AG68" s="72"/>
      <c r="AH68" s="72"/>
      <c r="AI68" s="102"/>
      <c r="AJ68" s="72"/>
      <c r="AK68" s="72"/>
      <c r="AL68" s="72"/>
      <c r="AM68" s="72"/>
      <c r="AN68" s="102"/>
      <c r="AO68" s="102"/>
      <c r="AQ68" s="72"/>
      <c r="AR68" s="72"/>
    </row>
    <row r="69" spans="1:44" ht="13.8" x14ac:dyDescent="0.25">
      <c r="B69" s="37"/>
      <c r="R69" s="37"/>
      <c r="S69" s="37" t="str">
        <f>"INDOTHHPR"&amp;RIGHT(Commodities!$D$33,6)&amp;"_"&amp;AA69</f>
        <v>INDOTHHPRGASNAT_AD</v>
      </c>
      <c r="T69" s="37" t="str">
        <f t="shared" si="26"/>
        <v>Process Heat INDOTH N. Gas_N_AD</v>
      </c>
      <c r="U69" s="37" t="s">
        <v>206</v>
      </c>
      <c r="V69" s="37" t="s">
        <v>293</v>
      </c>
      <c r="W69" s="37"/>
      <c r="X69" s="37"/>
      <c r="Y69" s="37"/>
      <c r="AA69" s="72" t="s">
        <v>276</v>
      </c>
      <c r="AG69" s="72"/>
      <c r="AH69" s="72"/>
      <c r="AI69" s="102"/>
      <c r="AJ69" s="72"/>
      <c r="AK69" s="72"/>
      <c r="AL69" s="72"/>
      <c r="AM69" s="72"/>
      <c r="AN69" s="102"/>
      <c r="AO69" s="102"/>
      <c r="AQ69" s="72"/>
      <c r="AR69" s="72"/>
    </row>
    <row r="70" spans="1:44" ht="13.8" x14ac:dyDescent="0.25">
      <c r="R70" s="37"/>
      <c r="S70" s="37" t="str">
        <f>"INDOTHHPR"&amp;RIGHT(Commodities!$D$35,6)&amp;"_"&amp;AA70</f>
        <v>INDOTHHPRBIOLOG_ST</v>
      </c>
      <c r="T70" s="37" t="str">
        <f>"Process Heat INDOTH Biomass"&amp;"_"&amp;$S$5&amp;"_"&amp;AA70</f>
        <v>Process Heat INDOTH Biomass_N_ST</v>
      </c>
      <c r="U70" s="37" t="s">
        <v>206</v>
      </c>
      <c r="V70" s="37" t="s">
        <v>293</v>
      </c>
      <c r="W70" s="37"/>
      <c r="X70" s="37"/>
      <c r="Y70" s="37"/>
      <c r="AA70" s="72" t="s">
        <v>274</v>
      </c>
      <c r="AG70" s="72"/>
      <c r="AH70" s="72"/>
      <c r="AI70" s="102"/>
      <c r="AJ70" s="72"/>
      <c r="AK70" s="72"/>
      <c r="AL70" s="72"/>
      <c r="AM70" s="72"/>
      <c r="AN70" s="102"/>
      <c r="AO70" s="102"/>
      <c r="AQ70" s="72"/>
      <c r="AR70" s="72"/>
    </row>
    <row r="71" spans="1:44" ht="13.8" x14ac:dyDescent="0.25">
      <c r="B71" s="37"/>
      <c r="C71" s="37"/>
      <c r="D71" s="37"/>
      <c r="E71" s="136" t="s">
        <v>295</v>
      </c>
      <c r="F71" s="137" t="s">
        <v>0</v>
      </c>
      <c r="G71" s="138" t="s">
        <v>295</v>
      </c>
      <c r="H71" s="138" t="s">
        <v>295</v>
      </c>
      <c r="I71" s="138"/>
      <c r="J71" s="37"/>
      <c r="K71" s="37"/>
      <c r="L71" s="72"/>
      <c r="M71" s="72"/>
      <c r="R71" s="37"/>
      <c r="S71" s="37" t="str">
        <f>"INDOTHHPR"&amp;RIGHT(Commodities!$D$35,6)&amp;"_"&amp;AA71</f>
        <v>INDOTHHPRBIOLOG_IM</v>
      </c>
      <c r="T71" s="37" t="str">
        <f t="shared" ref="T71:T72" si="27">"Process Heat INDOTH Biomass"&amp;"_"&amp;$S$5&amp;"_"&amp;AA71</f>
        <v>Process Heat INDOTH Biomass_N_IM</v>
      </c>
      <c r="U71" s="37" t="s">
        <v>206</v>
      </c>
      <c r="V71" s="37" t="s">
        <v>293</v>
      </c>
      <c r="W71" s="37"/>
      <c r="X71" s="37"/>
      <c r="Y71" s="37"/>
      <c r="AA71" s="72" t="s">
        <v>275</v>
      </c>
      <c r="AG71" s="72"/>
      <c r="AH71" s="72"/>
      <c r="AI71" s="102"/>
      <c r="AJ71" s="72"/>
      <c r="AK71" s="72"/>
      <c r="AL71" s="72"/>
      <c r="AM71" s="72"/>
      <c r="AN71" s="102"/>
      <c r="AO71" s="102"/>
      <c r="AQ71" s="72"/>
      <c r="AR71" s="72"/>
    </row>
    <row r="72" spans="1:44" ht="13.8" x14ac:dyDescent="0.25">
      <c r="B72" s="45" t="s">
        <v>1</v>
      </c>
      <c r="C72" s="45" t="s">
        <v>227</v>
      </c>
      <c r="D72" s="45" t="s">
        <v>3</v>
      </c>
      <c r="E72" s="45" t="s">
        <v>4</v>
      </c>
      <c r="F72" s="46" t="s">
        <v>233</v>
      </c>
      <c r="G72" s="45" t="s">
        <v>14</v>
      </c>
      <c r="H72" s="139" t="s">
        <v>250</v>
      </c>
      <c r="I72" s="79" t="s">
        <v>36</v>
      </c>
      <c r="J72" s="49" t="s">
        <v>5</v>
      </c>
      <c r="K72" s="49" t="s">
        <v>48</v>
      </c>
      <c r="L72" s="46" t="s">
        <v>297</v>
      </c>
      <c r="R72" s="37"/>
      <c r="S72" s="37" t="str">
        <f>"INDOTHHPR"&amp;RIGHT(Commodities!$D$35,6)&amp;"_"&amp;AA72</f>
        <v>INDOTHHPRBIOLOG_AD</v>
      </c>
      <c r="T72" s="37" t="str">
        <f t="shared" si="27"/>
        <v>Process Heat INDOTH Biomass_N_AD</v>
      </c>
      <c r="U72" s="37" t="s">
        <v>206</v>
      </c>
      <c r="V72" s="37" t="s">
        <v>293</v>
      </c>
      <c r="W72" s="37"/>
      <c r="X72" s="37"/>
      <c r="Y72" s="37"/>
      <c r="AA72" s="72" t="s">
        <v>276</v>
      </c>
      <c r="AG72" s="72"/>
      <c r="AH72" s="72"/>
      <c r="AI72" s="102"/>
      <c r="AJ72" s="72"/>
      <c r="AK72" s="72"/>
      <c r="AL72" s="72"/>
      <c r="AM72" s="72"/>
      <c r="AN72" s="102"/>
      <c r="AO72" s="102"/>
      <c r="AQ72" s="72"/>
      <c r="AR72" s="72"/>
    </row>
    <row r="73" spans="1:44" ht="14.4" thickBot="1" x14ac:dyDescent="0.3">
      <c r="B73" s="54" t="s">
        <v>280</v>
      </c>
      <c r="C73" s="54" t="s">
        <v>28</v>
      </c>
      <c r="D73" s="54" t="s">
        <v>32</v>
      </c>
      <c r="E73" s="54" t="s">
        <v>33</v>
      </c>
      <c r="F73" s="54"/>
      <c r="G73" s="84" t="s">
        <v>35</v>
      </c>
      <c r="H73" s="84"/>
      <c r="I73" s="84" t="s">
        <v>37</v>
      </c>
      <c r="J73" s="54" t="s">
        <v>38</v>
      </c>
      <c r="K73" s="54" t="s">
        <v>218</v>
      </c>
      <c r="L73" s="54"/>
      <c r="R73" s="37"/>
      <c r="S73" s="37" t="str">
        <f>"INDOTHHPR"&amp;RIGHT(Commodities!$D$349,3)&amp;"_"&amp;AA73</f>
        <v>INDOTHHPRHTH_ST</v>
      </c>
      <c r="T73" s="37" t="str">
        <f>"Process Heat INDOTH Heat"&amp;"_"&amp;$S$5&amp;"_"&amp;AA73</f>
        <v>Process Heat INDOTH Heat_N_ST</v>
      </c>
      <c r="U73" s="37" t="s">
        <v>206</v>
      </c>
      <c r="V73" s="37" t="s">
        <v>293</v>
      </c>
      <c r="W73" s="37"/>
      <c r="X73" s="37"/>
      <c r="Y73" s="37"/>
      <c r="AA73" s="72" t="s">
        <v>274</v>
      </c>
      <c r="AG73" s="72"/>
      <c r="AH73" s="72"/>
      <c r="AI73" s="102"/>
      <c r="AJ73" s="72"/>
      <c r="AK73" s="72"/>
      <c r="AL73" s="72"/>
      <c r="AM73" s="72"/>
      <c r="AN73" s="102"/>
      <c r="AO73" s="102"/>
      <c r="AQ73" s="72"/>
      <c r="AR73" s="72"/>
    </row>
    <row r="74" spans="1:44" ht="13.8" x14ac:dyDescent="0.25">
      <c r="B74" s="89" t="s">
        <v>281</v>
      </c>
      <c r="C74" s="90"/>
      <c r="D74" s="90"/>
      <c r="E74" s="90"/>
      <c r="F74" s="90"/>
      <c r="G74" s="90"/>
      <c r="H74" s="90"/>
      <c r="I74" s="90" t="s">
        <v>448</v>
      </c>
      <c r="J74" s="90" t="s">
        <v>448</v>
      </c>
      <c r="K74" s="90" t="s">
        <v>40</v>
      </c>
      <c r="L74" s="90"/>
      <c r="R74" s="37"/>
      <c r="S74" s="37" t="str">
        <f>"INDOTHHPR"&amp;RIGHT(Commodities!$D$349,3)&amp;"_"&amp;AA74</f>
        <v>INDOTHHPRHTH_IM</v>
      </c>
      <c r="T74" s="37" t="str">
        <f t="shared" ref="T74:T75" si="28">"Process Heat INDOTH Heat"&amp;"_"&amp;$S$5&amp;"_"&amp;AA74</f>
        <v>Process Heat INDOTH Heat_N_IM</v>
      </c>
      <c r="U74" s="37" t="s">
        <v>206</v>
      </c>
      <c r="V74" s="37" t="s">
        <v>293</v>
      </c>
      <c r="W74" s="37"/>
      <c r="X74" s="37"/>
      <c r="Y74" s="37"/>
      <c r="AA74" s="72" t="s">
        <v>275</v>
      </c>
      <c r="AG74" s="72"/>
      <c r="AH74" s="72"/>
      <c r="AI74" s="102"/>
      <c r="AJ74" s="72"/>
      <c r="AK74" s="72"/>
      <c r="AL74" s="72"/>
      <c r="AM74" s="72"/>
      <c r="AN74" s="102"/>
      <c r="AO74" s="102"/>
      <c r="AQ74" s="72"/>
      <c r="AR74" s="72"/>
    </row>
    <row r="75" spans="1:44" ht="13.8" x14ac:dyDescent="0.25">
      <c r="B75" s="37" t="str">
        <f>S46</f>
        <v>INDOTHHPRCOASUB_ST</v>
      </c>
      <c r="C75" s="37" t="str">
        <f>T46</f>
        <v>Process Heat INDOTH Sub-bituminous_N_ST</v>
      </c>
      <c r="D75" s="72" t="s">
        <v>426</v>
      </c>
      <c r="E75" s="72" t="s">
        <v>267</v>
      </c>
      <c r="F75" s="94">
        <f>G75</f>
        <v>2018</v>
      </c>
      <c r="G75" s="72">
        <v>2018</v>
      </c>
      <c r="H75" s="140">
        <f>O75</f>
        <v>1.4285714285714286</v>
      </c>
      <c r="I75" s="95">
        <f>(728.4816*(1/0.9))*(1/25)</f>
        <v>32.376959999999997</v>
      </c>
      <c r="J75" s="147">
        <f t="shared" ref="J75:J110" si="29">I75*0.1</f>
        <v>3.2376959999999997</v>
      </c>
      <c r="K75" s="141">
        <v>30</v>
      </c>
      <c r="L75" s="141">
        <v>0.8</v>
      </c>
      <c r="O75" s="142">
        <v>1.4285714285714286</v>
      </c>
      <c r="R75" s="37"/>
      <c r="S75" s="37" t="str">
        <f>"INDOTHHPR"&amp;RIGHT(Commodities!$D$349,3)&amp;"_"&amp;AA75</f>
        <v>INDOTHHPRHTH_AD</v>
      </c>
      <c r="T75" s="37" t="str">
        <f t="shared" si="28"/>
        <v>Process Heat INDOTH Heat_N_AD</v>
      </c>
      <c r="U75" s="37" t="s">
        <v>206</v>
      </c>
      <c r="V75" s="37" t="s">
        <v>293</v>
      </c>
      <c r="W75" s="37"/>
      <c r="X75" s="37"/>
      <c r="Y75" s="37"/>
      <c r="AA75" s="72" t="s">
        <v>276</v>
      </c>
      <c r="AG75" s="72"/>
      <c r="AH75" s="72"/>
      <c r="AI75" s="102"/>
      <c r="AJ75" s="72"/>
      <c r="AK75" s="72"/>
      <c r="AL75" s="72"/>
      <c r="AM75" s="72"/>
      <c r="AN75" s="102"/>
      <c r="AO75" s="102"/>
      <c r="AQ75" s="72"/>
      <c r="AR75" s="72"/>
    </row>
    <row r="76" spans="1:44" ht="13.8" x14ac:dyDescent="0.25">
      <c r="B76" s="37" t="str">
        <f t="shared" ref="B76:C106" si="30">S47</f>
        <v>INDOTHHPRCOASUB_IM</v>
      </c>
      <c r="C76" s="37" t="str">
        <f t="shared" si="30"/>
        <v>Process Heat INDOTH Sub-bituminous_N_IM</v>
      </c>
      <c r="D76" s="72" t="str">
        <f>D75</f>
        <v>INDCOASUB</v>
      </c>
      <c r="E76" s="72" t="str">
        <f>E75</f>
        <v>INDOTHHPR</v>
      </c>
      <c r="F76" s="94">
        <f t="shared" ref="F76:F107" si="31">G76</f>
        <v>2025</v>
      </c>
      <c r="G76" s="72">
        <f>G75+7</f>
        <v>2025</v>
      </c>
      <c r="H76" s="140">
        <f>H75*0.95</f>
        <v>1.3571428571428572</v>
      </c>
      <c r="I76" s="147">
        <f>I75*I35/I34</f>
        <v>41.572839555082332</v>
      </c>
      <c r="J76" s="147">
        <f t="shared" si="29"/>
        <v>4.157283955508233</v>
      </c>
      <c r="K76" s="141">
        <v>30</v>
      </c>
      <c r="L76" s="141">
        <v>0.8</v>
      </c>
      <c r="O76" s="142">
        <v>1.4285714285714286</v>
      </c>
      <c r="R76" s="37"/>
      <c r="S76" s="37" t="str">
        <f>"INDOTHHPR"&amp;RIGHT(Commodities!$D$343,3)&amp;"_"&amp;AA76</f>
        <v>INDOTHHPRELC_ST</v>
      </c>
      <c r="T76" s="37" t="str">
        <f>"Process Heat INDOTH Electricity"&amp;"_"&amp;$S$5&amp;"_"&amp;AA76</f>
        <v>Process Heat INDOTH Electricity_N_ST</v>
      </c>
      <c r="U76" s="37" t="s">
        <v>206</v>
      </c>
      <c r="V76" s="37" t="s">
        <v>293</v>
      </c>
      <c r="W76" s="37"/>
      <c r="X76" s="37"/>
      <c r="Y76" s="37"/>
      <c r="AA76" s="72" t="s">
        <v>274</v>
      </c>
      <c r="AG76" s="72"/>
      <c r="AH76" s="72"/>
      <c r="AI76" s="102"/>
      <c r="AJ76" s="72"/>
      <c r="AK76" s="72"/>
      <c r="AL76" s="72"/>
      <c r="AM76" s="72"/>
      <c r="AN76" s="102"/>
      <c r="AO76" s="102"/>
      <c r="AQ76" s="72"/>
      <c r="AR76" s="72"/>
    </row>
    <row r="77" spans="1:44" ht="13.8" x14ac:dyDescent="0.25">
      <c r="B77" s="98" t="str">
        <f t="shared" si="30"/>
        <v>INDOTHHPRCOASUB_AD</v>
      </c>
      <c r="C77" s="98" t="str">
        <f t="shared" si="30"/>
        <v>Process Heat INDOTH Sub-bituminous_N_AD</v>
      </c>
      <c r="D77" s="98" t="str">
        <f>D76</f>
        <v>INDCOASUB</v>
      </c>
      <c r="E77" s="98" t="str">
        <f>E75</f>
        <v>INDOTHHPR</v>
      </c>
      <c r="F77" s="99">
        <f t="shared" si="31"/>
        <v>2035</v>
      </c>
      <c r="G77" s="98">
        <f>G76+10</f>
        <v>2035</v>
      </c>
      <c r="H77" s="143">
        <f>H75*0.85</f>
        <v>1.2142857142857142</v>
      </c>
      <c r="I77" s="148">
        <f>I75*I35/I33</f>
        <v>59.31175848067469</v>
      </c>
      <c r="J77" s="148">
        <f t="shared" si="29"/>
        <v>5.9311758480674692</v>
      </c>
      <c r="K77" s="145">
        <v>30</v>
      </c>
      <c r="L77" s="145">
        <v>0.8</v>
      </c>
      <c r="O77" s="142">
        <v>1.4285714285714286</v>
      </c>
      <c r="R77" s="37"/>
      <c r="S77" s="37" t="str">
        <f>"INDOTHHPR"&amp;RIGHT(Commodities!$D$343,3)&amp;"_"&amp;AA77</f>
        <v>INDOTHHPRELC_IM</v>
      </c>
      <c r="T77" s="37" t="str">
        <f t="shared" ref="T77:T78" si="32">"Process Heat INDOTH Electricity"&amp;"_"&amp;$S$5&amp;"_"&amp;AA77</f>
        <v>Process Heat INDOTH Electricity_N_IM</v>
      </c>
      <c r="U77" s="37" t="s">
        <v>206</v>
      </c>
      <c r="V77" s="37" t="s">
        <v>293</v>
      </c>
      <c r="W77" s="37"/>
      <c r="X77" s="37"/>
      <c r="Y77" s="37"/>
      <c r="AA77" s="72" t="s">
        <v>275</v>
      </c>
      <c r="AG77" s="72"/>
      <c r="AH77" s="72"/>
      <c r="AI77" s="102"/>
      <c r="AJ77" s="72"/>
      <c r="AK77" s="72"/>
      <c r="AL77" s="72"/>
      <c r="AM77" s="72"/>
      <c r="AN77" s="102"/>
      <c r="AO77" s="102"/>
      <c r="AQ77" s="72"/>
      <c r="AR77" s="72"/>
    </row>
    <row r="78" spans="1:44" ht="13.8" x14ac:dyDescent="0.25">
      <c r="B78" s="37" t="str">
        <f t="shared" si="30"/>
        <v>INDOTHHPRCOABIC_ST</v>
      </c>
      <c r="C78" s="37" t="str">
        <f t="shared" si="30"/>
        <v>Process Heat INDOTH Bituminous_N_ST</v>
      </c>
      <c r="D78" s="72" t="s">
        <v>141</v>
      </c>
      <c r="E78" s="72" t="s">
        <v>267</v>
      </c>
      <c r="F78" s="94">
        <f>G78</f>
        <v>2018</v>
      </c>
      <c r="G78" s="72">
        <v>2018</v>
      </c>
      <c r="H78" s="140">
        <f>O76</f>
        <v>1.4285714285714286</v>
      </c>
      <c r="I78" s="95">
        <f>(728.4816*(1/0.9))*(1/25)</f>
        <v>32.376959999999997</v>
      </c>
      <c r="J78" s="147">
        <f t="shared" si="29"/>
        <v>3.2376959999999997</v>
      </c>
      <c r="K78" s="141">
        <v>30</v>
      </c>
      <c r="L78" s="141">
        <v>0.8</v>
      </c>
      <c r="O78" s="142">
        <v>1.2820512820512819</v>
      </c>
      <c r="R78" s="37"/>
      <c r="S78" s="37" t="str">
        <f>"INDOTHHPR"&amp;RIGHT(Commodities!$D$343,3)&amp;"_"&amp;AA78</f>
        <v>INDOTHHPRELC_AD</v>
      </c>
      <c r="T78" s="37" t="str">
        <f t="shared" si="32"/>
        <v>Process Heat INDOTH Electricity_N_AD</v>
      </c>
      <c r="U78" s="37" t="s">
        <v>206</v>
      </c>
      <c r="V78" s="37" t="s">
        <v>293</v>
      </c>
      <c r="W78" s="37"/>
      <c r="X78" s="37"/>
      <c r="Y78" s="37"/>
      <c r="AA78" s="72" t="s">
        <v>276</v>
      </c>
      <c r="AG78" s="72"/>
      <c r="AH78" s="72"/>
      <c r="AI78" s="102"/>
      <c r="AJ78" s="72"/>
      <c r="AK78" s="72"/>
      <c r="AL78" s="72"/>
      <c r="AM78" s="72"/>
      <c r="AN78" s="102"/>
      <c r="AO78" s="102"/>
      <c r="AQ78" s="72"/>
      <c r="AR78" s="72"/>
    </row>
    <row r="79" spans="1:44" ht="13.8" x14ac:dyDescent="0.25">
      <c r="B79" s="37" t="str">
        <f t="shared" si="30"/>
        <v>INDOTHHPRCOABIC_IM</v>
      </c>
      <c r="C79" s="37" t="str">
        <f t="shared" si="30"/>
        <v>Process Heat INDOTH Bituminous_N_IM</v>
      </c>
      <c r="D79" s="72" t="str">
        <f>D78</f>
        <v>INDCOABIC</v>
      </c>
      <c r="E79" s="72" t="str">
        <f>E78</f>
        <v>INDOTHHPR</v>
      </c>
      <c r="F79" s="94">
        <f t="shared" si="31"/>
        <v>2025</v>
      </c>
      <c r="G79" s="72">
        <f>G78+7</f>
        <v>2025</v>
      </c>
      <c r="H79" s="140">
        <f>H78*0.95</f>
        <v>1.3571428571428572</v>
      </c>
      <c r="I79" s="147">
        <f>I78*I38/I37</f>
        <v>41.572839555082332</v>
      </c>
      <c r="J79" s="147">
        <f t="shared" si="29"/>
        <v>4.157283955508233</v>
      </c>
      <c r="K79" s="141">
        <v>30</v>
      </c>
      <c r="L79" s="141">
        <v>0.8</v>
      </c>
      <c r="O79" s="142">
        <v>1.2820512820512819</v>
      </c>
      <c r="R79" s="37"/>
      <c r="S79" s="37" t="str">
        <f>"INDOTHHPR"&amp;RIGHT(Commodities!$D$51,6)&amp;"_"&amp;AA79</f>
        <v>INDOTHHPRBIOBGS_ST</v>
      </c>
      <c r="T79" s="37" t="str">
        <f>"Process Heat INDOTH Biogas"&amp;"_"&amp;$S$5&amp;"_"&amp;AA79</f>
        <v>Process Heat INDOTH Biogas_N_ST</v>
      </c>
      <c r="U79" s="37" t="s">
        <v>206</v>
      </c>
      <c r="V79" s="37" t="s">
        <v>293</v>
      </c>
      <c r="W79" s="37"/>
      <c r="X79" s="37"/>
      <c r="Y79" s="37"/>
      <c r="AA79" s="72" t="s">
        <v>274</v>
      </c>
      <c r="AG79" s="72"/>
      <c r="AH79" s="72"/>
      <c r="AI79" s="102"/>
      <c r="AJ79" s="72"/>
      <c r="AK79" s="72"/>
      <c r="AL79" s="72"/>
      <c r="AM79" s="72"/>
      <c r="AN79" s="102"/>
      <c r="AO79" s="102"/>
      <c r="AQ79" s="72"/>
      <c r="AR79" s="72"/>
    </row>
    <row r="80" spans="1:44" ht="13.8" x14ac:dyDescent="0.25">
      <c r="B80" s="98" t="str">
        <f t="shared" si="30"/>
        <v>INDOTHHPRCOABIC_AD</v>
      </c>
      <c r="C80" s="98" t="str">
        <f t="shared" si="30"/>
        <v>Process Heat INDOTH Bituminous_N_AD</v>
      </c>
      <c r="D80" s="98" t="str">
        <f>D79</f>
        <v>INDCOABIC</v>
      </c>
      <c r="E80" s="98" t="str">
        <f>E78</f>
        <v>INDOTHHPR</v>
      </c>
      <c r="F80" s="99">
        <f t="shared" si="31"/>
        <v>2035</v>
      </c>
      <c r="G80" s="98">
        <f>G79+10</f>
        <v>2035</v>
      </c>
      <c r="H80" s="143">
        <f>H78*0.85</f>
        <v>1.2142857142857142</v>
      </c>
      <c r="I80" s="148">
        <f>I78*I38/I36</f>
        <v>59.31175848067469</v>
      </c>
      <c r="J80" s="148">
        <f t="shared" si="29"/>
        <v>5.9311758480674692</v>
      </c>
      <c r="K80" s="145">
        <v>30</v>
      </c>
      <c r="L80" s="145">
        <v>0.8</v>
      </c>
      <c r="O80" s="142">
        <v>1.4285714285714286</v>
      </c>
      <c r="R80" s="37"/>
      <c r="S80" s="37" t="str">
        <f>"INDOTHHPR"&amp;RIGHT(Commodities!$D$51,6)&amp;"_"&amp;AA80</f>
        <v>INDOTHHPRBIOBGS_IM</v>
      </c>
      <c r="T80" s="37" t="str">
        <f>"Process Heat INDOTH Biogas"&amp;"_"&amp;$S$5&amp;"_"&amp;AA80</f>
        <v>Process Heat INDOTH Biogas_N_IM</v>
      </c>
      <c r="U80" s="37" t="s">
        <v>206</v>
      </c>
      <c r="V80" s="37" t="s">
        <v>293</v>
      </c>
      <c r="W80" s="37"/>
      <c r="X80" s="37"/>
      <c r="Y80" s="37"/>
      <c r="AA80" s="72" t="s">
        <v>275</v>
      </c>
      <c r="AG80" s="72"/>
      <c r="AH80" s="72"/>
      <c r="AI80" s="102"/>
      <c r="AJ80" s="72"/>
      <c r="AK80" s="72"/>
      <c r="AL80" s="72"/>
      <c r="AM80" s="72"/>
      <c r="AN80" s="102"/>
      <c r="AO80" s="102"/>
      <c r="AQ80" s="72"/>
      <c r="AR80" s="72"/>
    </row>
    <row r="81" spans="2:44" ht="13.8" x14ac:dyDescent="0.25">
      <c r="B81" s="37" t="str">
        <f t="shared" si="30"/>
        <v>INDOTHHPRCOABCO_ST</v>
      </c>
      <c r="C81" s="37" t="str">
        <f t="shared" si="30"/>
        <v>Process Heat INDOTH Lignite_N_ST</v>
      </c>
      <c r="D81" s="72" t="s">
        <v>430</v>
      </c>
      <c r="E81" s="72" t="s">
        <v>267</v>
      </c>
      <c r="F81" s="94">
        <f>G81</f>
        <v>2018</v>
      </c>
      <c r="G81" s="72">
        <v>2018</v>
      </c>
      <c r="H81" s="140">
        <f>O77</f>
        <v>1.4285714285714286</v>
      </c>
      <c r="I81" s="95">
        <f>(728.4816*(1/0.9))*(1/25)</f>
        <v>32.376959999999997</v>
      </c>
      <c r="J81" s="147">
        <f t="shared" si="29"/>
        <v>3.2376959999999997</v>
      </c>
      <c r="K81" s="141">
        <v>30</v>
      </c>
      <c r="L81" s="141">
        <v>0.8</v>
      </c>
      <c r="O81" s="142">
        <v>1.2820512820512819</v>
      </c>
      <c r="R81" s="98"/>
      <c r="S81" s="98" t="str">
        <f>"INDOTHHPR"&amp;RIGHT(Commodities!$D$51,6)&amp;"_"&amp;AA81</f>
        <v>INDOTHHPRBIOBGS_AD</v>
      </c>
      <c r="T81" s="98" t="str">
        <f>"Process Heat INDOTH Biogas"&amp;"_"&amp;$S$5&amp;"_"&amp;AA81</f>
        <v>Process Heat INDOTH Biogas_N_AD</v>
      </c>
      <c r="U81" s="98" t="s">
        <v>206</v>
      </c>
      <c r="V81" s="98" t="s">
        <v>293</v>
      </c>
      <c r="W81" s="98"/>
      <c r="X81" s="98"/>
      <c r="Y81" s="98"/>
      <c r="AA81" s="72" t="s">
        <v>276</v>
      </c>
      <c r="AG81" s="72"/>
      <c r="AH81" s="72"/>
      <c r="AI81" s="102"/>
      <c r="AJ81" s="72"/>
      <c r="AK81" s="72"/>
      <c r="AL81" s="72"/>
      <c r="AM81" s="72"/>
      <c r="AN81" s="102"/>
      <c r="AO81" s="102"/>
      <c r="AQ81" s="72"/>
      <c r="AR81" s="72"/>
    </row>
    <row r="82" spans="2:44" ht="13.8" x14ac:dyDescent="0.25">
      <c r="B82" s="37" t="str">
        <f t="shared" si="30"/>
        <v>INDOTHHPRCOABCO_IM</v>
      </c>
      <c r="C82" s="37" t="str">
        <f t="shared" si="30"/>
        <v>Process Heat INDOTH Lignite_N_IM</v>
      </c>
      <c r="D82" s="72" t="str">
        <f>D81</f>
        <v>INDCOABCO</v>
      </c>
      <c r="E82" s="72" t="str">
        <f>E81</f>
        <v>INDOTHHPR</v>
      </c>
      <c r="F82" s="94">
        <f t="shared" si="31"/>
        <v>2025</v>
      </c>
      <c r="G82" s="72">
        <f>G81+7</f>
        <v>2025</v>
      </c>
      <c r="H82" s="140">
        <f>H81*0.95</f>
        <v>1.3571428571428572</v>
      </c>
      <c r="I82" s="147">
        <f>I81*I41/I40</f>
        <v>41.572839555082332</v>
      </c>
      <c r="J82" s="147">
        <f t="shared" si="29"/>
        <v>4.157283955508233</v>
      </c>
      <c r="K82" s="141">
        <v>30</v>
      </c>
      <c r="L82" s="141">
        <v>0.8</v>
      </c>
      <c r="O82" s="142">
        <v>1.25</v>
      </c>
      <c r="R82" s="37"/>
      <c r="S82" s="37" t="str">
        <f>"INDOTHMCD"&amp;RIGHT(Commodities!$D$18,6)&amp;"_"&amp;AA82</f>
        <v>INDOTHMCDOILDSL_ST</v>
      </c>
      <c r="T82" s="37" t="str">
        <f>"Machine Drive INDOTH Diesel"&amp;"_"&amp;$S$5&amp;"_"&amp;AA82</f>
        <v>Machine Drive INDOTH Diesel_N_ST</v>
      </c>
      <c r="U82" s="37" t="s">
        <v>206</v>
      </c>
      <c r="V82" s="37" t="s">
        <v>293</v>
      </c>
      <c r="W82" s="37"/>
      <c r="X82" s="37"/>
      <c r="Y82" s="37"/>
      <c r="AA82" s="72" t="s">
        <v>274</v>
      </c>
      <c r="AG82" s="72"/>
      <c r="AH82" s="72"/>
      <c r="AI82" s="102"/>
      <c r="AJ82" s="72"/>
      <c r="AK82" s="72"/>
      <c r="AL82" s="72"/>
      <c r="AM82" s="72"/>
      <c r="AN82" s="102"/>
      <c r="AO82" s="102"/>
      <c r="AQ82" s="72"/>
      <c r="AR82" s="72"/>
    </row>
    <row r="83" spans="2:44" ht="13.8" x14ac:dyDescent="0.25">
      <c r="B83" s="98" t="str">
        <f t="shared" si="30"/>
        <v>INDOTHHPRCOABCO_AD</v>
      </c>
      <c r="C83" s="98" t="str">
        <f t="shared" si="30"/>
        <v>Process Heat INDOTH Lignite_N_AD</v>
      </c>
      <c r="D83" s="98" t="str">
        <f>D82</f>
        <v>INDCOABCO</v>
      </c>
      <c r="E83" s="98" t="str">
        <f>E81</f>
        <v>INDOTHHPR</v>
      </c>
      <c r="F83" s="99">
        <f t="shared" si="31"/>
        <v>2035</v>
      </c>
      <c r="G83" s="98">
        <f>G82+10</f>
        <v>2035</v>
      </c>
      <c r="H83" s="143">
        <f>H81*0.85</f>
        <v>1.2142857142857142</v>
      </c>
      <c r="I83" s="148">
        <f>I81*I41/I39</f>
        <v>59.31175848067469</v>
      </c>
      <c r="J83" s="148">
        <f t="shared" si="29"/>
        <v>5.9311758480674692</v>
      </c>
      <c r="K83" s="145">
        <v>30</v>
      </c>
      <c r="L83" s="145">
        <v>0.8</v>
      </c>
      <c r="O83" s="142">
        <v>1.4285714285714286</v>
      </c>
      <c r="R83" s="37"/>
      <c r="S83" s="37" t="str">
        <f>"INDOTHMCD"&amp;RIGHT(Commodities!$D$18,6)&amp;"_"&amp;AA83</f>
        <v>INDOTHMCDOILDSL_IM</v>
      </c>
      <c r="T83" s="37" t="str">
        <f t="shared" ref="T83:T84" si="33">"Machine Drive INDOTH Diesel"&amp;"_"&amp;$S$5&amp;"_"&amp;AA83</f>
        <v>Machine Drive INDOTH Diesel_N_IM</v>
      </c>
      <c r="U83" s="37" t="s">
        <v>206</v>
      </c>
      <c r="V83" s="37" t="s">
        <v>293</v>
      </c>
      <c r="W83" s="37"/>
      <c r="X83" s="37"/>
      <c r="Y83" s="37"/>
      <c r="AA83" s="72" t="s">
        <v>275</v>
      </c>
      <c r="AG83" s="72"/>
      <c r="AH83" s="72"/>
      <c r="AI83" s="102"/>
      <c r="AJ83" s="72"/>
      <c r="AK83" s="72"/>
      <c r="AL83" s="72"/>
      <c r="AM83" s="72"/>
      <c r="AN83" s="102"/>
      <c r="AO83" s="102"/>
      <c r="AQ83" s="72"/>
      <c r="AR83" s="72"/>
    </row>
    <row r="84" spans="2:44" ht="13.8" x14ac:dyDescent="0.25">
      <c r="B84" s="37" t="str">
        <f t="shared" si="30"/>
        <v>INDOTHHPROILDSL_ST</v>
      </c>
      <c r="C84" s="37" t="str">
        <f t="shared" si="30"/>
        <v>Process Heat INDOTH Diesel_N_ST</v>
      </c>
      <c r="D84" s="72" t="s">
        <v>150</v>
      </c>
      <c r="E84" s="72" t="s">
        <v>267</v>
      </c>
      <c r="F84" s="94">
        <f>G84</f>
        <v>2018</v>
      </c>
      <c r="G84" s="72">
        <v>2018</v>
      </c>
      <c r="H84" s="140">
        <f>O78</f>
        <v>1.2820512820512819</v>
      </c>
      <c r="I84" s="95">
        <f>(315.36*(1/0.9))*(1/25)</f>
        <v>14.016000000000002</v>
      </c>
      <c r="J84" s="147">
        <f t="shared" si="29"/>
        <v>1.4016000000000002</v>
      </c>
      <c r="K84" s="141">
        <v>30</v>
      </c>
      <c r="L84" s="141">
        <v>0.8</v>
      </c>
      <c r="O84" s="142">
        <v>1.2</v>
      </c>
      <c r="R84" s="37"/>
      <c r="S84" s="37" t="str">
        <f>"INDOTHMCD"&amp;RIGHT(Commodities!$D$18,6)&amp;"_"&amp;AA84</f>
        <v>INDOTHMCDOILDSL_AD</v>
      </c>
      <c r="T84" s="37" t="str">
        <f t="shared" si="33"/>
        <v>Machine Drive INDOTH Diesel_N_AD</v>
      </c>
      <c r="U84" s="37" t="s">
        <v>206</v>
      </c>
      <c r="V84" s="37" t="s">
        <v>293</v>
      </c>
      <c r="W84" s="37"/>
      <c r="X84" s="37"/>
      <c r="Y84" s="37"/>
      <c r="AA84" s="72" t="s">
        <v>276</v>
      </c>
      <c r="AG84" s="72"/>
      <c r="AH84" s="72"/>
      <c r="AI84" s="102"/>
      <c r="AJ84" s="72"/>
      <c r="AK84" s="72"/>
      <c r="AL84" s="72"/>
      <c r="AM84" s="72"/>
      <c r="AN84" s="102"/>
      <c r="AO84" s="102"/>
      <c r="AQ84" s="72"/>
      <c r="AR84" s="72"/>
    </row>
    <row r="85" spans="2:44" ht="13.8" x14ac:dyDescent="0.25">
      <c r="B85" s="37" t="str">
        <f t="shared" si="30"/>
        <v>INDOTHHPROILDSL_IM</v>
      </c>
      <c r="C85" s="37" t="str">
        <f t="shared" si="30"/>
        <v>Process Heat INDOTH Diesel_N_IM</v>
      </c>
      <c r="D85" s="72" t="str">
        <f>D84</f>
        <v>INDOILDSL</v>
      </c>
      <c r="E85" s="72" t="str">
        <f>E84</f>
        <v>INDOTHHPR</v>
      </c>
      <c r="F85" s="94">
        <f t="shared" si="31"/>
        <v>2025</v>
      </c>
      <c r="G85" s="72">
        <f>G84+7</f>
        <v>2025</v>
      </c>
      <c r="H85" s="140">
        <f>H84*0.95</f>
        <v>1.2179487179487178</v>
      </c>
      <c r="I85" s="147">
        <f>I84*I44/I43</f>
        <v>17.996900240295389</v>
      </c>
      <c r="J85" s="147">
        <f t="shared" si="29"/>
        <v>1.799690024029539</v>
      </c>
      <c r="K85" s="141">
        <v>30</v>
      </c>
      <c r="L85" s="141">
        <v>0.8</v>
      </c>
      <c r="O85" s="142">
        <v>1.1000000000000001</v>
      </c>
      <c r="R85" s="37"/>
      <c r="S85" s="37" t="str">
        <f>"INDOTHMCD"&amp;RIGHT(Commodities!$D$33,6)&amp;"_"&amp;AA85</f>
        <v>INDOTHMCDGASNAT_ST</v>
      </c>
      <c r="T85" s="37" t="str">
        <f>"Machine Drive INDOTH N. Gas"&amp;"_"&amp;$S$5&amp;"_"&amp;AA85</f>
        <v>Machine Drive INDOTH N. Gas_N_ST</v>
      </c>
      <c r="U85" s="37" t="s">
        <v>206</v>
      </c>
      <c r="V85" s="37" t="s">
        <v>293</v>
      </c>
      <c r="W85" s="37"/>
      <c r="X85" s="37"/>
      <c r="Y85" s="37"/>
      <c r="AA85" s="72" t="s">
        <v>274</v>
      </c>
      <c r="AG85" s="72"/>
      <c r="AH85" s="72"/>
      <c r="AI85" s="102"/>
      <c r="AJ85" s="72"/>
      <c r="AK85" s="72"/>
      <c r="AL85" s="72"/>
      <c r="AM85" s="72"/>
      <c r="AN85" s="102"/>
      <c r="AO85" s="102"/>
      <c r="AP85" s="72"/>
      <c r="AQ85" s="72"/>
      <c r="AR85" s="72"/>
    </row>
    <row r="86" spans="2:44" ht="13.8" x14ac:dyDescent="0.25">
      <c r="B86" s="98" t="str">
        <f t="shared" si="30"/>
        <v>INDOTHHPROILDSL_AD</v>
      </c>
      <c r="C86" s="98" t="str">
        <f t="shared" si="30"/>
        <v>Process Heat INDOTH Diesel_N_AD</v>
      </c>
      <c r="D86" s="98" t="str">
        <f>D85</f>
        <v>INDOILDSL</v>
      </c>
      <c r="E86" s="98" t="str">
        <f>E84</f>
        <v>INDOTHHPR</v>
      </c>
      <c r="F86" s="99">
        <f t="shared" si="31"/>
        <v>2035</v>
      </c>
      <c r="G86" s="98">
        <f>G85+10</f>
        <v>2035</v>
      </c>
      <c r="H86" s="143">
        <f>H84*0.85</f>
        <v>1.0897435897435896</v>
      </c>
      <c r="I86" s="148">
        <f>I84*I44/I42</f>
        <v>25.676085922370003</v>
      </c>
      <c r="J86" s="148">
        <f t="shared" si="29"/>
        <v>2.5676085922370007</v>
      </c>
      <c r="K86" s="145">
        <v>30</v>
      </c>
      <c r="L86" s="145">
        <v>0.8</v>
      </c>
      <c r="R86" s="37"/>
      <c r="S86" s="37" t="str">
        <f>"INDOTHMCD"&amp;RIGHT(Commodities!$D$33,6)&amp;"_"&amp;AA86</f>
        <v>INDOTHMCDGASNAT_IM</v>
      </c>
      <c r="T86" s="37" t="str">
        <f t="shared" ref="T86:T87" si="34">"Machine Drive INDOTH N. Gas"&amp;"_"&amp;$S$5&amp;"_"&amp;AA86</f>
        <v>Machine Drive INDOTH N. Gas_N_IM</v>
      </c>
      <c r="U86" s="37" t="s">
        <v>206</v>
      </c>
      <c r="V86" s="37" t="s">
        <v>293</v>
      </c>
      <c r="W86" s="37"/>
      <c r="X86" s="37"/>
      <c r="Y86" s="37"/>
      <c r="AA86" s="72" t="s">
        <v>275</v>
      </c>
      <c r="AG86" s="72"/>
      <c r="AH86" s="72"/>
      <c r="AI86" s="102"/>
      <c r="AJ86" s="72"/>
      <c r="AK86" s="72"/>
      <c r="AL86" s="72"/>
      <c r="AM86" s="72"/>
      <c r="AN86" s="102"/>
      <c r="AO86" s="102"/>
      <c r="AQ86" s="72"/>
      <c r="AR86" s="72"/>
    </row>
    <row r="87" spans="2:44" ht="13.8" x14ac:dyDescent="0.25">
      <c r="B87" s="37" t="str">
        <f t="shared" si="30"/>
        <v>INDOTHHPROILHFO_ST</v>
      </c>
      <c r="C87" s="37" t="str">
        <f t="shared" si="30"/>
        <v>Process Heat INDOTH HFO_N_ST</v>
      </c>
      <c r="D87" s="72" t="s">
        <v>265</v>
      </c>
      <c r="E87" s="72" t="s">
        <v>267</v>
      </c>
      <c r="F87" s="94">
        <f>G87</f>
        <v>2018</v>
      </c>
      <c r="G87" s="72">
        <v>2018</v>
      </c>
      <c r="H87" s="140">
        <f>O79</f>
        <v>1.2820512820512819</v>
      </c>
      <c r="I87" s="95">
        <f>(378.432*(1/0.9))*(1/25)</f>
        <v>16.819200000000002</v>
      </c>
      <c r="J87" s="147">
        <f t="shared" si="29"/>
        <v>1.6819200000000003</v>
      </c>
      <c r="K87" s="141">
        <v>30</v>
      </c>
      <c r="L87" s="141">
        <v>0.8</v>
      </c>
      <c r="O87" s="102"/>
      <c r="R87" s="37"/>
      <c r="S87" s="37" t="str">
        <f>"INDOTHMCD"&amp;RIGHT(Commodities!$D$33,6)&amp;"_"&amp;AA87</f>
        <v>INDOTHMCDGASNAT_AD</v>
      </c>
      <c r="T87" s="37" t="str">
        <f t="shared" si="34"/>
        <v>Machine Drive INDOTH N. Gas_N_AD</v>
      </c>
      <c r="U87" s="37" t="s">
        <v>206</v>
      </c>
      <c r="V87" s="37" t="s">
        <v>293</v>
      </c>
      <c r="W87" s="37"/>
      <c r="X87" s="37"/>
      <c r="Y87" s="37"/>
      <c r="AA87" s="72" t="s">
        <v>276</v>
      </c>
      <c r="AG87" s="72"/>
      <c r="AH87" s="72"/>
      <c r="AI87" s="102"/>
      <c r="AJ87" s="72"/>
      <c r="AK87" s="72"/>
      <c r="AL87" s="72"/>
      <c r="AM87" s="72"/>
      <c r="AN87" s="102"/>
      <c r="AO87" s="102"/>
      <c r="AQ87" s="72"/>
      <c r="AR87" s="72"/>
    </row>
    <row r="88" spans="2:44" ht="13.8" x14ac:dyDescent="0.25">
      <c r="B88" s="37" t="str">
        <f t="shared" si="30"/>
        <v>INDOTHHPROILHFO_IM</v>
      </c>
      <c r="C88" s="37" t="str">
        <f t="shared" si="30"/>
        <v>Process Heat INDOTH HFO_N_IM</v>
      </c>
      <c r="D88" s="72" t="str">
        <f>D87</f>
        <v>INDOILHFO</v>
      </c>
      <c r="E88" s="72" t="str">
        <f>E87</f>
        <v>INDOTHHPR</v>
      </c>
      <c r="F88" s="94">
        <f t="shared" si="31"/>
        <v>2025</v>
      </c>
      <c r="G88" s="72">
        <f>G87+7</f>
        <v>2025</v>
      </c>
      <c r="H88" s="140">
        <f>H87*0.95</f>
        <v>1.2179487179487178</v>
      </c>
      <c r="I88" s="147">
        <f>I87*I47/I46</f>
        <v>21.596280288354468</v>
      </c>
      <c r="J88" s="147">
        <f t="shared" si="29"/>
        <v>2.159628028835447</v>
      </c>
      <c r="K88" s="141">
        <v>30</v>
      </c>
      <c r="L88" s="141">
        <v>0.8</v>
      </c>
      <c r="R88" s="37"/>
      <c r="S88" s="37" t="str">
        <f>"INDOTHMCD"&amp;RIGHT(Commodities!$D$343,3)&amp;"_"&amp;AA88</f>
        <v>INDOTHMCDELC_ST</v>
      </c>
      <c r="T88" s="37" t="str">
        <f>"Machine Drive INDOTH Electricity"&amp;"_"&amp;$S$5&amp;"_"&amp;AA88</f>
        <v>Machine Drive INDOTH Electricity_N_ST</v>
      </c>
      <c r="U88" s="37" t="s">
        <v>206</v>
      </c>
      <c r="V88" s="37" t="s">
        <v>293</v>
      </c>
      <c r="W88" s="37"/>
      <c r="X88" s="37"/>
      <c r="Y88" s="37"/>
      <c r="AA88" s="72" t="s">
        <v>274</v>
      </c>
      <c r="AG88" s="72"/>
      <c r="AH88" s="72"/>
      <c r="AI88" s="102"/>
    </row>
    <row r="89" spans="2:44" ht="13.8" x14ac:dyDescent="0.25">
      <c r="B89" s="98" t="str">
        <f t="shared" si="30"/>
        <v>INDOTHHPROILHFO_AD</v>
      </c>
      <c r="C89" s="98" t="str">
        <f t="shared" si="30"/>
        <v>Process Heat INDOTH HFO_N_AD</v>
      </c>
      <c r="D89" s="98" t="str">
        <f>D88</f>
        <v>INDOILHFO</v>
      </c>
      <c r="E89" s="98" t="str">
        <f>E87</f>
        <v>INDOTHHPR</v>
      </c>
      <c r="F89" s="99">
        <f t="shared" si="31"/>
        <v>2035</v>
      </c>
      <c r="G89" s="98">
        <f>G88+10</f>
        <v>2035</v>
      </c>
      <c r="H89" s="143">
        <f>H87*0.85</f>
        <v>1.0897435897435896</v>
      </c>
      <c r="I89" s="148">
        <f>I87*I47/I45</f>
        <v>30.811303106844004</v>
      </c>
      <c r="J89" s="148">
        <f t="shared" si="29"/>
        <v>3.0811303106844008</v>
      </c>
      <c r="K89" s="145">
        <v>30</v>
      </c>
      <c r="L89" s="145">
        <v>0.8</v>
      </c>
      <c r="R89" s="37"/>
      <c r="S89" s="37" t="str">
        <f>"INDOTHMCD"&amp;RIGHT(Commodities!$D$343,3)&amp;"_"&amp;AA89</f>
        <v>INDOTHMCDELC_IM</v>
      </c>
      <c r="T89" s="37" t="str">
        <f t="shared" ref="T89:T90" si="35">"Machine Drive INDOTH Electricity"&amp;"_"&amp;$S$5&amp;"_"&amp;AA89</f>
        <v>Machine Drive INDOTH Electricity_N_IM</v>
      </c>
      <c r="U89" s="37" t="s">
        <v>206</v>
      </c>
      <c r="V89" s="37" t="s">
        <v>293</v>
      </c>
      <c r="W89" s="37"/>
      <c r="X89" s="37"/>
      <c r="Y89" s="37"/>
      <c r="AA89" s="72" t="s">
        <v>275</v>
      </c>
      <c r="AG89" s="72"/>
      <c r="AH89" s="72"/>
      <c r="AI89" s="102"/>
    </row>
    <row r="90" spans="2:44" ht="13.8" x14ac:dyDescent="0.25">
      <c r="B90" s="37" t="str">
        <f t="shared" si="30"/>
        <v>INDOTHHPROILPCK_ST</v>
      </c>
      <c r="C90" s="37" t="str">
        <f t="shared" si="30"/>
        <v>Process Heat INDOTH PetCoke_N_ST</v>
      </c>
      <c r="D90" s="72" t="s">
        <v>160</v>
      </c>
      <c r="E90" s="72" t="s">
        <v>267</v>
      </c>
      <c r="F90" s="94">
        <f>G90</f>
        <v>2100</v>
      </c>
      <c r="G90" s="72">
        <v>2100</v>
      </c>
      <c r="H90" s="140">
        <f>O80</f>
        <v>1.4285714285714286</v>
      </c>
      <c r="I90" s="95">
        <f>(728.4816*(1/0.9))*(1/25)</f>
        <v>32.376959999999997</v>
      </c>
      <c r="J90" s="147">
        <f t="shared" si="29"/>
        <v>3.2376959999999997</v>
      </c>
      <c r="K90" s="141">
        <v>30</v>
      </c>
      <c r="L90" s="141">
        <v>0.8</v>
      </c>
      <c r="O90" s="102"/>
      <c r="R90" s="98"/>
      <c r="S90" s="98" t="str">
        <f>"INDOTHMCD"&amp;RIGHT(Commodities!$D$343,3)&amp;"_"&amp;AA90</f>
        <v>INDOTHMCDELC_AD</v>
      </c>
      <c r="T90" s="98" t="str">
        <f t="shared" si="35"/>
        <v>Machine Drive INDOTH Electricity_N_AD</v>
      </c>
      <c r="U90" s="98" t="s">
        <v>206</v>
      </c>
      <c r="V90" s="98" t="s">
        <v>293</v>
      </c>
      <c r="W90" s="98"/>
      <c r="X90" s="98"/>
      <c r="Y90" s="98"/>
      <c r="AA90" s="72" t="s">
        <v>276</v>
      </c>
      <c r="AG90" s="72"/>
      <c r="AH90" s="72"/>
      <c r="AI90" s="102"/>
    </row>
    <row r="91" spans="2:44" ht="13.8" x14ac:dyDescent="0.25">
      <c r="B91" s="37" t="str">
        <f t="shared" si="30"/>
        <v>INDOTHHPROILPCK_IM</v>
      </c>
      <c r="C91" s="37" t="str">
        <f t="shared" si="30"/>
        <v>Process Heat INDOTH PetCoke_N_IM</v>
      </c>
      <c r="D91" s="72" t="str">
        <f>D90</f>
        <v>INDOILPCK</v>
      </c>
      <c r="E91" s="72" t="str">
        <f>E90</f>
        <v>INDOTHHPR</v>
      </c>
      <c r="F91" s="94">
        <f t="shared" si="31"/>
        <v>2100</v>
      </c>
      <c r="G91" s="72">
        <f>G90</f>
        <v>2100</v>
      </c>
      <c r="H91" s="140">
        <f>H90*0.95</f>
        <v>1.3571428571428572</v>
      </c>
      <c r="I91" s="147">
        <f>I90*I50/I49</f>
        <v>41.572839555082332</v>
      </c>
      <c r="J91" s="147">
        <f t="shared" si="29"/>
        <v>4.157283955508233</v>
      </c>
      <c r="K91" s="141">
        <v>30</v>
      </c>
      <c r="L91" s="141">
        <v>0.8</v>
      </c>
      <c r="R91" s="37"/>
      <c r="S91" s="37" t="str">
        <f>"INDOTHOEN"&amp;RIGHT(Commodities!$D$343,3)&amp;"_"&amp;AA91</f>
        <v>INDOTHOENELC_ST</v>
      </c>
      <c r="T91" s="37" t="str">
        <f>"Other Energy INDOTH Electricity"&amp;"_"&amp;$S$5&amp;"_"&amp;AA91</f>
        <v>Other Energy INDOTH Electricity_N_ST</v>
      </c>
      <c r="U91" s="37" t="s">
        <v>206</v>
      </c>
      <c r="V91" s="37" t="s">
        <v>293</v>
      </c>
      <c r="W91" s="37"/>
      <c r="X91" s="37"/>
      <c r="Y91" s="37"/>
      <c r="AA91" s="72" t="s">
        <v>274</v>
      </c>
      <c r="AG91" s="72"/>
      <c r="AH91" s="72"/>
      <c r="AI91" s="102"/>
    </row>
    <row r="92" spans="2:44" ht="13.8" x14ac:dyDescent="0.25">
      <c r="B92" s="98" t="str">
        <f t="shared" si="30"/>
        <v>INDOTHHPROILPCK_AD</v>
      </c>
      <c r="C92" s="98" t="str">
        <f t="shared" si="30"/>
        <v>Process Heat INDOTH PetCoke_N_AD</v>
      </c>
      <c r="D92" s="98" t="str">
        <f>D91</f>
        <v>INDOILPCK</v>
      </c>
      <c r="E92" s="98" t="str">
        <f>E90</f>
        <v>INDOTHHPR</v>
      </c>
      <c r="F92" s="99">
        <f t="shared" si="31"/>
        <v>2100</v>
      </c>
      <c r="G92" s="98">
        <f>G91</f>
        <v>2100</v>
      </c>
      <c r="H92" s="143">
        <f>H90*0.85</f>
        <v>1.2142857142857142</v>
      </c>
      <c r="I92" s="148">
        <f>I90*I50/I48</f>
        <v>59.31175848067469</v>
      </c>
      <c r="J92" s="148">
        <f t="shared" si="29"/>
        <v>5.9311758480674692</v>
      </c>
      <c r="K92" s="145">
        <v>30</v>
      </c>
      <c r="L92" s="145">
        <v>0.8</v>
      </c>
      <c r="R92" s="37"/>
      <c r="S92" s="37" t="str">
        <f>"INDOTHOEN"&amp;RIGHT(Commodities!$D$343,3)&amp;"_"&amp;AA92</f>
        <v>INDOTHOENELC_IM</v>
      </c>
      <c r="T92" s="37" t="str">
        <f t="shared" ref="T92:T93" si="36">"Other Energy INDOTH Electricity"&amp;"_"&amp;$S$5&amp;"_"&amp;AA92</f>
        <v>Other Energy INDOTH Electricity_N_IM</v>
      </c>
      <c r="U92" s="37" t="s">
        <v>206</v>
      </c>
      <c r="V92" s="37" t="s">
        <v>293</v>
      </c>
      <c r="W92" s="37"/>
      <c r="X92" s="37"/>
      <c r="Y92" s="37"/>
      <c r="AA92" s="72" t="s">
        <v>275</v>
      </c>
      <c r="AG92" s="72"/>
      <c r="AH92" s="72"/>
      <c r="AI92" s="102"/>
    </row>
    <row r="93" spans="2:44" ht="13.8" x14ac:dyDescent="0.25">
      <c r="B93" s="37" t="str">
        <f t="shared" si="30"/>
        <v>INDOTHHPROILOTH_ST</v>
      </c>
      <c r="C93" s="37" t="str">
        <f t="shared" si="30"/>
        <v>Process Heat INDOTH Other Oil Products_N_ST</v>
      </c>
      <c r="D93" s="72" t="s">
        <v>162</v>
      </c>
      <c r="E93" s="72" t="s">
        <v>267</v>
      </c>
      <c r="F93" s="94">
        <f>G93</f>
        <v>2100</v>
      </c>
      <c r="G93" s="72">
        <v>2100</v>
      </c>
      <c r="H93" s="140">
        <f>O81</f>
        <v>1.2820512820512819</v>
      </c>
      <c r="I93" s="95">
        <f>(378.432*(1/0.9))*(1/25)</f>
        <v>16.819200000000002</v>
      </c>
      <c r="J93" s="147">
        <f t="shared" si="29"/>
        <v>1.6819200000000003</v>
      </c>
      <c r="K93" s="141">
        <v>30</v>
      </c>
      <c r="L93" s="141">
        <v>0.8</v>
      </c>
      <c r="O93" s="102"/>
      <c r="R93" s="98"/>
      <c r="S93" s="98" t="str">
        <f>"INDOTHOEN"&amp;RIGHT(Commodities!$D$343,3)&amp;"_"&amp;AA93</f>
        <v>INDOTHOENELC_AD</v>
      </c>
      <c r="T93" s="98" t="str">
        <f t="shared" si="36"/>
        <v>Other Energy INDOTH Electricity_N_AD</v>
      </c>
      <c r="U93" s="98" t="s">
        <v>206</v>
      </c>
      <c r="V93" s="98" t="s">
        <v>293</v>
      </c>
      <c r="W93" s="98"/>
      <c r="X93" s="98"/>
      <c r="Y93" s="98"/>
      <c r="AA93" s="72" t="s">
        <v>276</v>
      </c>
      <c r="AM93" s="72"/>
      <c r="AN93" s="72"/>
      <c r="AO93" s="102"/>
    </row>
    <row r="94" spans="2:44" ht="13.8" x14ac:dyDescent="0.25">
      <c r="B94" s="37" t="str">
        <f t="shared" si="30"/>
        <v>INDOTHHPROILOTH_IM</v>
      </c>
      <c r="C94" s="37" t="str">
        <f t="shared" si="30"/>
        <v>Process Heat INDOTH Other Oil Products_N_IM</v>
      </c>
      <c r="D94" s="72" t="str">
        <f>D93</f>
        <v>INDOILOTH</v>
      </c>
      <c r="E94" s="72" t="str">
        <f>E93</f>
        <v>INDOTHHPR</v>
      </c>
      <c r="F94" s="94">
        <f t="shared" si="31"/>
        <v>2106</v>
      </c>
      <c r="G94" s="72">
        <f>G93+6</f>
        <v>2106</v>
      </c>
      <c r="H94" s="140">
        <f>H93*0.95</f>
        <v>1.2179487179487178</v>
      </c>
      <c r="I94" s="147">
        <f>I93*I53/I52</f>
        <v>21.596280288354468</v>
      </c>
      <c r="J94" s="147">
        <f t="shared" si="29"/>
        <v>2.159628028835447</v>
      </c>
      <c r="K94" s="141">
        <v>30</v>
      </c>
      <c r="L94" s="141">
        <v>0.8</v>
      </c>
      <c r="R94" s="37" t="s">
        <v>277</v>
      </c>
      <c r="S94" s="37" t="str">
        <f>"INDDEMOTH_N_"&amp;AA94</f>
        <v>INDDEMOTH_N_ST</v>
      </c>
      <c r="T94" s="37" t="str">
        <f>"Other Industry Demand Technology_N_"&amp;AA94</f>
        <v>Other Industry Demand Technology_N_ST</v>
      </c>
      <c r="U94" s="37" t="s">
        <v>206</v>
      </c>
      <c r="V94" s="37" t="s">
        <v>293</v>
      </c>
      <c r="W94" s="37"/>
      <c r="X94" s="37"/>
      <c r="Y94" s="37"/>
      <c r="AA94" s="72" t="s">
        <v>274</v>
      </c>
      <c r="AM94" s="72"/>
      <c r="AN94" s="72"/>
      <c r="AO94" s="102"/>
    </row>
    <row r="95" spans="2:44" ht="13.8" x14ac:dyDescent="0.25">
      <c r="B95" s="98" t="str">
        <f t="shared" si="30"/>
        <v>INDOTHHPROILOTH_AD</v>
      </c>
      <c r="C95" s="98" t="str">
        <f t="shared" si="30"/>
        <v>Process Heat INDOTH Other Oil Products_N_AD</v>
      </c>
      <c r="D95" s="98" t="str">
        <f>D94</f>
        <v>INDOILOTH</v>
      </c>
      <c r="E95" s="98" t="str">
        <f>E93</f>
        <v>INDOTHHPR</v>
      </c>
      <c r="F95" s="99">
        <f t="shared" si="31"/>
        <v>2116</v>
      </c>
      <c r="G95" s="98">
        <f>G94+10</f>
        <v>2116</v>
      </c>
      <c r="H95" s="143">
        <f>H93*0.85</f>
        <v>1.0897435897435896</v>
      </c>
      <c r="I95" s="148">
        <f>I93*I53/I51</f>
        <v>30.811303106844004</v>
      </c>
      <c r="J95" s="148">
        <f t="shared" si="29"/>
        <v>3.0811303106844008</v>
      </c>
      <c r="K95" s="145">
        <v>30</v>
      </c>
      <c r="L95" s="145">
        <v>0.8</v>
      </c>
      <c r="R95" s="37"/>
      <c r="S95" s="37" t="str">
        <f t="shared" ref="S95:S96" si="37">"INDDEMOTH_N_"&amp;AA95</f>
        <v>INDDEMOTH_N_IM</v>
      </c>
      <c r="T95" s="37" t="str">
        <f t="shared" ref="T95:T96" si="38">"Other Industry Demand Technology_N_"&amp;AA95</f>
        <v>Other Industry Demand Technology_N_IM</v>
      </c>
      <c r="U95" s="37" t="s">
        <v>206</v>
      </c>
      <c r="V95" s="37" t="s">
        <v>293</v>
      </c>
      <c r="W95" s="37"/>
      <c r="X95" s="37"/>
      <c r="Y95" s="37"/>
      <c r="AA95" s="72" t="s">
        <v>275</v>
      </c>
      <c r="AM95" s="72"/>
      <c r="AN95" s="72"/>
      <c r="AO95" s="102"/>
    </row>
    <row r="96" spans="2:44" ht="13.8" x14ac:dyDescent="0.25">
      <c r="B96" s="37" t="str">
        <f t="shared" si="30"/>
        <v>INDOTHHPRGASNAT_ST</v>
      </c>
      <c r="C96" s="37" t="str">
        <f t="shared" si="30"/>
        <v>Process Heat INDOTH N. Gas_N_ST</v>
      </c>
      <c r="D96" s="72" t="s">
        <v>164</v>
      </c>
      <c r="E96" s="72" t="s">
        <v>267</v>
      </c>
      <c r="F96" s="94">
        <f>G96</f>
        <v>2018</v>
      </c>
      <c r="G96" s="72">
        <v>2018</v>
      </c>
      <c r="H96" s="140">
        <f>O82</f>
        <v>1.25</v>
      </c>
      <c r="I96" s="95">
        <f>(208.1376*(1/0.9))*(1/25)*1.5</f>
        <v>13.87584</v>
      </c>
      <c r="J96" s="147">
        <f t="shared" si="29"/>
        <v>1.3875840000000002</v>
      </c>
      <c r="K96" s="141">
        <v>30</v>
      </c>
      <c r="L96" s="141">
        <v>0.8</v>
      </c>
      <c r="O96" s="102"/>
      <c r="R96" s="149"/>
      <c r="S96" s="149" t="str">
        <f t="shared" si="37"/>
        <v>INDDEMOTH_N_AD</v>
      </c>
      <c r="T96" s="149" t="str">
        <f t="shared" si="38"/>
        <v>Other Industry Demand Technology_N_AD</v>
      </c>
      <c r="U96" s="149" t="s">
        <v>206</v>
      </c>
      <c r="V96" s="149" t="s">
        <v>293</v>
      </c>
      <c r="W96" s="149"/>
      <c r="X96" s="149"/>
      <c r="Y96" s="149"/>
      <c r="AA96" s="72" t="s">
        <v>276</v>
      </c>
      <c r="AC96" s="72"/>
      <c r="AM96" s="72"/>
      <c r="AN96" s="72"/>
      <c r="AO96" s="102"/>
    </row>
    <row r="97" spans="2:41" ht="13.8" x14ac:dyDescent="0.25">
      <c r="B97" s="37" t="str">
        <f t="shared" si="30"/>
        <v>INDOTHHPRGASNAT_IM</v>
      </c>
      <c r="C97" s="37" t="str">
        <f t="shared" si="30"/>
        <v>Process Heat INDOTH N. Gas_N_IM</v>
      </c>
      <c r="D97" s="72" t="str">
        <f>D96</f>
        <v>INDGASNAT</v>
      </c>
      <c r="E97" s="72" t="str">
        <f>E96</f>
        <v>INDOTHHPR</v>
      </c>
      <c r="F97" s="94">
        <f t="shared" si="31"/>
        <v>2025</v>
      </c>
      <c r="G97" s="72">
        <f>G96+7</f>
        <v>2025</v>
      </c>
      <c r="H97" s="140">
        <f>H96*0.95</f>
        <v>1.1875</v>
      </c>
      <c r="I97" s="147">
        <f>I96*I56/I55</f>
        <v>20.786419777541152</v>
      </c>
      <c r="J97" s="147">
        <f t="shared" si="29"/>
        <v>2.0786419777541152</v>
      </c>
      <c r="K97" s="141">
        <v>30</v>
      </c>
      <c r="L97" s="141">
        <v>0.8</v>
      </c>
      <c r="R97" s="98" t="s">
        <v>272</v>
      </c>
      <c r="S97" s="98" t="str">
        <f>B111</f>
        <v>INDOTHHPRH2G_AD</v>
      </c>
      <c r="T97" s="98" t="str">
        <f>C111</f>
        <v>Process Heat INDOTH H2_N_AD</v>
      </c>
      <c r="U97" s="98" t="s">
        <v>206</v>
      </c>
      <c r="V97" s="98" t="s">
        <v>293</v>
      </c>
      <c r="W97" s="98"/>
      <c r="X97" s="98"/>
      <c r="Y97" s="98"/>
      <c r="AC97" s="150"/>
      <c r="AD97" s="150"/>
      <c r="AE97" s="150"/>
      <c r="AM97" s="72"/>
      <c r="AN97" s="72"/>
      <c r="AO97" s="102"/>
    </row>
    <row r="98" spans="2:41" ht="13.8" x14ac:dyDescent="0.25">
      <c r="B98" s="98" t="str">
        <f t="shared" si="30"/>
        <v>INDOTHHPRGASNAT_AD</v>
      </c>
      <c r="C98" s="98" t="str">
        <f t="shared" si="30"/>
        <v>Process Heat INDOTH N. Gas_N_AD</v>
      </c>
      <c r="D98" s="98" t="str">
        <f>D97</f>
        <v>INDGASNAT</v>
      </c>
      <c r="E98" s="98" t="str">
        <f>E96</f>
        <v>INDOTHHPR</v>
      </c>
      <c r="F98" s="99">
        <f t="shared" si="31"/>
        <v>2035</v>
      </c>
      <c r="G98" s="98">
        <f>G97+10</f>
        <v>2035</v>
      </c>
      <c r="H98" s="143">
        <f>H96*0.85</f>
        <v>1.0625</v>
      </c>
      <c r="I98" s="148">
        <f>I96*I56/I54</f>
        <v>29.655879240337367</v>
      </c>
      <c r="J98" s="148">
        <f t="shared" si="29"/>
        <v>2.9655879240337368</v>
      </c>
      <c r="K98" s="145">
        <v>30</v>
      </c>
      <c r="L98" s="145">
        <v>0.8</v>
      </c>
      <c r="X98" s="151"/>
      <c r="Y98" s="151"/>
      <c r="AC98" s="152"/>
      <c r="AD98" s="152"/>
      <c r="AE98" s="152"/>
      <c r="AM98" s="72"/>
      <c r="AN98" s="72"/>
      <c r="AO98" s="102"/>
    </row>
    <row r="99" spans="2:41" ht="13.8" x14ac:dyDescent="0.25">
      <c r="B99" s="37" t="str">
        <f t="shared" si="30"/>
        <v>INDOTHHPRBIOLOG_ST</v>
      </c>
      <c r="C99" s="37" t="str">
        <f t="shared" si="30"/>
        <v>Process Heat INDOTH Biomass_N_ST</v>
      </c>
      <c r="D99" s="72" t="s">
        <v>168</v>
      </c>
      <c r="E99" s="72" t="s">
        <v>267</v>
      </c>
      <c r="F99" s="94">
        <f>G99</f>
        <v>2018</v>
      </c>
      <c r="G99" s="72">
        <v>2018</v>
      </c>
      <c r="H99" s="140">
        <f>O83</f>
        <v>1.4285714285714286</v>
      </c>
      <c r="I99" s="95">
        <f>(728.4816*(1/0.9))*(1/25)</f>
        <v>32.376959999999997</v>
      </c>
      <c r="J99" s="147">
        <f t="shared" si="29"/>
        <v>3.2376959999999997</v>
      </c>
      <c r="K99" s="141">
        <v>30</v>
      </c>
      <c r="L99" s="141">
        <v>0.8</v>
      </c>
      <c r="O99" s="102"/>
      <c r="X99" s="151"/>
      <c r="Y99" s="151"/>
      <c r="AB99" s="72"/>
      <c r="AC99" s="152"/>
      <c r="AD99" s="152"/>
      <c r="AE99" s="152"/>
      <c r="AM99" s="72"/>
      <c r="AN99" s="72"/>
      <c r="AO99" s="102"/>
    </row>
    <row r="100" spans="2:41" ht="13.8" x14ac:dyDescent="0.25">
      <c r="B100" s="37" t="str">
        <f t="shared" si="30"/>
        <v>INDOTHHPRBIOLOG_IM</v>
      </c>
      <c r="C100" s="37" t="str">
        <f t="shared" si="30"/>
        <v>Process Heat INDOTH Biomass_N_IM</v>
      </c>
      <c r="D100" s="72" t="str">
        <f>D99</f>
        <v>INDBIOLOG</v>
      </c>
      <c r="E100" s="72" t="str">
        <f>E99</f>
        <v>INDOTHHPR</v>
      </c>
      <c r="F100" s="94">
        <f t="shared" si="31"/>
        <v>2025</v>
      </c>
      <c r="G100" s="72">
        <f>G99+7</f>
        <v>2025</v>
      </c>
      <c r="H100" s="140">
        <f>H99*0.95</f>
        <v>1.3571428571428572</v>
      </c>
      <c r="I100" s="147">
        <f>I99*I59/I58</f>
        <v>41.572839555082325</v>
      </c>
      <c r="J100" s="147">
        <f t="shared" si="29"/>
        <v>4.157283955508233</v>
      </c>
      <c r="K100" s="141">
        <v>30</v>
      </c>
      <c r="L100" s="141">
        <v>0.8</v>
      </c>
      <c r="X100" s="151"/>
      <c r="Y100" s="151"/>
      <c r="AB100" s="150"/>
      <c r="AD100" s="153"/>
      <c r="AE100" s="153"/>
      <c r="AM100" s="72"/>
      <c r="AN100" s="72"/>
      <c r="AO100" s="102"/>
    </row>
    <row r="101" spans="2:41" ht="13.8" x14ac:dyDescent="0.25">
      <c r="B101" s="98" t="str">
        <f t="shared" si="30"/>
        <v>INDOTHHPRBIOLOG_AD</v>
      </c>
      <c r="C101" s="98" t="str">
        <f t="shared" si="30"/>
        <v>Process Heat INDOTH Biomass_N_AD</v>
      </c>
      <c r="D101" s="98" t="str">
        <f>D100</f>
        <v>INDBIOLOG</v>
      </c>
      <c r="E101" s="98" t="str">
        <f>E99</f>
        <v>INDOTHHPR</v>
      </c>
      <c r="F101" s="99">
        <f t="shared" si="31"/>
        <v>2035</v>
      </c>
      <c r="G101" s="98">
        <f>G100+10</f>
        <v>2035</v>
      </c>
      <c r="H101" s="143">
        <f>H99*0.85</f>
        <v>1.2142857142857142</v>
      </c>
      <c r="I101" s="148">
        <f>I99*I59/I57</f>
        <v>59.311758480674676</v>
      </c>
      <c r="J101" s="148">
        <f t="shared" si="29"/>
        <v>5.9311758480674683</v>
      </c>
      <c r="K101" s="145">
        <v>30</v>
      </c>
      <c r="L101" s="145">
        <v>0.8</v>
      </c>
      <c r="X101" s="151"/>
      <c r="Y101" s="151"/>
      <c r="AB101" s="152"/>
      <c r="AD101" s="153"/>
      <c r="AE101" s="153"/>
      <c r="AM101" s="72"/>
      <c r="AN101" s="72"/>
      <c r="AO101" s="102"/>
    </row>
    <row r="102" spans="2:41" ht="13.8" x14ac:dyDescent="0.25">
      <c r="B102" s="37" t="str">
        <f t="shared" si="30"/>
        <v>INDOTHHPRHTH_ST</v>
      </c>
      <c r="C102" s="37" t="str">
        <f t="shared" si="30"/>
        <v>Process Heat INDOTH Heat_N_ST</v>
      </c>
      <c r="D102" s="72" t="s">
        <v>1016</v>
      </c>
      <c r="E102" s="72" t="s">
        <v>267</v>
      </c>
      <c r="F102" s="94">
        <f>G102</f>
        <v>2018</v>
      </c>
      <c r="G102" s="72">
        <v>2018</v>
      </c>
      <c r="H102" s="140">
        <f>O84</f>
        <v>1.2</v>
      </c>
      <c r="I102" s="95">
        <f>(473.04*(1/0.9))*(1/25)</f>
        <v>21.024000000000001</v>
      </c>
      <c r="J102" s="147">
        <f t="shared" si="29"/>
        <v>2.1024000000000003</v>
      </c>
      <c r="K102" s="141">
        <v>30</v>
      </c>
      <c r="L102" s="141">
        <v>0.8</v>
      </c>
      <c r="O102" s="102"/>
      <c r="AB102" s="152"/>
      <c r="AD102" s="153"/>
      <c r="AE102" s="153"/>
      <c r="AM102" s="72"/>
      <c r="AN102" s="72"/>
      <c r="AO102" s="102"/>
    </row>
    <row r="103" spans="2:41" ht="13.8" x14ac:dyDescent="0.25">
      <c r="B103" s="37" t="str">
        <f t="shared" si="30"/>
        <v>INDOTHHPRHTH_IM</v>
      </c>
      <c r="C103" s="37" t="str">
        <f t="shared" si="30"/>
        <v>Process Heat INDOTH Heat_N_IM</v>
      </c>
      <c r="D103" s="72" t="str">
        <f>D102</f>
        <v>INDOTHHTH</v>
      </c>
      <c r="E103" s="72" t="str">
        <f>E102</f>
        <v>INDOTHHPR</v>
      </c>
      <c r="F103" s="94">
        <f t="shared" si="31"/>
        <v>2025</v>
      </c>
      <c r="G103" s="72">
        <f>G102+7</f>
        <v>2025</v>
      </c>
      <c r="H103" s="140">
        <f>H102*0.95</f>
        <v>1.1399999999999999</v>
      </c>
      <c r="I103" s="147">
        <f>I102*I62/I61</f>
        <v>26.995350360443084</v>
      </c>
      <c r="J103" s="147">
        <f t="shared" si="29"/>
        <v>2.6995350360443084</v>
      </c>
      <c r="K103" s="141">
        <v>30</v>
      </c>
      <c r="L103" s="141">
        <v>0.8</v>
      </c>
      <c r="AD103" s="153"/>
      <c r="AE103" s="153"/>
      <c r="AM103" s="72"/>
      <c r="AN103" s="72"/>
      <c r="AO103" s="102"/>
    </row>
    <row r="104" spans="2:41" ht="13.8" x14ac:dyDescent="0.25">
      <c r="B104" s="98" t="str">
        <f t="shared" si="30"/>
        <v>INDOTHHPRHTH_AD</v>
      </c>
      <c r="C104" s="98" t="str">
        <f t="shared" si="30"/>
        <v>Process Heat INDOTH Heat_N_AD</v>
      </c>
      <c r="D104" s="98" t="str">
        <f>D103</f>
        <v>INDOTHHTH</v>
      </c>
      <c r="E104" s="98" t="str">
        <f>E102</f>
        <v>INDOTHHPR</v>
      </c>
      <c r="F104" s="99">
        <f t="shared" si="31"/>
        <v>2035</v>
      </c>
      <c r="G104" s="98">
        <f>G103+10</f>
        <v>2035</v>
      </c>
      <c r="H104" s="143">
        <f>H102*0.85</f>
        <v>1.02</v>
      </c>
      <c r="I104" s="148">
        <f>I102*I62/I60</f>
        <v>38.514128883555003</v>
      </c>
      <c r="J104" s="148">
        <f t="shared" si="29"/>
        <v>3.8514128883555006</v>
      </c>
      <c r="K104" s="145">
        <v>30</v>
      </c>
      <c r="L104" s="145">
        <v>0.8</v>
      </c>
      <c r="AD104" s="153"/>
      <c r="AE104" s="153"/>
      <c r="AM104" s="72"/>
      <c r="AN104" s="72"/>
      <c r="AO104" s="102"/>
    </row>
    <row r="105" spans="2:41" ht="13.8" x14ac:dyDescent="0.25">
      <c r="B105" s="37" t="str">
        <f t="shared" si="30"/>
        <v>INDOTHHPRELC_ST</v>
      </c>
      <c r="C105" s="37" t="str">
        <f t="shared" si="30"/>
        <v>Process Heat INDOTH Electricity_N_ST</v>
      </c>
      <c r="D105" s="72" t="str">
        <f>Commodities!$D$341</f>
        <v>INDELC</v>
      </c>
      <c r="E105" s="72" t="s">
        <v>267</v>
      </c>
      <c r="F105" s="94">
        <f>G105</f>
        <v>2018</v>
      </c>
      <c r="G105" s="72">
        <v>2018</v>
      </c>
      <c r="H105" s="140">
        <f>O85</f>
        <v>1.1000000000000001</v>
      </c>
      <c r="I105" s="95">
        <f>(473.04*(1/0.9))*(1/25)</f>
        <v>21.024000000000001</v>
      </c>
      <c r="J105" s="147">
        <f t="shared" si="29"/>
        <v>2.1024000000000003</v>
      </c>
      <c r="K105" s="141">
        <v>30</v>
      </c>
      <c r="L105" s="141">
        <v>0.8</v>
      </c>
      <c r="O105" s="102"/>
      <c r="R105" s="72"/>
      <c r="S105" s="72"/>
      <c r="T105" s="154"/>
      <c r="U105" s="114"/>
      <c r="V105" s="114"/>
      <c r="W105" s="155"/>
      <c r="X105" s="155"/>
      <c r="Y105" s="155"/>
      <c r="Z105" s="72"/>
      <c r="AA105" s="72"/>
      <c r="AD105" s="153"/>
      <c r="AE105" s="153"/>
      <c r="AM105" s="72"/>
      <c r="AN105" s="72"/>
      <c r="AO105" s="102"/>
    </row>
    <row r="106" spans="2:41" ht="13.8" x14ac:dyDescent="0.25">
      <c r="B106" s="37" t="str">
        <f t="shared" si="30"/>
        <v>INDOTHHPRELC_IM</v>
      </c>
      <c r="C106" s="37" t="str">
        <f t="shared" si="30"/>
        <v>Process Heat INDOTH Electricity_N_IM</v>
      </c>
      <c r="D106" s="72" t="str">
        <f>D105</f>
        <v>INDELC</v>
      </c>
      <c r="E106" s="72" t="str">
        <f>E105</f>
        <v>INDOTHHPR</v>
      </c>
      <c r="F106" s="94">
        <f t="shared" si="31"/>
        <v>2025</v>
      </c>
      <c r="G106" s="72">
        <f>G105+7</f>
        <v>2025</v>
      </c>
      <c r="H106" s="140">
        <f>H105*0.95</f>
        <v>1.0449999999999999</v>
      </c>
      <c r="I106" s="147">
        <f>I105*I65/I64</f>
        <v>26.995350360443084</v>
      </c>
      <c r="J106" s="147">
        <f t="shared" si="29"/>
        <v>2.6995350360443084</v>
      </c>
      <c r="K106" s="141">
        <v>30</v>
      </c>
      <c r="L106" s="141">
        <v>0.8</v>
      </c>
      <c r="R106" s="156"/>
      <c r="S106" s="156"/>
      <c r="T106" s="156"/>
      <c r="U106" s="156"/>
      <c r="V106" s="157"/>
      <c r="W106" s="150"/>
      <c r="X106" s="158"/>
      <c r="Y106" s="150"/>
      <c r="Z106" s="150"/>
      <c r="AA106" s="150"/>
      <c r="AD106" s="153"/>
      <c r="AE106" s="153"/>
      <c r="AM106" s="72"/>
      <c r="AN106" s="72"/>
      <c r="AO106" s="102"/>
    </row>
    <row r="107" spans="2:41" ht="13.8" x14ac:dyDescent="0.25">
      <c r="B107" s="98" t="str">
        <f t="shared" ref="B107:C109" si="39">S78</f>
        <v>INDOTHHPRELC_AD</v>
      </c>
      <c r="C107" s="98" t="str">
        <f t="shared" si="39"/>
        <v>Process Heat INDOTH Electricity_N_AD</v>
      </c>
      <c r="D107" s="98" t="str">
        <f>D106</f>
        <v>INDELC</v>
      </c>
      <c r="E107" s="98" t="str">
        <f>E105</f>
        <v>INDOTHHPR</v>
      </c>
      <c r="F107" s="99">
        <f t="shared" si="31"/>
        <v>2035</v>
      </c>
      <c r="G107" s="98">
        <f>G106+10</f>
        <v>2035</v>
      </c>
      <c r="H107" s="143">
        <f>H105*0.92</f>
        <v>1.0120000000000002</v>
      </c>
      <c r="I107" s="148">
        <f>I105*I65/I63</f>
        <v>38.514128883555003</v>
      </c>
      <c r="J107" s="148">
        <f t="shared" si="29"/>
        <v>3.8514128883555006</v>
      </c>
      <c r="K107" s="145">
        <v>30</v>
      </c>
      <c r="L107" s="145">
        <v>0.8</v>
      </c>
      <c r="R107" s="152"/>
      <c r="S107" s="152"/>
      <c r="T107" s="152"/>
      <c r="U107" s="152"/>
      <c r="V107" s="101"/>
      <c r="W107" s="152"/>
      <c r="X107" s="152"/>
      <c r="Y107" s="152"/>
      <c r="Z107" s="152"/>
      <c r="AA107" s="152"/>
      <c r="AD107" s="153"/>
      <c r="AE107" s="153"/>
      <c r="AM107" s="72"/>
      <c r="AN107" s="72"/>
      <c r="AO107" s="102"/>
    </row>
    <row r="108" spans="2:41" ht="15" x14ac:dyDescent="0.25">
      <c r="B108" s="37" t="str">
        <f t="shared" si="39"/>
        <v>INDOTHHPRBIOBGS_ST</v>
      </c>
      <c r="C108" s="37" t="str">
        <f t="shared" si="39"/>
        <v>Process Heat INDOTH Biogas_N_ST</v>
      </c>
      <c r="D108" s="72" t="str">
        <f>Commodities!$D$145</f>
        <v>INDBIOBGS</v>
      </c>
      <c r="E108" s="72" t="s">
        <v>267</v>
      </c>
      <c r="F108" s="94">
        <f>G108</f>
        <v>2018</v>
      </c>
      <c r="G108" s="72">
        <v>2018</v>
      </c>
      <c r="H108" s="140">
        <f>H96</f>
        <v>1.25</v>
      </c>
      <c r="I108" s="95">
        <f>(208.1376*(1/0.9))*(1/25)</f>
        <v>9.2505600000000001</v>
      </c>
      <c r="J108" s="147">
        <f t="shared" si="29"/>
        <v>0.9250560000000001</v>
      </c>
      <c r="K108" s="141">
        <v>30</v>
      </c>
      <c r="L108" s="141">
        <v>0.8</v>
      </c>
      <c r="O108" s="102"/>
      <c r="R108" s="152"/>
      <c r="S108" s="152"/>
      <c r="T108" s="152"/>
      <c r="U108" s="152"/>
      <c r="V108" s="152"/>
      <c r="W108" s="152"/>
      <c r="X108" s="159"/>
      <c r="Y108" s="152"/>
      <c r="Z108" s="152"/>
      <c r="AA108" s="152"/>
      <c r="AD108" s="153"/>
      <c r="AE108" s="153"/>
      <c r="AM108" s="72"/>
      <c r="AN108" s="72"/>
      <c r="AO108" s="102"/>
    </row>
    <row r="109" spans="2:41" ht="13.8" x14ac:dyDescent="0.25">
      <c r="B109" s="37" t="str">
        <f t="shared" si="39"/>
        <v>INDOTHHPRBIOBGS_IM</v>
      </c>
      <c r="C109" s="37" t="str">
        <f t="shared" si="39"/>
        <v>Process Heat INDOTH Biogas_N_IM</v>
      </c>
      <c r="D109" s="72" t="str">
        <f>D108</f>
        <v>INDBIOBGS</v>
      </c>
      <c r="E109" s="72" t="str">
        <f>E108</f>
        <v>INDOTHHPR</v>
      </c>
      <c r="F109" s="94">
        <f t="shared" ref="F109:F110" si="40">G109</f>
        <v>2025</v>
      </c>
      <c r="G109" s="72">
        <f>G108+7</f>
        <v>2025</v>
      </c>
      <c r="H109" s="140">
        <f t="shared" ref="H109:H110" si="41">H97</f>
        <v>1.1875</v>
      </c>
      <c r="I109" s="147">
        <f>I108*I68/I67</f>
        <v>11.877954158594953</v>
      </c>
      <c r="J109" s="147">
        <f t="shared" si="29"/>
        <v>1.1877954158594954</v>
      </c>
      <c r="K109" s="141">
        <v>30</v>
      </c>
      <c r="L109" s="141">
        <v>0.8</v>
      </c>
      <c r="R109" s="72"/>
      <c r="S109" s="72"/>
      <c r="T109" s="72"/>
      <c r="U109" s="72"/>
      <c r="W109" s="96"/>
      <c r="X109" s="104"/>
      <c r="Z109" s="153"/>
      <c r="AD109" s="153"/>
      <c r="AE109" s="153"/>
      <c r="AM109" s="72"/>
      <c r="AN109" s="72"/>
      <c r="AO109" s="102"/>
    </row>
    <row r="110" spans="2:41" ht="13.8" x14ac:dyDescent="0.25">
      <c r="B110" s="98" t="str">
        <f t="shared" ref="B110" si="42">S81</f>
        <v>INDOTHHPRBIOBGS_AD</v>
      </c>
      <c r="C110" s="98" t="str">
        <f t="shared" ref="C110" si="43">T81</f>
        <v>Process Heat INDOTH Biogas_N_AD</v>
      </c>
      <c r="D110" s="98" t="str">
        <f>D109</f>
        <v>INDBIOBGS</v>
      </c>
      <c r="E110" s="98" t="str">
        <f>E108</f>
        <v>INDOTHHPR</v>
      </c>
      <c r="F110" s="99">
        <f t="shared" si="40"/>
        <v>2035</v>
      </c>
      <c r="G110" s="98">
        <f>G109+10</f>
        <v>2035</v>
      </c>
      <c r="H110" s="146">
        <f t="shared" si="41"/>
        <v>1.0625</v>
      </c>
      <c r="I110" s="148">
        <f>I108*I68/I66</f>
        <v>16.946216708764197</v>
      </c>
      <c r="J110" s="148">
        <f t="shared" si="29"/>
        <v>1.6946216708764199</v>
      </c>
      <c r="K110" s="145">
        <v>30</v>
      </c>
      <c r="L110" s="145">
        <v>0.8</v>
      </c>
      <c r="R110" s="72"/>
      <c r="S110" s="72"/>
      <c r="T110" s="72"/>
      <c r="U110" s="72"/>
      <c r="W110" s="96"/>
      <c r="AD110" s="153"/>
      <c r="AE110" s="153"/>
      <c r="AM110" s="72"/>
      <c r="AN110" s="72"/>
      <c r="AO110" s="102"/>
    </row>
    <row r="111" spans="2:41" ht="14.4" x14ac:dyDescent="0.3">
      <c r="B111" s="160" t="s">
        <v>1063</v>
      </c>
      <c r="C111" s="160" t="s">
        <v>1064</v>
      </c>
      <c r="D111" s="160" t="s">
        <v>1062</v>
      </c>
      <c r="E111" s="160" t="s">
        <v>267</v>
      </c>
      <c r="F111" s="161">
        <v>2035</v>
      </c>
      <c r="G111" s="160">
        <v>2035</v>
      </c>
      <c r="H111" s="162">
        <v>1.0625</v>
      </c>
      <c r="I111" s="163">
        <f>I98*1.5</f>
        <v>44.483818860506048</v>
      </c>
      <c r="J111" s="163">
        <f>J98*1.5</f>
        <v>4.4483818860506048</v>
      </c>
      <c r="K111" s="164">
        <v>30</v>
      </c>
      <c r="L111" s="164">
        <v>0.8</v>
      </c>
      <c r="R111" s="72"/>
      <c r="S111" s="72"/>
      <c r="T111" s="72"/>
      <c r="U111" s="72"/>
      <c r="W111" s="96"/>
      <c r="AD111" s="153"/>
      <c r="AE111" s="153"/>
      <c r="AM111" s="72"/>
      <c r="AN111" s="72"/>
      <c r="AO111" s="102"/>
    </row>
    <row r="112" spans="2:41" ht="13.8" x14ac:dyDescent="0.25">
      <c r="R112" s="72"/>
      <c r="S112" s="72"/>
      <c r="T112" s="72"/>
      <c r="U112" s="72"/>
      <c r="W112" s="96"/>
      <c r="AD112" s="153"/>
      <c r="AE112" s="153"/>
      <c r="AM112" s="72"/>
      <c r="AN112" s="72"/>
      <c r="AO112" s="102"/>
    </row>
    <row r="113" spans="2:43" ht="13.8" x14ac:dyDescent="0.25">
      <c r="I113" s="35">
        <v>1.5</v>
      </c>
      <c r="R113" s="72"/>
      <c r="S113" s="72"/>
      <c r="T113" s="72"/>
      <c r="U113" s="72"/>
      <c r="W113" s="96"/>
      <c r="AD113" s="153"/>
      <c r="AE113" s="153"/>
      <c r="AM113" s="72"/>
      <c r="AN113" s="72"/>
      <c r="AO113" s="102"/>
    </row>
    <row r="114" spans="2:43" ht="13.8" x14ac:dyDescent="0.25">
      <c r="R114" s="72"/>
      <c r="S114" s="72"/>
      <c r="T114" s="72"/>
      <c r="U114" s="72"/>
      <c r="W114" s="96"/>
      <c r="AD114" s="153"/>
      <c r="AE114" s="153"/>
      <c r="AM114" s="72"/>
      <c r="AN114" s="72"/>
      <c r="AO114" s="102"/>
    </row>
    <row r="115" spans="2:43" ht="13.8" x14ac:dyDescent="0.25">
      <c r="B115" s="37"/>
      <c r="C115" s="37"/>
      <c r="D115" s="37"/>
      <c r="E115" s="136" t="s">
        <v>295</v>
      </c>
      <c r="F115" s="137" t="s">
        <v>0</v>
      </c>
      <c r="G115" s="138" t="s">
        <v>295</v>
      </c>
      <c r="H115" s="138" t="s">
        <v>295</v>
      </c>
      <c r="I115" s="138" t="s">
        <v>295</v>
      </c>
      <c r="J115" s="37"/>
      <c r="K115" s="37"/>
      <c r="L115" s="72"/>
      <c r="R115" s="72"/>
      <c r="S115" s="72"/>
      <c r="T115" s="72"/>
      <c r="U115" s="72"/>
      <c r="W115" s="96"/>
      <c r="AD115" s="153"/>
      <c r="AE115" s="153"/>
      <c r="AM115" s="72"/>
      <c r="AN115" s="72"/>
      <c r="AO115" s="102"/>
    </row>
    <row r="116" spans="2:43" ht="13.8" x14ac:dyDescent="0.25">
      <c r="B116" s="45" t="s">
        <v>1</v>
      </c>
      <c r="C116" s="45" t="s">
        <v>227</v>
      </c>
      <c r="D116" s="45" t="s">
        <v>3</v>
      </c>
      <c r="E116" s="45" t="s">
        <v>4</v>
      </c>
      <c r="F116" s="46" t="s">
        <v>233</v>
      </c>
      <c r="G116" s="45" t="s">
        <v>14</v>
      </c>
      <c r="H116" s="139" t="s">
        <v>250</v>
      </c>
      <c r="I116" s="79" t="s">
        <v>36</v>
      </c>
      <c r="J116" s="49" t="s">
        <v>5</v>
      </c>
      <c r="K116" s="49" t="s">
        <v>48</v>
      </c>
      <c r="L116" s="46" t="s">
        <v>297</v>
      </c>
      <c r="R116" s="72"/>
      <c r="S116" s="72"/>
      <c r="T116" s="72"/>
      <c r="U116" s="72"/>
      <c r="W116" s="96"/>
      <c r="AD116" s="153"/>
      <c r="AE116" s="153"/>
      <c r="AM116" s="72"/>
      <c r="AN116" s="72"/>
      <c r="AO116" s="102"/>
    </row>
    <row r="117" spans="2:43" ht="14.4" thickBot="1" x14ac:dyDescent="0.3">
      <c r="B117" s="54" t="s">
        <v>280</v>
      </c>
      <c r="C117" s="54" t="s">
        <v>28</v>
      </c>
      <c r="D117" s="54" t="s">
        <v>32</v>
      </c>
      <c r="E117" s="54" t="s">
        <v>33</v>
      </c>
      <c r="F117" s="54"/>
      <c r="G117" s="84" t="s">
        <v>35</v>
      </c>
      <c r="H117" s="84"/>
      <c r="I117" s="84" t="s">
        <v>37</v>
      </c>
      <c r="J117" s="54" t="s">
        <v>38</v>
      </c>
      <c r="K117" s="54" t="s">
        <v>218</v>
      </c>
      <c r="L117" s="54"/>
      <c r="R117" s="72"/>
      <c r="S117" s="72"/>
      <c r="T117" s="72"/>
      <c r="U117" s="72"/>
      <c r="W117" s="96"/>
      <c r="AD117" s="153"/>
      <c r="AE117" s="153"/>
      <c r="AM117" s="72"/>
      <c r="AN117" s="72"/>
      <c r="AO117" s="102"/>
    </row>
    <row r="118" spans="2:43" ht="13.8" x14ac:dyDescent="0.25">
      <c r="B118" s="89" t="s">
        <v>281</v>
      </c>
      <c r="C118" s="90"/>
      <c r="D118" s="90"/>
      <c r="E118" s="90"/>
      <c r="F118" s="90"/>
      <c r="G118" s="90"/>
      <c r="H118" s="90"/>
      <c r="I118" s="90" t="s">
        <v>448</v>
      </c>
      <c r="J118" s="90" t="s">
        <v>448</v>
      </c>
      <c r="K118" s="90" t="s">
        <v>40</v>
      </c>
      <c r="L118" s="90"/>
      <c r="R118" s="72"/>
      <c r="S118" s="72"/>
      <c r="T118" s="72"/>
      <c r="U118" s="72"/>
      <c r="AD118" s="153"/>
      <c r="AE118" s="153"/>
      <c r="AM118" s="72"/>
      <c r="AN118" s="72"/>
      <c r="AO118" s="102"/>
    </row>
    <row r="119" spans="2:43" ht="13.8" x14ac:dyDescent="0.25">
      <c r="B119" s="37" t="str">
        <f>S82</f>
        <v>INDOTHMCDOILDSL_ST</v>
      </c>
      <c r="C119" s="37" t="str">
        <f>T82</f>
        <v>Machine Drive INDOTH Diesel_N_ST</v>
      </c>
      <c r="D119" s="72" t="s">
        <v>150</v>
      </c>
      <c r="E119" s="72" t="s">
        <v>269</v>
      </c>
      <c r="F119" s="94">
        <f>G119</f>
        <v>2018</v>
      </c>
      <c r="G119" s="72">
        <v>2018</v>
      </c>
      <c r="H119" s="140">
        <f>O119</f>
        <v>2</v>
      </c>
      <c r="I119" s="97">
        <v>5.7777777777777786</v>
      </c>
      <c r="J119" s="97">
        <f t="shared" ref="J119:J127" si="44">(I119*0.1)*(1/0.9)</f>
        <v>0.64197530864197538</v>
      </c>
      <c r="K119" s="141">
        <v>20</v>
      </c>
      <c r="L119" s="141">
        <v>0.8</v>
      </c>
      <c r="O119" s="165">
        <v>2</v>
      </c>
      <c r="R119" s="72"/>
      <c r="S119" s="72"/>
      <c r="T119" s="72"/>
      <c r="U119" s="72"/>
      <c r="W119" s="96"/>
      <c r="X119" s="104"/>
      <c r="Z119" s="153"/>
      <c r="AA119" s="166"/>
      <c r="AD119" s="153"/>
      <c r="AE119" s="153"/>
      <c r="AM119" s="72"/>
      <c r="AN119" s="72"/>
      <c r="AO119" s="102"/>
    </row>
    <row r="120" spans="2:43" ht="13.8" x14ac:dyDescent="0.25">
      <c r="B120" s="37" t="str">
        <f t="shared" ref="B120:C130" si="45">S83</f>
        <v>INDOTHMCDOILDSL_IM</v>
      </c>
      <c r="C120" s="37" t="str">
        <f t="shared" si="45"/>
        <v>Machine Drive INDOTH Diesel_N_IM</v>
      </c>
      <c r="D120" s="72" t="str">
        <f>D119</f>
        <v>INDOILDSL</v>
      </c>
      <c r="E120" s="72" t="str">
        <f>E119</f>
        <v>INDOTHMCD</v>
      </c>
      <c r="F120" s="94">
        <f t="shared" ref="F120:F130" si="46">G120</f>
        <v>2025</v>
      </c>
      <c r="G120" s="72">
        <f>G119+7</f>
        <v>2025</v>
      </c>
      <c r="H120" s="140">
        <f>H119*0.9</f>
        <v>1.8</v>
      </c>
      <c r="I120" s="95">
        <v>8.2431261318225388</v>
      </c>
      <c r="J120" s="97">
        <f t="shared" si="44"/>
        <v>0.9159029035358377</v>
      </c>
      <c r="K120" s="141">
        <v>20</v>
      </c>
      <c r="L120" s="141">
        <v>0.8</v>
      </c>
      <c r="O120" s="165">
        <v>2</v>
      </c>
      <c r="R120" s="72"/>
      <c r="S120" s="72"/>
      <c r="T120" s="72"/>
      <c r="U120" s="72"/>
      <c r="W120" s="96"/>
      <c r="AD120" s="153"/>
      <c r="AE120" s="153"/>
      <c r="AM120" s="72"/>
      <c r="AN120" s="72"/>
      <c r="AO120" s="102"/>
    </row>
    <row r="121" spans="2:43" ht="13.8" x14ac:dyDescent="0.25">
      <c r="B121" s="98" t="str">
        <f t="shared" si="45"/>
        <v>INDOTHMCDOILDSL_AD</v>
      </c>
      <c r="C121" s="98" t="str">
        <f t="shared" si="45"/>
        <v>Machine Drive INDOTH Diesel_N_AD</v>
      </c>
      <c r="D121" s="98" t="str">
        <f>D120</f>
        <v>INDOILDSL</v>
      </c>
      <c r="E121" s="98" t="str">
        <f>E119</f>
        <v>INDOTHMCD</v>
      </c>
      <c r="F121" s="99">
        <f t="shared" si="46"/>
        <v>2035</v>
      </c>
      <c r="G121" s="98">
        <f>G120+10</f>
        <v>2035</v>
      </c>
      <c r="H121" s="143">
        <f>H119*0.75</f>
        <v>1.5</v>
      </c>
      <c r="I121" s="144">
        <v>10.584383466223045</v>
      </c>
      <c r="J121" s="167">
        <f t="shared" si="44"/>
        <v>1.1760426073581163</v>
      </c>
      <c r="K121" s="145">
        <v>20</v>
      </c>
      <c r="L121" s="145">
        <v>0.8</v>
      </c>
      <c r="O121" s="165">
        <v>1.1111111111111112</v>
      </c>
      <c r="R121" s="72"/>
      <c r="S121" s="72"/>
      <c r="T121" s="72"/>
      <c r="U121" s="72"/>
      <c r="W121" s="96"/>
      <c r="AD121" s="153"/>
      <c r="AE121" s="153"/>
      <c r="AM121" s="72"/>
      <c r="AN121" s="72"/>
      <c r="AO121" s="102"/>
    </row>
    <row r="122" spans="2:43" ht="13.8" x14ac:dyDescent="0.25">
      <c r="B122" s="37" t="str">
        <f t="shared" si="45"/>
        <v>INDOTHMCDGASNAT_ST</v>
      </c>
      <c r="C122" s="37" t="str">
        <f t="shared" si="45"/>
        <v>Machine Drive INDOTH N. Gas_N_ST</v>
      </c>
      <c r="D122" s="72" t="s">
        <v>164</v>
      </c>
      <c r="E122" s="72" t="s">
        <v>269</v>
      </c>
      <c r="F122" s="94">
        <f>G122</f>
        <v>2018</v>
      </c>
      <c r="G122" s="72">
        <v>2018</v>
      </c>
      <c r="H122" s="140">
        <f>O120</f>
        <v>2</v>
      </c>
      <c r="I122" s="97">
        <v>6.2222222222222214</v>
      </c>
      <c r="J122" s="97">
        <f t="shared" si="44"/>
        <v>0.6913580246913581</v>
      </c>
      <c r="K122" s="141">
        <v>20</v>
      </c>
      <c r="L122" s="141">
        <v>0.8</v>
      </c>
      <c r="O122" s="165">
        <v>1.25</v>
      </c>
      <c r="R122" s="72"/>
      <c r="S122" s="72"/>
      <c r="T122" s="72"/>
      <c r="U122" s="72"/>
      <c r="W122" s="96"/>
      <c r="AD122" s="153"/>
      <c r="AE122" s="153"/>
      <c r="AM122" s="72"/>
      <c r="AN122" s="72"/>
      <c r="AO122" s="102"/>
    </row>
    <row r="123" spans="2:43" ht="13.8" x14ac:dyDescent="0.25">
      <c r="B123" s="37" t="str">
        <f t="shared" si="45"/>
        <v>INDOTHMCDGASNAT_IM</v>
      </c>
      <c r="C123" s="37" t="str">
        <f t="shared" si="45"/>
        <v>Machine Drive INDOTH N. Gas_N_IM</v>
      </c>
      <c r="D123" s="72" t="str">
        <f>D122</f>
        <v>INDGASNAT</v>
      </c>
      <c r="E123" s="72" t="str">
        <f>E122</f>
        <v>INDOTHMCD</v>
      </c>
      <c r="F123" s="94">
        <f t="shared" si="46"/>
        <v>2025</v>
      </c>
      <c r="G123" s="72">
        <f>G122+7</f>
        <v>2025</v>
      </c>
      <c r="H123" s="140">
        <f>H122*0.9</f>
        <v>1.8</v>
      </c>
      <c r="I123" s="95">
        <v>8.8772127573473494</v>
      </c>
      <c r="J123" s="97">
        <f t="shared" si="44"/>
        <v>0.98635697303859449</v>
      </c>
      <c r="K123" s="141">
        <v>20</v>
      </c>
      <c r="L123" s="141">
        <v>0.8</v>
      </c>
      <c r="O123" s="165"/>
      <c r="R123" s="72"/>
      <c r="S123" s="72"/>
      <c r="T123" s="72"/>
      <c r="U123" s="72"/>
      <c r="W123" s="96"/>
      <c r="AD123" s="153"/>
      <c r="AE123" s="153"/>
      <c r="AM123" s="72"/>
      <c r="AN123" s="72"/>
      <c r="AO123" s="102"/>
    </row>
    <row r="124" spans="2:43" ht="13.8" x14ac:dyDescent="0.25">
      <c r="B124" s="98" t="str">
        <f t="shared" si="45"/>
        <v>INDOTHMCDGASNAT_AD</v>
      </c>
      <c r="C124" s="98" t="str">
        <f t="shared" si="45"/>
        <v>Machine Drive INDOTH N. Gas_N_AD</v>
      </c>
      <c r="D124" s="98" t="str">
        <f>D123</f>
        <v>INDGASNAT</v>
      </c>
      <c r="E124" s="98" t="str">
        <f>E122</f>
        <v>INDOTHMCD</v>
      </c>
      <c r="F124" s="99">
        <f t="shared" si="46"/>
        <v>2035</v>
      </c>
      <c r="G124" s="98">
        <f>G123+10</f>
        <v>2035</v>
      </c>
      <c r="H124" s="143">
        <f>H122*0.75</f>
        <v>1.5</v>
      </c>
      <c r="I124" s="144">
        <v>11.398566809778664</v>
      </c>
      <c r="J124" s="167">
        <f t="shared" si="44"/>
        <v>1.2665074233087406</v>
      </c>
      <c r="K124" s="145">
        <v>20</v>
      </c>
      <c r="L124" s="145">
        <v>0.8</v>
      </c>
      <c r="R124" s="72"/>
      <c r="S124" s="72"/>
      <c r="T124" s="72"/>
      <c r="U124" s="72"/>
      <c r="W124" s="96"/>
      <c r="AD124" s="153"/>
      <c r="AE124" s="153"/>
      <c r="AM124" s="72"/>
      <c r="AN124" s="72"/>
      <c r="AO124" s="102"/>
    </row>
    <row r="125" spans="2:43" ht="13.8" x14ac:dyDescent="0.25">
      <c r="B125" s="37" t="str">
        <f t="shared" si="45"/>
        <v>INDOTHMCDELC_ST</v>
      </c>
      <c r="C125" s="37" t="str">
        <f t="shared" si="45"/>
        <v>Machine Drive INDOTH Electricity_N_ST</v>
      </c>
      <c r="D125" s="72" t="str">
        <f>Commodities!$D$341</f>
        <v>INDELC</v>
      </c>
      <c r="E125" s="72" t="s">
        <v>269</v>
      </c>
      <c r="F125" s="94">
        <f>G125</f>
        <v>2018</v>
      </c>
      <c r="G125" s="72">
        <v>2018</v>
      </c>
      <c r="H125" s="140">
        <f>O121</f>
        <v>1.1111111111111112</v>
      </c>
      <c r="I125" s="97">
        <v>4</v>
      </c>
      <c r="J125" s="97">
        <f t="shared" si="44"/>
        <v>0.44444444444444448</v>
      </c>
      <c r="K125" s="141">
        <v>20</v>
      </c>
      <c r="L125" s="141">
        <v>0.8</v>
      </c>
      <c r="R125" s="72"/>
      <c r="S125" s="72"/>
      <c r="T125" s="72"/>
      <c r="U125" s="72"/>
      <c r="W125" s="96"/>
      <c r="AF125" s="153"/>
      <c r="AG125" s="153"/>
      <c r="AO125" s="72"/>
      <c r="AP125" s="72"/>
      <c r="AQ125" s="102"/>
    </row>
    <row r="126" spans="2:43" ht="13.8" x14ac:dyDescent="0.25">
      <c r="B126" s="37" t="str">
        <f t="shared" si="45"/>
        <v>INDOTHMCDELC_IM</v>
      </c>
      <c r="C126" s="37" t="str">
        <f t="shared" si="45"/>
        <v>Machine Drive INDOTH Electricity_N_IM</v>
      </c>
      <c r="D126" s="72" t="str">
        <f>D125</f>
        <v>INDELC</v>
      </c>
      <c r="E126" s="72" t="str">
        <f>E125</f>
        <v>INDOTHMCD</v>
      </c>
      <c r="F126" s="94">
        <f t="shared" si="46"/>
        <v>2025</v>
      </c>
      <c r="G126" s="72">
        <f>G125+7</f>
        <v>2025</v>
      </c>
      <c r="H126" s="140">
        <f>H125*0.95</f>
        <v>1.0555555555555556</v>
      </c>
      <c r="I126" s="95">
        <v>5.7067796297232967</v>
      </c>
      <c r="J126" s="97">
        <f t="shared" si="44"/>
        <v>0.63408662552481077</v>
      </c>
      <c r="K126" s="141">
        <v>20</v>
      </c>
      <c r="L126" s="141">
        <v>0.8</v>
      </c>
      <c r="R126" s="72"/>
      <c r="S126" s="72"/>
      <c r="T126" s="72"/>
      <c r="U126" s="72"/>
      <c r="W126" s="96"/>
      <c r="AF126" s="153"/>
      <c r="AG126" s="153"/>
      <c r="AO126" s="72"/>
      <c r="AP126" s="72"/>
      <c r="AQ126" s="102"/>
    </row>
    <row r="127" spans="2:43" ht="13.8" x14ac:dyDescent="0.25">
      <c r="B127" s="98" t="str">
        <f t="shared" si="45"/>
        <v>INDOTHMCDELC_AD</v>
      </c>
      <c r="C127" s="98" t="str">
        <f t="shared" si="45"/>
        <v>Machine Drive INDOTH Electricity_N_AD</v>
      </c>
      <c r="D127" s="98" t="str">
        <f>D126</f>
        <v>INDELC</v>
      </c>
      <c r="E127" s="98" t="str">
        <f>E125</f>
        <v>INDOTHMCD</v>
      </c>
      <c r="F127" s="99">
        <f t="shared" si="46"/>
        <v>2035</v>
      </c>
      <c r="G127" s="98">
        <f>G126+10</f>
        <v>2035</v>
      </c>
      <c r="H127" s="143">
        <f>H125*0.92</f>
        <v>1.0222222222222224</v>
      </c>
      <c r="I127" s="144">
        <v>7.3276500920005709</v>
      </c>
      <c r="J127" s="167">
        <f t="shared" si="44"/>
        <v>0.81418334355561905</v>
      </c>
      <c r="K127" s="145">
        <v>20</v>
      </c>
      <c r="L127" s="145">
        <v>0.8</v>
      </c>
      <c r="R127" s="72"/>
      <c r="S127" s="72"/>
      <c r="T127" s="72"/>
      <c r="U127" s="72"/>
      <c r="W127" s="96"/>
      <c r="AF127" s="153"/>
      <c r="AG127" s="153"/>
      <c r="AO127" s="72"/>
      <c r="AP127" s="72"/>
      <c r="AQ127" s="102"/>
    </row>
    <row r="128" spans="2:43" ht="13.8" x14ac:dyDescent="0.25">
      <c r="B128" s="37" t="str">
        <f t="shared" si="45"/>
        <v>INDOTHOENELC_ST</v>
      </c>
      <c r="C128" s="37" t="str">
        <f t="shared" si="45"/>
        <v>Other Energy INDOTH Electricity_N_ST</v>
      </c>
      <c r="D128" s="72" t="str">
        <f>Commodities!$D$341</f>
        <v>INDELC</v>
      </c>
      <c r="E128" s="72" t="s">
        <v>271</v>
      </c>
      <c r="F128" s="94">
        <f>G128</f>
        <v>2018</v>
      </c>
      <c r="G128" s="72">
        <v>2018</v>
      </c>
      <c r="H128" s="140">
        <f>O122</f>
        <v>1.25</v>
      </c>
      <c r="I128" s="97">
        <v>0.02</v>
      </c>
      <c r="J128" s="97">
        <f>0.001*(1/0.9)</f>
        <v>1.1111111111111111E-3</v>
      </c>
      <c r="K128" s="141">
        <v>30</v>
      </c>
      <c r="L128" s="141">
        <v>0.8</v>
      </c>
      <c r="R128" s="72"/>
      <c r="S128" s="72"/>
      <c r="T128" s="72"/>
      <c r="U128" s="72"/>
      <c r="AF128" s="153"/>
      <c r="AG128" s="153"/>
      <c r="AO128" s="72"/>
      <c r="AP128" s="72"/>
      <c r="AQ128" s="102"/>
    </row>
    <row r="129" spans="2:43" ht="13.8" x14ac:dyDescent="0.25">
      <c r="B129" s="37" t="str">
        <f t="shared" si="45"/>
        <v>INDOTHOENELC_IM</v>
      </c>
      <c r="C129" s="37" t="str">
        <f t="shared" si="45"/>
        <v>Other Energy INDOTH Electricity_N_IM</v>
      </c>
      <c r="D129" s="72" t="str">
        <f>D128</f>
        <v>INDELC</v>
      </c>
      <c r="E129" s="72" t="str">
        <f>E128</f>
        <v>INDOTHOEN</v>
      </c>
      <c r="F129" s="94">
        <f t="shared" si="46"/>
        <v>2025</v>
      </c>
      <c r="G129" s="72">
        <f>G128+7</f>
        <v>2025</v>
      </c>
      <c r="H129" s="140">
        <f>H128*0.9</f>
        <v>1.125</v>
      </c>
      <c r="I129" s="168">
        <v>2.8533898148616482E-2</v>
      </c>
      <c r="J129" s="97">
        <f>0.001*(1/0.9)</f>
        <v>1.1111111111111111E-3</v>
      </c>
      <c r="K129" s="141">
        <v>30</v>
      </c>
      <c r="L129" s="141">
        <v>0.8</v>
      </c>
      <c r="R129" s="72"/>
      <c r="S129" s="72"/>
      <c r="T129" s="72"/>
      <c r="U129" s="72"/>
      <c r="W129" s="96"/>
      <c r="X129" s="72"/>
      <c r="Z129" s="153"/>
      <c r="AA129" s="166"/>
      <c r="AF129" s="153"/>
      <c r="AG129" s="153"/>
      <c r="AO129" s="72"/>
      <c r="AP129" s="72"/>
      <c r="AQ129" s="102"/>
    </row>
    <row r="130" spans="2:43" ht="13.8" x14ac:dyDescent="0.25">
      <c r="B130" s="98" t="str">
        <f t="shared" si="45"/>
        <v>INDOTHOENELC_AD</v>
      </c>
      <c r="C130" s="98" t="str">
        <f t="shared" si="45"/>
        <v>Other Energy INDOTH Electricity_N_AD</v>
      </c>
      <c r="D130" s="98" t="str">
        <f>D129</f>
        <v>INDELC</v>
      </c>
      <c r="E130" s="98" t="str">
        <f>E128</f>
        <v>INDOTHOEN</v>
      </c>
      <c r="F130" s="99">
        <f t="shared" si="46"/>
        <v>2035</v>
      </c>
      <c r="G130" s="98">
        <f>G129+10</f>
        <v>2035</v>
      </c>
      <c r="H130" s="143">
        <f>H128*0.85</f>
        <v>1.0625</v>
      </c>
      <c r="I130" s="143">
        <v>3.6638250460002852E-2</v>
      </c>
      <c r="J130" s="167">
        <f>0.001*(1/0.9)</f>
        <v>1.1111111111111111E-3</v>
      </c>
      <c r="K130" s="145">
        <v>30</v>
      </c>
      <c r="L130" s="145">
        <v>0.8</v>
      </c>
      <c r="R130" s="72"/>
      <c r="S130" s="72"/>
      <c r="T130" s="72"/>
      <c r="U130" s="72"/>
      <c r="W130" s="96"/>
      <c r="AO130" s="72"/>
      <c r="AP130" s="72"/>
      <c r="AQ130" s="102"/>
    </row>
    <row r="131" spans="2:43" ht="13.8" x14ac:dyDescent="0.25">
      <c r="B131" s="37"/>
      <c r="R131" s="72"/>
      <c r="S131" s="72"/>
      <c r="T131" s="72"/>
      <c r="U131" s="72"/>
      <c r="W131" s="96"/>
      <c r="AO131" s="72"/>
      <c r="AP131" s="72"/>
      <c r="AQ131" s="102"/>
    </row>
    <row r="132" spans="2:43" ht="13.8" x14ac:dyDescent="0.25">
      <c r="R132" s="72"/>
      <c r="S132" s="72"/>
      <c r="T132" s="72"/>
      <c r="U132" s="72"/>
      <c r="W132" s="96"/>
      <c r="AO132" s="72"/>
      <c r="AP132" s="72"/>
      <c r="AQ132" s="102"/>
    </row>
    <row r="133" spans="2:43" ht="13.8" x14ac:dyDescent="0.25">
      <c r="R133" s="72"/>
      <c r="S133" s="72"/>
      <c r="T133" s="72"/>
      <c r="U133" s="72"/>
      <c r="W133" s="96"/>
      <c r="AC133" s="72"/>
      <c r="AD133" s="72"/>
      <c r="AE133" s="72"/>
      <c r="AO133" s="72"/>
      <c r="AP133" s="72"/>
      <c r="AQ133" s="102"/>
    </row>
    <row r="134" spans="2:43" ht="13.8" x14ac:dyDescent="0.25">
      <c r="S134" s="72"/>
      <c r="T134" s="72"/>
      <c r="U134" s="72"/>
      <c r="V134" s="72"/>
      <c r="W134" s="72"/>
      <c r="Y134" s="96"/>
      <c r="AC134" s="150"/>
      <c r="AD134" s="150"/>
      <c r="AE134" s="150"/>
      <c r="AF134" s="150"/>
      <c r="AG134" s="150"/>
      <c r="AO134" s="72"/>
      <c r="AP134" s="72"/>
      <c r="AQ134" s="102"/>
    </row>
    <row r="135" spans="2:43" ht="13.8" x14ac:dyDescent="0.25">
      <c r="S135" s="72"/>
      <c r="T135" s="72"/>
      <c r="U135" s="72"/>
      <c r="V135" s="72"/>
      <c r="W135" s="72"/>
      <c r="Y135" s="96"/>
      <c r="AC135" s="152"/>
      <c r="AD135" s="152"/>
      <c r="AE135" s="152"/>
      <c r="AF135" s="152"/>
      <c r="AG135" s="152"/>
      <c r="AO135" s="72"/>
      <c r="AP135" s="72"/>
      <c r="AQ135" s="102"/>
    </row>
    <row r="136" spans="2:43" ht="13.8" x14ac:dyDescent="0.25">
      <c r="S136" s="72"/>
      <c r="T136" s="72"/>
      <c r="U136" s="72"/>
      <c r="V136" s="72"/>
      <c r="W136" s="72"/>
      <c r="Y136" s="96"/>
      <c r="AB136" s="72"/>
      <c r="AC136" s="152"/>
      <c r="AD136" s="152"/>
      <c r="AE136" s="152"/>
      <c r="AF136" s="152"/>
      <c r="AG136" s="152"/>
      <c r="AO136" s="72"/>
      <c r="AP136" s="72"/>
      <c r="AQ136" s="102"/>
    </row>
    <row r="137" spans="2:43" ht="13.8" x14ac:dyDescent="0.25">
      <c r="S137" s="72"/>
      <c r="T137" s="72"/>
      <c r="U137" s="72"/>
      <c r="V137" s="72"/>
      <c r="W137" s="72"/>
      <c r="Y137" s="96"/>
      <c r="AB137" s="150"/>
      <c r="AF137" s="151"/>
      <c r="AG137" s="151"/>
      <c r="AO137" s="72"/>
      <c r="AP137" s="72"/>
      <c r="AQ137" s="102"/>
    </row>
    <row r="138" spans="2:43" ht="13.8" x14ac:dyDescent="0.25">
      <c r="S138" s="72"/>
      <c r="T138" s="72"/>
      <c r="U138" s="72"/>
      <c r="V138" s="72"/>
      <c r="W138" s="72"/>
      <c r="AB138" s="152"/>
      <c r="AC138" s="166"/>
      <c r="AF138" s="151"/>
      <c r="AG138" s="151"/>
      <c r="AO138" s="72"/>
      <c r="AP138" s="72"/>
      <c r="AQ138" s="102"/>
    </row>
    <row r="139" spans="2:43" ht="13.8" x14ac:dyDescent="0.25">
      <c r="AB139" s="152"/>
      <c r="AC139" s="166"/>
      <c r="AF139" s="151"/>
      <c r="AG139" s="151"/>
      <c r="AO139" s="72"/>
      <c r="AP139" s="72"/>
      <c r="AQ139" s="102"/>
    </row>
    <row r="140" spans="2:43" ht="13.8" x14ac:dyDescent="0.25">
      <c r="AC140" s="166"/>
      <c r="AF140" s="151"/>
      <c r="AG140" s="151"/>
      <c r="AO140" s="72"/>
      <c r="AP140" s="72"/>
      <c r="AQ140" s="102"/>
    </row>
    <row r="141" spans="2:43" ht="13.8" x14ac:dyDescent="0.25">
      <c r="AC141" s="166"/>
      <c r="AF141" s="151"/>
      <c r="AG141" s="151"/>
      <c r="AO141" s="72"/>
      <c r="AP141" s="72"/>
      <c r="AQ141" s="102"/>
    </row>
    <row r="142" spans="2:43" ht="13.8" x14ac:dyDescent="0.25">
      <c r="S142" s="72"/>
      <c r="U142" s="72"/>
      <c r="V142" s="154"/>
      <c r="W142" s="114"/>
      <c r="X142" s="114"/>
      <c r="Y142" s="155"/>
      <c r="Z142" s="155"/>
      <c r="AA142" s="155"/>
      <c r="AC142" s="166"/>
      <c r="AF142" s="151"/>
      <c r="AG142" s="151"/>
      <c r="AO142" s="72"/>
      <c r="AP142" s="72"/>
      <c r="AQ142" s="102"/>
    </row>
    <row r="143" spans="2:43" ht="13.8" x14ac:dyDescent="0.25">
      <c r="S143" s="156"/>
      <c r="U143" s="156"/>
      <c r="V143" s="156"/>
      <c r="W143" s="156"/>
      <c r="X143" s="157"/>
      <c r="Y143" s="150"/>
      <c r="Z143" s="158"/>
      <c r="AA143" s="150"/>
      <c r="AC143" s="166"/>
      <c r="AF143" s="151"/>
      <c r="AG143" s="151"/>
      <c r="AO143" s="72"/>
      <c r="AP143" s="72"/>
      <c r="AQ143" s="102"/>
    </row>
    <row r="144" spans="2:43" ht="13.8" x14ac:dyDescent="0.25">
      <c r="S144" s="152"/>
      <c r="T144" s="152"/>
      <c r="U144" s="152"/>
      <c r="V144" s="152"/>
      <c r="W144" s="152"/>
      <c r="X144" s="101"/>
      <c r="Y144" s="152"/>
      <c r="Z144" s="152"/>
      <c r="AA144" s="152"/>
      <c r="AC144" s="166"/>
      <c r="AF144" s="151"/>
      <c r="AG144" s="151"/>
      <c r="AO144" s="72"/>
      <c r="AP144" s="72"/>
      <c r="AQ144" s="102"/>
    </row>
    <row r="145" spans="19:43" ht="15" x14ac:dyDescent="0.25">
      <c r="S145" s="169"/>
      <c r="T145" s="152"/>
      <c r="U145" s="152"/>
      <c r="V145" s="152"/>
      <c r="W145" s="152"/>
      <c r="X145" s="152"/>
      <c r="Y145" s="152"/>
      <c r="Z145" s="159"/>
      <c r="AA145" s="152"/>
      <c r="AC145" s="166"/>
      <c r="AF145" s="151"/>
      <c r="AG145" s="151"/>
      <c r="AO145" s="72"/>
      <c r="AP145" s="72"/>
      <c r="AQ145" s="102"/>
    </row>
    <row r="146" spans="19:43" ht="13.8" x14ac:dyDescent="0.25">
      <c r="S146" s="72"/>
      <c r="T146" s="72"/>
      <c r="U146" s="72"/>
      <c r="V146" s="72"/>
      <c r="W146" s="72"/>
      <c r="Y146" s="96"/>
      <c r="Z146" s="104"/>
      <c r="AC146" s="166"/>
      <c r="AF146" s="151"/>
      <c r="AG146" s="151"/>
      <c r="AO146" s="72"/>
      <c r="AP146" s="72"/>
      <c r="AQ146" s="102"/>
    </row>
    <row r="147" spans="19:43" ht="13.8" x14ac:dyDescent="0.25">
      <c r="S147" s="72"/>
      <c r="T147" s="72"/>
      <c r="U147" s="72"/>
      <c r="V147" s="72"/>
      <c r="W147" s="72"/>
      <c r="Y147" s="96"/>
      <c r="Z147" s="104"/>
      <c r="AC147" s="166"/>
      <c r="AF147" s="151"/>
      <c r="AG147" s="151"/>
      <c r="AO147" s="72"/>
      <c r="AP147" s="72"/>
      <c r="AQ147" s="102"/>
    </row>
    <row r="148" spans="19:43" ht="13.8" x14ac:dyDescent="0.25">
      <c r="S148" s="72"/>
      <c r="T148" s="72"/>
      <c r="U148" s="72"/>
      <c r="V148" s="72"/>
      <c r="W148" s="72"/>
      <c r="Y148" s="96"/>
      <c r="AC148" s="166"/>
      <c r="AF148" s="151"/>
      <c r="AG148" s="151"/>
      <c r="AO148" s="72"/>
      <c r="AP148" s="72"/>
      <c r="AQ148" s="102"/>
    </row>
    <row r="149" spans="19:43" ht="13.8" x14ac:dyDescent="0.25">
      <c r="S149" s="72"/>
      <c r="T149" s="72"/>
      <c r="U149" s="72"/>
      <c r="V149" s="72"/>
      <c r="W149" s="72"/>
      <c r="Y149" s="96"/>
      <c r="AC149" s="166"/>
      <c r="AF149" s="151"/>
      <c r="AG149" s="151"/>
      <c r="AO149" s="72"/>
      <c r="AP149" s="72"/>
      <c r="AQ149" s="102"/>
    </row>
    <row r="150" spans="19:43" ht="13.8" x14ac:dyDescent="0.25">
      <c r="S150" s="72"/>
      <c r="T150" s="72"/>
      <c r="U150" s="72"/>
      <c r="V150" s="72"/>
      <c r="W150" s="72"/>
      <c r="Y150" s="96"/>
      <c r="AC150" s="166"/>
      <c r="AF150" s="151"/>
      <c r="AG150" s="151"/>
      <c r="AO150" s="72"/>
      <c r="AP150" s="72"/>
      <c r="AQ150" s="102"/>
    </row>
    <row r="151" spans="19:43" ht="13.8" x14ac:dyDescent="0.25">
      <c r="S151" s="72"/>
      <c r="T151" s="72"/>
      <c r="U151" s="72"/>
      <c r="V151" s="72"/>
      <c r="W151" s="72"/>
      <c r="Y151" s="96"/>
      <c r="AB151" s="153"/>
      <c r="AC151" s="166"/>
      <c r="AF151" s="151"/>
      <c r="AG151" s="151"/>
      <c r="AO151" s="72"/>
      <c r="AP151" s="72"/>
      <c r="AQ151" s="102"/>
    </row>
    <row r="152" spans="19:43" ht="13.8" x14ac:dyDescent="0.25">
      <c r="S152" s="72"/>
      <c r="T152" s="72"/>
      <c r="U152" s="72"/>
      <c r="V152" s="72"/>
      <c r="W152" s="72"/>
      <c r="Y152" s="96"/>
      <c r="AC152" s="166"/>
      <c r="AF152" s="151"/>
      <c r="AG152" s="151"/>
      <c r="AO152" s="72"/>
      <c r="AP152" s="72"/>
      <c r="AQ152" s="102"/>
    </row>
    <row r="153" spans="19:43" ht="13.8" x14ac:dyDescent="0.25">
      <c r="S153" s="72"/>
      <c r="T153" s="72"/>
      <c r="U153" s="72"/>
      <c r="V153" s="72"/>
      <c r="W153" s="72"/>
      <c r="Y153" s="96"/>
      <c r="AC153" s="166"/>
      <c r="AF153" s="151"/>
      <c r="AG153" s="151"/>
      <c r="AO153" s="72"/>
      <c r="AP153" s="72"/>
      <c r="AQ153" s="102"/>
    </row>
    <row r="154" spans="19:43" ht="13.8" x14ac:dyDescent="0.25">
      <c r="S154" s="72"/>
      <c r="T154" s="72"/>
      <c r="U154" s="72"/>
      <c r="V154" s="72"/>
      <c r="W154" s="72"/>
      <c r="Y154" s="96"/>
      <c r="AC154" s="166"/>
      <c r="AF154" s="151"/>
      <c r="AG154" s="151"/>
      <c r="AO154" s="72"/>
      <c r="AP154" s="72"/>
      <c r="AQ154" s="102"/>
    </row>
    <row r="155" spans="19:43" ht="13.8" x14ac:dyDescent="0.25">
      <c r="S155" s="72"/>
      <c r="T155" s="72"/>
      <c r="U155" s="72"/>
      <c r="V155" s="72"/>
      <c r="W155" s="72"/>
      <c r="Y155" s="96"/>
      <c r="AC155" s="166"/>
      <c r="AF155" s="151"/>
      <c r="AG155" s="151"/>
      <c r="AO155" s="72"/>
      <c r="AP155" s="72"/>
      <c r="AQ155" s="102"/>
    </row>
    <row r="156" spans="19:43" ht="13.8" x14ac:dyDescent="0.25">
      <c r="S156" s="72"/>
      <c r="T156" s="72"/>
      <c r="U156" s="72"/>
      <c r="V156" s="72"/>
      <c r="W156" s="72"/>
      <c r="AC156" s="166"/>
      <c r="AF156" s="151"/>
      <c r="AG156" s="151"/>
      <c r="AO156" s="72"/>
      <c r="AP156" s="72"/>
      <c r="AQ156" s="102"/>
    </row>
    <row r="157" spans="19:43" ht="13.8" x14ac:dyDescent="0.25">
      <c r="S157" s="72"/>
      <c r="T157" s="72"/>
      <c r="U157" s="72"/>
      <c r="V157" s="72"/>
      <c r="W157" s="72"/>
      <c r="Y157" s="96"/>
      <c r="Z157" s="104"/>
      <c r="AC157" s="166"/>
      <c r="AF157" s="151"/>
      <c r="AG157" s="151"/>
      <c r="AO157" s="72"/>
      <c r="AP157" s="72"/>
      <c r="AQ157" s="102"/>
    </row>
    <row r="158" spans="19:43" ht="13.8" x14ac:dyDescent="0.25">
      <c r="S158" s="72"/>
      <c r="T158" s="72"/>
      <c r="U158" s="72"/>
      <c r="V158" s="72"/>
      <c r="W158" s="72"/>
      <c r="Y158" s="96"/>
      <c r="Z158" s="104"/>
      <c r="AC158" s="166"/>
      <c r="AF158" s="151"/>
      <c r="AG158" s="151"/>
      <c r="AO158" s="72"/>
      <c r="AP158" s="72"/>
      <c r="AQ158" s="102"/>
    </row>
    <row r="159" spans="19:43" ht="13.8" x14ac:dyDescent="0.25">
      <c r="S159" s="72"/>
      <c r="T159" s="72"/>
      <c r="U159" s="72"/>
      <c r="V159" s="72"/>
      <c r="W159" s="72"/>
      <c r="Y159" s="96"/>
      <c r="AF159" s="151"/>
      <c r="AG159" s="151"/>
      <c r="AO159" s="72"/>
      <c r="AP159" s="72"/>
      <c r="AQ159" s="102"/>
    </row>
    <row r="160" spans="19:43" ht="13.8" x14ac:dyDescent="0.25">
      <c r="S160" s="72"/>
      <c r="T160" s="72"/>
      <c r="U160" s="72"/>
      <c r="V160" s="72"/>
      <c r="W160" s="72"/>
      <c r="Y160" s="96"/>
      <c r="AF160" s="151"/>
      <c r="AG160" s="151"/>
      <c r="AO160" s="72"/>
      <c r="AP160" s="72"/>
      <c r="AQ160" s="102"/>
    </row>
    <row r="161" spans="17:39" ht="13.8" x14ac:dyDescent="0.25">
      <c r="S161" s="72"/>
      <c r="T161" s="72"/>
      <c r="U161" s="72"/>
      <c r="V161" s="72"/>
      <c r="W161" s="72"/>
      <c r="Y161" s="96"/>
      <c r="AC161" s="151"/>
      <c r="AK161" s="72"/>
      <c r="AL161" s="72"/>
      <c r="AM161" s="102"/>
    </row>
    <row r="162" spans="17:39" ht="13.8" x14ac:dyDescent="0.25">
      <c r="S162" s="72"/>
      <c r="T162" s="72"/>
      <c r="U162" s="72"/>
      <c r="V162" s="72"/>
      <c r="W162" s="72"/>
      <c r="Y162" s="96"/>
      <c r="AB162" s="153"/>
      <c r="AC162" s="151"/>
      <c r="AK162" s="72"/>
      <c r="AL162" s="72"/>
      <c r="AM162" s="102"/>
    </row>
    <row r="163" spans="17:39" ht="13.8" x14ac:dyDescent="0.25">
      <c r="S163" s="72"/>
      <c r="T163" s="72"/>
      <c r="U163" s="72"/>
      <c r="V163" s="72"/>
      <c r="W163" s="72"/>
      <c r="Y163" s="96"/>
      <c r="AC163" s="151"/>
      <c r="AK163" s="72"/>
      <c r="AL163" s="72"/>
      <c r="AM163" s="102"/>
    </row>
    <row r="164" spans="17:39" ht="13.8" x14ac:dyDescent="0.25">
      <c r="S164" s="72"/>
      <c r="T164" s="72"/>
      <c r="U164" s="72"/>
      <c r="V164" s="72"/>
      <c r="W164" s="72"/>
      <c r="Y164" s="96"/>
      <c r="AB164" s="151"/>
      <c r="AC164" s="151"/>
      <c r="AK164" s="72"/>
      <c r="AL164" s="72"/>
      <c r="AM164" s="102"/>
    </row>
    <row r="165" spans="17:39" ht="13.8" x14ac:dyDescent="0.25">
      <c r="S165" s="72"/>
      <c r="T165" s="72"/>
      <c r="U165" s="72"/>
      <c r="V165" s="72"/>
      <c r="W165" s="72"/>
      <c r="Y165" s="96"/>
      <c r="AB165" s="151"/>
      <c r="AC165" s="151"/>
      <c r="AK165" s="72"/>
      <c r="AL165" s="72"/>
      <c r="AM165" s="102"/>
    </row>
    <row r="166" spans="17:39" ht="13.8" x14ac:dyDescent="0.25">
      <c r="S166" s="72"/>
      <c r="T166" s="72"/>
      <c r="U166" s="72"/>
      <c r="V166" s="72"/>
      <c r="W166" s="72"/>
      <c r="Y166" s="96"/>
      <c r="AB166" s="151"/>
      <c r="AC166" s="151"/>
      <c r="AK166" s="72"/>
      <c r="AL166" s="72"/>
      <c r="AM166" s="102"/>
    </row>
    <row r="167" spans="17:39" ht="13.8" x14ac:dyDescent="0.25">
      <c r="S167" s="72"/>
      <c r="T167" s="72"/>
      <c r="U167" s="72"/>
      <c r="V167" s="72"/>
      <c r="W167" s="72"/>
      <c r="AB167" s="151"/>
      <c r="AC167" s="151"/>
      <c r="AK167" s="72"/>
      <c r="AL167" s="72"/>
      <c r="AM167" s="102"/>
    </row>
    <row r="168" spans="17:39" ht="13.8" x14ac:dyDescent="0.25">
      <c r="S168" s="72"/>
      <c r="T168" s="72"/>
      <c r="U168" s="72"/>
      <c r="V168" s="72"/>
      <c r="W168" s="72"/>
      <c r="Y168" s="96"/>
      <c r="Z168" s="72"/>
      <c r="AB168" s="151"/>
      <c r="AC168" s="151"/>
      <c r="AK168" s="72"/>
      <c r="AL168" s="72"/>
      <c r="AM168" s="102"/>
    </row>
    <row r="169" spans="17:39" ht="13.8" x14ac:dyDescent="0.25">
      <c r="S169" s="72"/>
      <c r="T169" s="72"/>
      <c r="U169" s="72"/>
      <c r="V169" s="72"/>
      <c r="W169" s="72"/>
      <c r="Y169" s="96"/>
      <c r="Z169" s="72"/>
      <c r="AB169" s="151"/>
      <c r="AC169" s="151"/>
      <c r="AK169" s="72"/>
      <c r="AL169" s="72"/>
      <c r="AM169" s="102"/>
    </row>
    <row r="170" spans="17:39" ht="13.8" x14ac:dyDescent="0.25">
      <c r="R170" s="72"/>
      <c r="S170" s="72"/>
      <c r="U170" s="96"/>
      <c r="AB170" s="151"/>
      <c r="AK170" s="72"/>
      <c r="AL170" s="72"/>
      <c r="AM170" s="102"/>
    </row>
    <row r="171" spans="17:39" ht="13.8" x14ac:dyDescent="0.25">
      <c r="R171" s="72"/>
      <c r="S171" s="72"/>
      <c r="U171" s="96"/>
      <c r="AB171" s="151"/>
    </row>
    <row r="172" spans="17:39" ht="13.8" x14ac:dyDescent="0.25">
      <c r="R172" s="72"/>
      <c r="S172" s="72"/>
      <c r="U172" s="96"/>
      <c r="AB172" s="151"/>
    </row>
    <row r="173" spans="17:39" ht="17.399999999999999" x14ac:dyDescent="0.3">
      <c r="Q173" s="170"/>
      <c r="R173" s="72"/>
      <c r="S173" s="72"/>
      <c r="U173" s="96"/>
    </row>
    <row r="174" spans="17:39" ht="13.8" x14ac:dyDescent="0.25">
      <c r="Q174" s="72"/>
      <c r="R174" s="72"/>
      <c r="S174" s="72"/>
      <c r="U174" s="96"/>
      <c r="AC174" s="72"/>
    </row>
    <row r="175" spans="17:39" ht="13.8" x14ac:dyDescent="0.25">
      <c r="Q175" s="72"/>
      <c r="R175" s="72"/>
      <c r="S175" s="72"/>
      <c r="U175" s="96"/>
    </row>
    <row r="176" spans="17:39" ht="13.8" x14ac:dyDescent="0.25">
      <c r="R176" s="72"/>
      <c r="S176" s="72"/>
      <c r="U176" s="96"/>
    </row>
    <row r="177" spans="17:34" ht="13.8" x14ac:dyDescent="0.25">
      <c r="R177" s="72"/>
      <c r="S177" s="72"/>
      <c r="U177" s="96"/>
      <c r="AB177" s="72"/>
      <c r="AD177" s="72"/>
      <c r="AE177" s="72"/>
    </row>
    <row r="178" spans="17:34" ht="13.8" x14ac:dyDescent="0.25">
      <c r="R178" s="72"/>
      <c r="S178" s="72"/>
      <c r="AC178" s="150"/>
      <c r="AD178" s="150"/>
    </row>
    <row r="179" spans="17:34" ht="13.8" x14ac:dyDescent="0.25">
      <c r="AC179" s="152"/>
      <c r="AD179" s="152"/>
      <c r="AF179" s="120"/>
      <c r="AG179" s="120"/>
      <c r="AH179" s="120"/>
    </row>
    <row r="180" spans="17:34" ht="13.8" x14ac:dyDescent="0.25">
      <c r="AC180" s="152"/>
      <c r="AD180" s="152"/>
    </row>
    <row r="181" spans="17:34" ht="13.8" x14ac:dyDescent="0.25">
      <c r="AB181" s="150"/>
      <c r="AC181" s="168"/>
      <c r="AD181" s="96"/>
    </row>
    <row r="182" spans="17:34" ht="17.399999999999999" x14ac:dyDescent="0.3">
      <c r="R182" s="170"/>
      <c r="S182" s="72"/>
      <c r="AB182" s="152"/>
      <c r="AC182" s="168"/>
      <c r="AD182" s="96"/>
    </row>
    <row r="183" spans="17:34" ht="13.8" x14ac:dyDescent="0.25">
      <c r="R183" s="102"/>
      <c r="S183" s="72"/>
      <c r="AA183" s="105"/>
      <c r="AB183" s="152"/>
      <c r="AC183" s="168"/>
      <c r="AD183" s="96"/>
    </row>
    <row r="184" spans="17:34" ht="13.8" x14ac:dyDescent="0.25">
      <c r="R184" s="102"/>
      <c r="S184" s="72"/>
      <c r="AB184" s="168"/>
      <c r="AC184" s="168"/>
      <c r="AD184" s="96"/>
      <c r="AF184" s="72"/>
      <c r="AG184" s="72"/>
      <c r="AH184" s="72"/>
    </row>
    <row r="185" spans="17:34" ht="13.8" x14ac:dyDescent="0.25">
      <c r="AB185" s="168"/>
      <c r="AC185" s="168"/>
      <c r="AD185" s="96"/>
    </row>
    <row r="186" spans="17:34" ht="13.8" x14ac:dyDescent="0.25">
      <c r="R186" s="154"/>
      <c r="S186" s="114"/>
      <c r="T186" s="114"/>
      <c r="U186" s="155"/>
      <c r="V186" s="155"/>
      <c r="W186" s="155"/>
      <c r="X186" s="155"/>
      <c r="Y186" s="72"/>
      <c r="Z186" s="72"/>
      <c r="AA186" s="72"/>
      <c r="AB186" s="168"/>
      <c r="AC186" s="168"/>
      <c r="AD186" s="96"/>
    </row>
    <row r="187" spans="17:34" ht="13.8" x14ac:dyDescent="0.25">
      <c r="R187" s="156"/>
      <c r="S187" s="156"/>
      <c r="T187" s="157"/>
      <c r="U187" s="150"/>
      <c r="V187" s="150"/>
      <c r="W187" s="150"/>
      <c r="X187" s="150"/>
      <c r="Y187" s="150"/>
      <c r="Z187" s="150"/>
      <c r="AA187" s="150"/>
      <c r="AB187" s="168"/>
      <c r="AC187" s="168"/>
      <c r="AD187" s="96"/>
    </row>
    <row r="188" spans="17:34" ht="13.8" x14ac:dyDescent="0.25">
      <c r="R188" s="152"/>
      <c r="S188" s="152"/>
      <c r="T188" s="101"/>
      <c r="U188" s="152"/>
      <c r="V188" s="152"/>
      <c r="W188" s="152"/>
      <c r="X188" s="152"/>
      <c r="Y188" s="152"/>
      <c r="Z188" s="152"/>
      <c r="AA188" s="152"/>
      <c r="AB188" s="168"/>
      <c r="AC188" s="168"/>
      <c r="AD188" s="96"/>
    </row>
    <row r="189" spans="17:34" ht="13.8" x14ac:dyDescent="0.25"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68"/>
      <c r="AC189" s="168"/>
      <c r="AD189" s="96"/>
    </row>
    <row r="190" spans="17:34" ht="13.8" x14ac:dyDescent="0.25">
      <c r="R190" s="72"/>
      <c r="S190" s="105"/>
      <c r="T190" s="105"/>
      <c r="U190" s="97"/>
      <c r="V190" s="102"/>
      <c r="W190" s="102"/>
      <c r="X190" s="72"/>
      <c r="Y190" s="168"/>
      <c r="Z190" s="102"/>
      <c r="AA190" s="102"/>
      <c r="AB190" s="168"/>
      <c r="AC190" s="168"/>
      <c r="AD190" s="96"/>
    </row>
    <row r="191" spans="17:34" ht="13.8" x14ac:dyDescent="0.25">
      <c r="Q191" s="72"/>
      <c r="R191" s="72"/>
      <c r="S191" s="72"/>
      <c r="T191" s="102"/>
      <c r="U191" s="102"/>
      <c r="V191" s="102"/>
      <c r="W191" s="102"/>
      <c r="X191" s="72"/>
      <c r="Y191" s="168"/>
      <c r="Z191" s="102"/>
      <c r="AA191" s="102"/>
      <c r="AB191" s="168"/>
      <c r="AC191" s="168"/>
      <c r="AD191" s="96"/>
    </row>
    <row r="192" spans="17:34" ht="13.8" x14ac:dyDescent="0.25">
      <c r="R192" s="72"/>
      <c r="S192" s="72"/>
      <c r="T192" s="102"/>
      <c r="U192" s="102"/>
      <c r="V192" s="102"/>
      <c r="W192" s="102"/>
      <c r="X192" s="72"/>
      <c r="Y192" s="168"/>
      <c r="Z192" s="102"/>
      <c r="AA192" s="102"/>
      <c r="AB192" s="168"/>
      <c r="AC192" s="168"/>
      <c r="AD192" s="96"/>
    </row>
    <row r="193" spans="18:30" ht="13.8" x14ac:dyDescent="0.25">
      <c r="R193" s="72"/>
      <c r="S193" s="72"/>
      <c r="T193" s="102"/>
      <c r="U193" s="102"/>
      <c r="V193" s="102"/>
      <c r="W193" s="102"/>
      <c r="X193" s="72"/>
      <c r="Y193" s="168"/>
      <c r="Z193" s="102"/>
      <c r="AA193" s="102"/>
      <c r="AB193" s="168"/>
      <c r="AC193" s="168"/>
      <c r="AD193" s="96"/>
    </row>
    <row r="194" spans="18:30" ht="13.8" x14ac:dyDescent="0.25">
      <c r="R194" s="72"/>
      <c r="S194" s="72"/>
      <c r="T194" s="102"/>
      <c r="U194" s="102"/>
      <c r="V194" s="102"/>
      <c r="W194" s="102"/>
      <c r="X194" s="72"/>
      <c r="Y194" s="168"/>
      <c r="Z194" s="102"/>
      <c r="AA194" s="102"/>
      <c r="AB194" s="168"/>
      <c r="AC194" s="168"/>
      <c r="AD194" s="96"/>
    </row>
    <row r="195" spans="18:30" ht="13.8" x14ac:dyDescent="0.25">
      <c r="R195" s="72"/>
      <c r="S195" s="72"/>
      <c r="T195" s="102"/>
      <c r="U195" s="102"/>
      <c r="V195" s="102"/>
      <c r="W195" s="102"/>
      <c r="X195" s="72"/>
      <c r="Y195" s="168"/>
      <c r="Z195" s="102"/>
      <c r="AA195" s="102"/>
      <c r="AB195" s="168"/>
      <c r="AC195" s="168"/>
      <c r="AD195" s="96"/>
    </row>
    <row r="196" spans="18:30" ht="13.8" x14ac:dyDescent="0.25">
      <c r="R196" s="72"/>
      <c r="S196" s="72"/>
      <c r="T196" s="102"/>
      <c r="U196" s="102"/>
      <c r="V196" s="102"/>
      <c r="W196" s="102"/>
      <c r="X196" s="72"/>
      <c r="Y196" s="168"/>
      <c r="Z196" s="102"/>
      <c r="AA196" s="102"/>
      <c r="AB196" s="168"/>
      <c r="AC196" s="168"/>
      <c r="AD196" s="96"/>
    </row>
    <row r="197" spans="18:30" ht="13.8" x14ac:dyDescent="0.25">
      <c r="R197" s="72"/>
      <c r="S197" s="72"/>
      <c r="T197" s="102"/>
      <c r="U197" s="102"/>
      <c r="V197" s="102"/>
      <c r="W197" s="102"/>
      <c r="X197" s="72"/>
      <c r="Y197" s="168"/>
      <c r="Z197" s="102"/>
      <c r="AA197" s="102"/>
      <c r="AB197" s="168"/>
      <c r="AC197" s="168"/>
      <c r="AD197" s="96"/>
    </row>
    <row r="198" spans="18:30" ht="13.8" x14ac:dyDescent="0.25">
      <c r="R198" s="72"/>
      <c r="S198" s="72"/>
      <c r="T198" s="102"/>
      <c r="U198" s="102"/>
      <c r="V198" s="102"/>
      <c r="W198" s="102"/>
      <c r="X198" s="72"/>
      <c r="Y198" s="168"/>
      <c r="Z198" s="102"/>
      <c r="AA198" s="102"/>
      <c r="AB198" s="168"/>
      <c r="AC198" s="168"/>
      <c r="AD198" s="96"/>
    </row>
    <row r="199" spans="18:30" ht="13.8" x14ac:dyDescent="0.25">
      <c r="R199" s="72"/>
      <c r="S199" s="105"/>
      <c r="T199" s="105"/>
      <c r="U199" s="97"/>
      <c r="V199" s="102"/>
      <c r="W199" s="102"/>
      <c r="X199" s="72"/>
      <c r="Y199" s="168"/>
      <c r="Z199" s="102"/>
      <c r="AA199" s="102"/>
      <c r="AB199" s="168"/>
      <c r="AC199" s="168"/>
      <c r="AD199" s="96"/>
    </row>
    <row r="200" spans="18:30" ht="13.8" x14ac:dyDescent="0.25">
      <c r="R200" s="72"/>
      <c r="S200" s="72"/>
      <c r="T200" s="102"/>
      <c r="U200" s="102"/>
      <c r="V200" s="102"/>
      <c r="W200" s="102"/>
      <c r="X200" s="72"/>
      <c r="Y200" s="168"/>
      <c r="Z200" s="102"/>
      <c r="AA200" s="102"/>
      <c r="AB200" s="168"/>
      <c r="AC200" s="168"/>
      <c r="AD200" s="96"/>
    </row>
    <row r="201" spans="18:30" ht="13.8" x14ac:dyDescent="0.25">
      <c r="R201" s="72"/>
      <c r="S201" s="72"/>
      <c r="T201" s="102"/>
      <c r="U201" s="102"/>
      <c r="V201" s="102"/>
      <c r="W201" s="102"/>
      <c r="X201" s="72"/>
      <c r="Y201" s="168"/>
      <c r="Z201" s="102"/>
      <c r="AA201" s="102"/>
      <c r="AB201" s="168"/>
      <c r="AC201" s="168"/>
      <c r="AD201" s="96"/>
    </row>
    <row r="202" spans="18:30" ht="13.8" x14ac:dyDescent="0.25">
      <c r="R202" s="72"/>
      <c r="S202" s="72"/>
      <c r="T202" s="102"/>
      <c r="U202" s="102"/>
      <c r="V202" s="102"/>
      <c r="W202" s="102"/>
      <c r="X202" s="72"/>
      <c r="Y202" s="168"/>
      <c r="Z202" s="102"/>
      <c r="AA202" s="102"/>
      <c r="AB202" s="168"/>
      <c r="AC202" s="168"/>
      <c r="AD202" s="96"/>
    </row>
    <row r="203" spans="18:30" ht="13.8" x14ac:dyDescent="0.25">
      <c r="R203" s="72"/>
      <c r="S203" s="72"/>
      <c r="T203" s="102"/>
      <c r="U203" s="102"/>
      <c r="V203" s="102"/>
      <c r="W203" s="102"/>
      <c r="X203" s="72"/>
      <c r="Y203" s="168"/>
      <c r="Z203" s="102"/>
      <c r="AA203" s="102"/>
      <c r="AB203" s="168"/>
      <c r="AC203" s="168"/>
      <c r="AD203" s="96"/>
    </row>
    <row r="204" spans="18:30" ht="13.8" x14ac:dyDescent="0.25">
      <c r="R204" s="72"/>
      <c r="S204" s="72"/>
      <c r="T204" s="102"/>
      <c r="U204" s="102"/>
      <c r="V204" s="102"/>
      <c r="W204" s="102"/>
      <c r="X204" s="72"/>
      <c r="Y204" s="168"/>
      <c r="Z204" s="102"/>
      <c r="AA204" s="102"/>
      <c r="AB204" s="168"/>
      <c r="AC204" s="168"/>
      <c r="AD204" s="96"/>
    </row>
    <row r="205" spans="18:30" ht="13.8" x14ac:dyDescent="0.25">
      <c r="R205" s="72"/>
      <c r="S205" s="72"/>
      <c r="T205" s="102"/>
      <c r="U205" s="102"/>
      <c r="V205" s="102"/>
      <c r="W205" s="102"/>
      <c r="X205" s="72"/>
      <c r="Y205" s="168"/>
      <c r="Z205" s="102"/>
      <c r="AA205" s="102"/>
      <c r="AB205" s="168"/>
      <c r="AC205" s="168"/>
      <c r="AD205" s="96"/>
    </row>
    <row r="206" spans="18:30" ht="13.8" x14ac:dyDescent="0.25">
      <c r="R206" s="72"/>
      <c r="S206" s="72"/>
      <c r="T206" s="102"/>
      <c r="U206" s="102"/>
      <c r="V206" s="102"/>
      <c r="W206" s="102"/>
      <c r="X206" s="72"/>
      <c r="Y206" s="168"/>
      <c r="Z206" s="102"/>
      <c r="AA206" s="102"/>
      <c r="AB206" s="168"/>
      <c r="AC206" s="168"/>
      <c r="AD206" s="96"/>
    </row>
    <row r="207" spans="18:30" ht="13.8" x14ac:dyDescent="0.25">
      <c r="R207" s="72"/>
      <c r="S207" s="72"/>
      <c r="T207" s="102"/>
      <c r="U207" s="102"/>
      <c r="V207" s="102"/>
      <c r="W207" s="102"/>
      <c r="X207" s="72"/>
      <c r="Y207" s="168"/>
      <c r="Z207" s="102"/>
      <c r="AA207" s="102"/>
      <c r="AB207" s="168"/>
      <c r="AC207" s="168"/>
      <c r="AD207" s="96"/>
    </row>
    <row r="208" spans="18:30" ht="13.8" x14ac:dyDescent="0.25">
      <c r="R208" s="72"/>
      <c r="S208" s="105"/>
      <c r="T208" s="105"/>
      <c r="U208" s="97"/>
      <c r="V208" s="102"/>
      <c r="W208" s="102"/>
      <c r="X208" s="72"/>
      <c r="Y208" s="168"/>
      <c r="Z208" s="102"/>
      <c r="AA208" s="102"/>
      <c r="AB208" s="168"/>
    </row>
    <row r="209" spans="17:35" ht="13.8" x14ac:dyDescent="0.25">
      <c r="R209" s="72"/>
      <c r="S209" s="72"/>
      <c r="T209" s="102"/>
      <c r="U209" s="102"/>
      <c r="V209" s="102"/>
      <c r="W209" s="102"/>
      <c r="X209" s="72"/>
      <c r="Y209" s="168"/>
      <c r="Z209" s="102"/>
      <c r="AA209" s="102"/>
      <c r="AB209" s="168"/>
    </row>
    <row r="210" spans="17:35" ht="13.8" x14ac:dyDescent="0.25">
      <c r="R210" s="72"/>
      <c r="S210" s="72"/>
      <c r="T210" s="102"/>
      <c r="U210" s="102"/>
      <c r="V210" s="102"/>
      <c r="W210" s="102"/>
      <c r="X210" s="72"/>
      <c r="Y210" s="168"/>
      <c r="Z210" s="102"/>
      <c r="AA210" s="102"/>
      <c r="AB210" s="168"/>
    </row>
    <row r="211" spans="17:35" ht="17.399999999999999" x14ac:dyDescent="0.3">
      <c r="Q211" s="170"/>
      <c r="R211" s="72"/>
      <c r="S211" s="72"/>
      <c r="T211" s="102"/>
      <c r="U211" s="102"/>
      <c r="V211" s="102"/>
      <c r="W211" s="102"/>
      <c r="X211" s="72"/>
      <c r="Y211" s="168"/>
      <c r="Z211" s="102"/>
      <c r="AA211" s="102"/>
    </row>
    <row r="212" spans="17:35" ht="17.399999999999999" x14ac:dyDescent="0.3">
      <c r="Q212" s="170"/>
      <c r="R212" s="72"/>
      <c r="S212" s="72"/>
      <c r="T212" s="102"/>
      <c r="U212" s="102"/>
      <c r="V212" s="102"/>
      <c r="W212" s="102"/>
      <c r="X212" s="72"/>
      <c r="Y212" s="168"/>
      <c r="Z212" s="102"/>
      <c r="AA212" s="102"/>
    </row>
    <row r="213" spans="17:35" ht="13.8" x14ac:dyDescent="0.25">
      <c r="R213" s="72"/>
      <c r="S213" s="72"/>
      <c r="T213" s="102"/>
      <c r="U213" s="102"/>
      <c r="V213" s="102"/>
      <c r="W213" s="102"/>
      <c r="X213" s="72"/>
      <c r="Y213" s="168"/>
      <c r="Z213" s="102"/>
      <c r="AA213" s="102"/>
      <c r="AC213" s="72"/>
    </row>
    <row r="214" spans="17:35" ht="13.8" x14ac:dyDescent="0.25">
      <c r="R214" s="72"/>
      <c r="S214" s="72"/>
      <c r="T214" s="102"/>
      <c r="U214" s="102"/>
      <c r="V214" s="102"/>
      <c r="W214" s="102"/>
      <c r="X214" s="72"/>
      <c r="Y214" s="168"/>
      <c r="Z214" s="102"/>
      <c r="AA214" s="102"/>
    </row>
    <row r="215" spans="17:35" ht="13.8" x14ac:dyDescent="0.25">
      <c r="Q215" s="72"/>
      <c r="R215" s="72"/>
      <c r="S215" s="72"/>
      <c r="T215" s="102"/>
      <c r="U215" s="102"/>
      <c r="V215" s="102"/>
      <c r="W215" s="102"/>
      <c r="X215" s="72"/>
      <c r="Y215" s="168"/>
      <c r="Z215" s="102"/>
      <c r="AA215" s="102"/>
      <c r="AD215" s="72"/>
      <c r="AE215" s="72"/>
      <c r="AF215" s="72"/>
      <c r="AG215" s="72"/>
      <c r="AH215" s="72"/>
      <c r="AI215" s="72"/>
    </row>
    <row r="216" spans="17:35" ht="13.8" x14ac:dyDescent="0.25">
      <c r="Q216" s="72"/>
      <c r="R216" s="72"/>
      <c r="S216" s="72"/>
      <c r="T216" s="102"/>
      <c r="U216" s="102"/>
      <c r="V216" s="102"/>
      <c r="W216" s="102"/>
      <c r="X216" s="72"/>
      <c r="Y216" s="168"/>
      <c r="Z216" s="102"/>
      <c r="AA216" s="102"/>
      <c r="AB216" s="72"/>
      <c r="AC216" s="150"/>
      <c r="AD216" s="150"/>
      <c r="AE216" s="158"/>
      <c r="AF216" s="158"/>
      <c r="AI216" s="120"/>
    </row>
    <row r="217" spans="17:35" ht="13.8" x14ac:dyDescent="0.25">
      <c r="Q217" s="72"/>
      <c r="AC217" s="152"/>
      <c r="AD217" s="152"/>
      <c r="AE217" s="152"/>
      <c r="AF217" s="152"/>
      <c r="AG217" s="72"/>
      <c r="AH217" s="72"/>
      <c r="AI217" s="72"/>
    </row>
    <row r="218" spans="17:35" ht="13.8" x14ac:dyDescent="0.25">
      <c r="Q218" s="72"/>
      <c r="AC218" s="152"/>
      <c r="AD218" s="152"/>
      <c r="AE218" s="171"/>
      <c r="AF218" s="171"/>
      <c r="AG218" s="72"/>
      <c r="AH218" s="72"/>
      <c r="AI218" s="72"/>
    </row>
    <row r="219" spans="17:35" ht="13.8" x14ac:dyDescent="0.25">
      <c r="Q219" s="72"/>
      <c r="AB219" s="150"/>
      <c r="AC219" s="168"/>
      <c r="AD219" s="96"/>
      <c r="AE219" s="97"/>
      <c r="AF219" s="97"/>
      <c r="AG219" s="72"/>
      <c r="AH219" s="72"/>
      <c r="AI219" s="72"/>
    </row>
    <row r="220" spans="17:35" ht="17.399999999999999" x14ac:dyDescent="0.3">
      <c r="Q220" s="72"/>
      <c r="R220" s="170"/>
      <c r="AB220" s="152"/>
      <c r="AC220" s="168"/>
      <c r="AD220" s="96"/>
      <c r="AE220" s="96"/>
      <c r="AF220" s="72"/>
      <c r="AG220" s="72"/>
      <c r="AH220" s="72"/>
      <c r="AI220" s="72"/>
    </row>
    <row r="221" spans="17:35" ht="17.399999999999999" x14ac:dyDescent="0.3">
      <c r="Q221" s="72"/>
      <c r="R221" s="170"/>
      <c r="AB221" s="152"/>
      <c r="AC221" s="168"/>
      <c r="AD221" s="96"/>
      <c r="AE221" s="96"/>
      <c r="AF221" s="72"/>
      <c r="AG221" s="72"/>
      <c r="AH221" s="72"/>
      <c r="AI221" s="72"/>
    </row>
    <row r="222" spans="17:35" ht="13.8" x14ac:dyDescent="0.25">
      <c r="Q222" s="72"/>
      <c r="AA222" s="105"/>
      <c r="AB222" s="168"/>
      <c r="AC222" s="168"/>
      <c r="AD222" s="96"/>
      <c r="AE222" s="96"/>
      <c r="AF222" s="72"/>
      <c r="AG222" s="72"/>
      <c r="AH222" s="72"/>
      <c r="AI222" s="72"/>
    </row>
    <row r="223" spans="17:35" ht="13.8" x14ac:dyDescent="0.25">
      <c r="AB223" s="168"/>
      <c r="AC223" s="168"/>
      <c r="AD223" s="96"/>
      <c r="AE223" s="96"/>
    </row>
    <row r="224" spans="17:35" ht="13.8" x14ac:dyDescent="0.25">
      <c r="R224" s="154"/>
      <c r="S224" s="114"/>
      <c r="T224" s="114"/>
      <c r="U224" s="155"/>
      <c r="V224" s="155"/>
      <c r="W224" s="155"/>
      <c r="X224" s="155"/>
      <c r="Y224" s="72"/>
      <c r="Z224" s="72"/>
      <c r="AB224" s="168"/>
      <c r="AC224" s="168"/>
      <c r="AD224" s="96"/>
      <c r="AE224" s="96"/>
    </row>
    <row r="225" spans="18:32" ht="13.8" x14ac:dyDescent="0.25">
      <c r="R225" s="156"/>
      <c r="S225" s="156"/>
      <c r="T225" s="157"/>
      <c r="U225" s="150"/>
      <c r="V225" s="150"/>
      <c r="W225" s="150"/>
      <c r="X225" s="150"/>
      <c r="Y225" s="150"/>
      <c r="Z225" s="150"/>
      <c r="AA225" s="150"/>
      <c r="AB225" s="168"/>
      <c r="AC225" s="168"/>
      <c r="AD225" s="96"/>
      <c r="AE225" s="96"/>
    </row>
    <row r="226" spans="18:32" ht="13.8" x14ac:dyDescent="0.25">
      <c r="R226" s="152"/>
      <c r="S226" s="152"/>
      <c r="T226" s="101"/>
      <c r="U226" s="152"/>
      <c r="V226" s="152"/>
      <c r="W226" s="152"/>
      <c r="X226" s="152"/>
      <c r="Y226" s="152"/>
      <c r="Z226" s="152"/>
      <c r="AA226" s="152"/>
      <c r="AB226" s="168"/>
      <c r="AC226" s="168"/>
      <c r="AD226" s="96"/>
      <c r="AE226" s="96"/>
    </row>
    <row r="227" spans="18:32" ht="13.8" x14ac:dyDescent="0.25"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68"/>
      <c r="AC227" s="72"/>
      <c r="AD227" s="102"/>
      <c r="AE227" s="96"/>
    </row>
    <row r="228" spans="18:32" ht="13.8" x14ac:dyDescent="0.25">
      <c r="R228" s="72"/>
      <c r="S228" s="72"/>
      <c r="T228" s="105"/>
      <c r="U228" s="168"/>
      <c r="V228" s="96"/>
      <c r="W228" s="168"/>
      <c r="X228" s="97"/>
      <c r="Y228" s="97"/>
      <c r="Z228" s="72"/>
      <c r="AA228" s="95"/>
      <c r="AB228" s="168"/>
      <c r="AC228" s="72"/>
      <c r="AD228" s="102"/>
      <c r="AE228" s="96"/>
    </row>
    <row r="229" spans="18:32" ht="13.8" x14ac:dyDescent="0.25">
      <c r="R229" s="72"/>
      <c r="S229" s="72"/>
      <c r="T229" s="105"/>
      <c r="U229" s="102"/>
      <c r="V229" s="102"/>
      <c r="W229" s="102"/>
      <c r="X229" s="102"/>
      <c r="Y229" s="97"/>
      <c r="Z229" s="97"/>
      <c r="AA229" s="72"/>
      <c r="AB229" s="168"/>
      <c r="AC229" s="97"/>
      <c r="AD229" s="96"/>
      <c r="AE229" s="97"/>
      <c r="AF229" s="97"/>
    </row>
    <row r="230" spans="18:32" ht="13.8" x14ac:dyDescent="0.25">
      <c r="R230" s="72"/>
      <c r="S230" s="72"/>
      <c r="T230" s="72"/>
      <c r="U230" s="102"/>
      <c r="V230" s="102"/>
      <c r="W230" s="102"/>
      <c r="X230" s="102"/>
      <c r="Y230" s="97"/>
      <c r="Z230" s="97"/>
      <c r="AA230" s="72"/>
      <c r="AB230" s="72"/>
      <c r="AC230" s="96"/>
      <c r="AD230" s="96"/>
      <c r="AE230" s="96"/>
    </row>
    <row r="231" spans="18:32" ht="13.8" x14ac:dyDescent="0.25">
      <c r="R231" s="72"/>
      <c r="S231" s="72"/>
      <c r="T231" s="105"/>
      <c r="U231" s="168"/>
      <c r="V231" s="168"/>
      <c r="W231" s="168"/>
      <c r="X231" s="168"/>
      <c r="Y231" s="97"/>
      <c r="Z231" s="97"/>
      <c r="AA231" s="72"/>
      <c r="AB231" s="72"/>
      <c r="AC231" s="96"/>
      <c r="AD231" s="96"/>
      <c r="AE231" s="96"/>
    </row>
    <row r="232" spans="18:32" ht="13.8" x14ac:dyDescent="0.25">
      <c r="R232" s="72"/>
      <c r="S232" s="72"/>
      <c r="T232" s="105"/>
      <c r="U232" s="102"/>
      <c r="V232" s="102"/>
      <c r="W232" s="102"/>
      <c r="X232" s="102"/>
      <c r="Y232" s="97"/>
      <c r="Z232" s="97"/>
      <c r="AA232" s="72"/>
      <c r="AB232" s="96"/>
      <c r="AC232" s="96"/>
      <c r="AD232" s="96"/>
      <c r="AE232" s="96"/>
    </row>
    <row r="233" spans="18:32" ht="13.8" x14ac:dyDescent="0.25">
      <c r="R233" s="72"/>
      <c r="S233" s="72"/>
      <c r="T233" s="105"/>
      <c r="U233" s="102"/>
      <c r="V233" s="102"/>
      <c r="W233" s="102"/>
      <c r="X233" s="102"/>
      <c r="Y233" s="97"/>
      <c r="Z233" s="97"/>
      <c r="AA233" s="72"/>
      <c r="AB233" s="96"/>
      <c r="AC233" s="96"/>
      <c r="AD233" s="96"/>
      <c r="AE233" s="96"/>
    </row>
    <row r="234" spans="18:32" ht="13.8" x14ac:dyDescent="0.25">
      <c r="R234" s="72"/>
      <c r="S234" s="72"/>
      <c r="T234" s="105"/>
      <c r="U234" s="102"/>
      <c r="V234" s="102"/>
      <c r="W234" s="102"/>
      <c r="X234" s="102"/>
      <c r="Y234" s="97"/>
      <c r="Z234" s="97"/>
      <c r="AA234" s="72"/>
      <c r="AB234" s="96"/>
      <c r="AC234" s="96"/>
      <c r="AD234" s="96"/>
      <c r="AE234" s="96"/>
    </row>
    <row r="235" spans="18:32" ht="13.8" x14ac:dyDescent="0.25">
      <c r="R235" s="72"/>
      <c r="S235" s="72"/>
      <c r="T235" s="105"/>
      <c r="U235" s="102"/>
      <c r="V235" s="102"/>
      <c r="W235" s="102"/>
      <c r="X235" s="102"/>
      <c r="Y235" s="97"/>
      <c r="Z235" s="97"/>
      <c r="AA235" s="72"/>
      <c r="AB235" s="96"/>
      <c r="AC235" s="96"/>
      <c r="AD235" s="96"/>
      <c r="AE235" s="96"/>
    </row>
    <row r="236" spans="18:32" ht="13.8" x14ac:dyDescent="0.25">
      <c r="R236" s="72"/>
      <c r="S236" s="72"/>
      <c r="T236" s="72"/>
      <c r="U236" s="102"/>
      <c r="V236" s="102"/>
      <c r="W236" s="102"/>
      <c r="X236" s="102"/>
      <c r="Y236" s="97"/>
      <c r="Z236" s="97"/>
      <c r="AA236" s="72"/>
      <c r="AB236" s="96"/>
      <c r="AC236" s="96"/>
      <c r="AD236" s="96"/>
      <c r="AE236" s="96"/>
    </row>
    <row r="237" spans="18:32" ht="13.8" x14ac:dyDescent="0.25">
      <c r="R237" s="72"/>
      <c r="S237" s="72"/>
      <c r="T237" s="105"/>
      <c r="U237" s="168"/>
      <c r="V237" s="168"/>
      <c r="W237" s="168"/>
      <c r="X237" s="168"/>
      <c r="Y237" s="97"/>
      <c r="Z237" s="102"/>
      <c r="AA237" s="72"/>
      <c r="AB237" s="96"/>
      <c r="AC237" s="96"/>
      <c r="AD237" s="102"/>
      <c r="AE237" s="96"/>
    </row>
    <row r="238" spans="18:32" ht="13.8" x14ac:dyDescent="0.25">
      <c r="R238" s="72"/>
      <c r="S238" s="72"/>
      <c r="T238" s="105"/>
      <c r="U238" s="168"/>
      <c r="V238" s="96"/>
      <c r="W238" s="168"/>
      <c r="X238" s="97"/>
      <c r="Y238" s="97"/>
      <c r="Z238" s="72"/>
      <c r="AA238" s="95"/>
      <c r="AB238" s="96"/>
      <c r="AC238" s="96"/>
      <c r="AD238" s="102"/>
      <c r="AE238" s="96"/>
    </row>
    <row r="239" spans="18:32" ht="13.8" x14ac:dyDescent="0.25">
      <c r="R239" s="72"/>
      <c r="S239" s="72"/>
      <c r="T239" s="105"/>
      <c r="U239" s="102"/>
      <c r="V239" s="102"/>
      <c r="W239" s="102"/>
      <c r="X239" s="102"/>
      <c r="Y239" s="97"/>
      <c r="Z239" s="97"/>
      <c r="AA239" s="72"/>
      <c r="AB239" s="96"/>
      <c r="AC239" s="97"/>
      <c r="AD239" s="96"/>
      <c r="AE239" s="97"/>
      <c r="AF239" s="97"/>
    </row>
    <row r="240" spans="18:32" ht="13.8" x14ac:dyDescent="0.25">
      <c r="R240" s="72"/>
      <c r="S240" s="72"/>
      <c r="T240" s="72"/>
      <c r="U240" s="102"/>
      <c r="V240" s="102"/>
      <c r="W240" s="102"/>
      <c r="X240" s="102"/>
      <c r="Y240" s="97"/>
      <c r="Z240" s="97"/>
      <c r="AA240" s="72"/>
      <c r="AB240" s="102"/>
      <c r="AC240" s="96"/>
      <c r="AD240" s="96"/>
      <c r="AE240" s="96"/>
    </row>
    <row r="241" spans="17:31" ht="13.8" x14ac:dyDescent="0.25">
      <c r="R241" s="72"/>
      <c r="S241" s="72"/>
      <c r="T241" s="105"/>
      <c r="U241" s="168"/>
      <c r="V241" s="168"/>
      <c r="W241" s="168"/>
      <c r="X241" s="168"/>
      <c r="Y241" s="97"/>
      <c r="Z241" s="97"/>
      <c r="AA241" s="72"/>
      <c r="AB241" s="102"/>
      <c r="AC241" s="96"/>
      <c r="AD241" s="96"/>
      <c r="AE241" s="96"/>
    </row>
    <row r="242" spans="17:31" ht="13.8" x14ac:dyDescent="0.25">
      <c r="R242" s="72"/>
      <c r="S242" s="72"/>
      <c r="T242" s="105"/>
      <c r="U242" s="102"/>
      <c r="V242" s="102"/>
      <c r="W242" s="102"/>
      <c r="X242" s="102"/>
      <c r="Y242" s="97"/>
      <c r="Z242" s="97"/>
      <c r="AA242" s="72"/>
      <c r="AB242" s="96"/>
      <c r="AC242" s="96"/>
      <c r="AD242" s="96"/>
      <c r="AE242" s="96"/>
    </row>
    <row r="243" spans="17:31" ht="13.8" x14ac:dyDescent="0.25">
      <c r="R243" s="72"/>
      <c r="S243" s="72"/>
      <c r="T243" s="105"/>
      <c r="U243" s="102"/>
      <c r="V243" s="102"/>
      <c r="W243" s="102"/>
      <c r="X243" s="102"/>
      <c r="Y243" s="97"/>
      <c r="Z243" s="97"/>
      <c r="AA243" s="72"/>
      <c r="AB243" s="96"/>
      <c r="AC243" s="96"/>
      <c r="AD243" s="96"/>
      <c r="AE243" s="96"/>
    </row>
    <row r="244" spans="17:31" ht="13.8" x14ac:dyDescent="0.25">
      <c r="R244" s="72"/>
      <c r="S244" s="72"/>
      <c r="T244" s="105"/>
      <c r="U244" s="102"/>
      <c r="V244" s="102"/>
      <c r="W244" s="102"/>
      <c r="X244" s="102"/>
      <c r="Y244" s="97"/>
      <c r="Z244" s="97"/>
      <c r="AA244" s="72"/>
      <c r="AB244" s="96"/>
      <c r="AC244" s="96"/>
      <c r="AD244" s="96"/>
      <c r="AE244" s="96"/>
    </row>
    <row r="245" spans="17:31" ht="13.8" x14ac:dyDescent="0.25">
      <c r="R245" s="72"/>
      <c r="S245" s="72"/>
      <c r="T245" s="105"/>
      <c r="U245" s="102"/>
      <c r="V245" s="102"/>
      <c r="W245" s="102"/>
      <c r="X245" s="102"/>
      <c r="Y245" s="97"/>
      <c r="Z245" s="97"/>
      <c r="AA245" s="72"/>
      <c r="AB245" s="96"/>
      <c r="AC245" s="96"/>
      <c r="AD245" s="96"/>
      <c r="AE245" s="96"/>
    </row>
    <row r="246" spans="17:31" ht="13.8" x14ac:dyDescent="0.25">
      <c r="R246" s="72"/>
      <c r="S246" s="72"/>
      <c r="T246" s="72"/>
      <c r="U246" s="102"/>
      <c r="V246" s="102"/>
      <c r="W246" s="102"/>
      <c r="X246" s="102"/>
      <c r="Y246" s="97"/>
      <c r="Z246" s="97"/>
      <c r="AA246" s="72"/>
      <c r="AB246" s="96"/>
      <c r="AC246" s="96"/>
      <c r="AD246" s="96"/>
      <c r="AE246" s="96"/>
    </row>
    <row r="247" spans="17:31" ht="13.8" x14ac:dyDescent="0.25">
      <c r="R247" s="72"/>
      <c r="S247" s="72"/>
      <c r="T247" s="105"/>
      <c r="U247" s="168"/>
      <c r="V247" s="168"/>
      <c r="W247" s="168"/>
      <c r="X247" s="168"/>
      <c r="Y247" s="97"/>
      <c r="Z247" s="102"/>
      <c r="AA247" s="72"/>
      <c r="AB247" s="96"/>
      <c r="AC247" s="96"/>
      <c r="AD247" s="102"/>
      <c r="AE247" s="96"/>
    </row>
    <row r="248" spans="17:31" ht="13.8" x14ac:dyDescent="0.25">
      <c r="R248" s="72"/>
      <c r="S248" s="72"/>
      <c r="T248" s="105"/>
      <c r="U248" s="168"/>
      <c r="V248" s="96"/>
      <c r="W248" s="168"/>
      <c r="X248" s="97"/>
      <c r="Y248" s="97"/>
      <c r="Z248" s="72"/>
      <c r="AA248" s="95"/>
      <c r="AB248" s="96"/>
      <c r="AC248" s="96"/>
      <c r="AD248" s="102"/>
      <c r="AE248" s="96"/>
    </row>
    <row r="249" spans="17:31" ht="13.8" x14ac:dyDescent="0.25">
      <c r="R249" s="72"/>
      <c r="S249" s="72"/>
      <c r="T249" s="105"/>
      <c r="U249" s="102"/>
      <c r="V249" s="102"/>
      <c r="W249" s="102"/>
      <c r="X249" s="102"/>
      <c r="Y249" s="97"/>
      <c r="Z249" s="97"/>
      <c r="AA249" s="72"/>
      <c r="AB249" s="96"/>
    </row>
    <row r="250" spans="17:31" ht="13.8" x14ac:dyDescent="0.25">
      <c r="R250" s="72"/>
      <c r="S250" s="72"/>
      <c r="T250" s="72"/>
      <c r="U250" s="102"/>
      <c r="V250" s="102"/>
      <c r="W250" s="102"/>
      <c r="X250" s="102"/>
      <c r="Y250" s="97"/>
      <c r="Z250" s="97"/>
      <c r="AA250" s="72"/>
      <c r="AB250" s="102"/>
    </row>
    <row r="251" spans="17:31" ht="13.8" x14ac:dyDescent="0.25">
      <c r="R251" s="72"/>
      <c r="S251" s="72"/>
      <c r="T251" s="105"/>
      <c r="U251" s="168"/>
      <c r="V251" s="168"/>
      <c r="W251" s="168"/>
      <c r="X251" s="168"/>
      <c r="Y251" s="97"/>
      <c r="Z251" s="97"/>
      <c r="AA251" s="72"/>
      <c r="AB251" s="102"/>
    </row>
    <row r="252" spans="17:31" ht="17.399999999999999" x14ac:dyDescent="0.3">
      <c r="Q252" s="170"/>
      <c r="R252" s="72"/>
      <c r="S252" s="72"/>
      <c r="T252" s="105"/>
      <c r="U252" s="102"/>
      <c r="V252" s="102"/>
      <c r="W252" s="102"/>
      <c r="X252" s="102"/>
      <c r="Y252" s="97"/>
      <c r="Z252" s="97"/>
      <c r="AA252" s="72"/>
      <c r="AC252" s="72"/>
    </row>
    <row r="253" spans="17:31" ht="13.8" x14ac:dyDescent="0.25">
      <c r="Q253" s="72"/>
      <c r="R253" s="72"/>
      <c r="S253" s="72"/>
      <c r="T253" s="105"/>
      <c r="U253" s="102"/>
      <c r="V253" s="102"/>
      <c r="W253" s="102"/>
      <c r="X253" s="102"/>
      <c r="Y253" s="97"/>
      <c r="Z253" s="97"/>
      <c r="AA253" s="72"/>
      <c r="AC253" s="72"/>
    </row>
    <row r="254" spans="17:31" ht="13.8" x14ac:dyDescent="0.25">
      <c r="Q254" s="72"/>
      <c r="R254" s="72"/>
      <c r="S254" s="72"/>
      <c r="T254" s="105"/>
      <c r="U254" s="102"/>
      <c r="V254" s="102"/>
      <c r="W254" s="102"/>
      <c r="X254" s="102"/>
      <c r="Y254" s="97"/>
      <c r="Z254" s="97"/>
      <c r="AA254" s="72"/>
      <c r="AC254" s="72"/>
    </row>
    <row r="255" spans="17:31" ht="13.8" x14ac:dyDescent="0.25">
      <c r="Q255" s="72"/>
      <c r="R255" s="72"/>
      <c r="S255" s="72"/>
      <c r="T255" s="105"/>
      <c r="U255" s="102"/>
      <c r="V255" s="102"/>
      <c r="W255" s="102"/>
      <c r="X255" s="102"/>
      <c r="Y255" s="97"/>
      <c r="Z255" s="97"/>
      <c r="AA255" s="72"/>
      <c r="AB255" s="72"/>
      <c r="AC255" s="72"/>
    </row>
    <row r="256" spans="17:31" ht="13.8" x14ac:dyDescent="0.25">
      <c r="Q256" s="72"/>
      <c r="R256" s="72"/>
      <c r="S256" s="72"/>
      <c r="T256" s="72"/>
      <c r="U256" s="102"/>
      <c r="V256" s="102"/>
      <c r="W256" s="102"/>
      <c r="X256" s="102"/>
      <c r="Y256" s="97"/>
      <c r="Z256" s="97"/>
      <c r="AA256" s="72"/>
      <c r="AB256" s="72"/>
    </row>
    <row r="257" spans="17:29" ht="13.8" x14ac:dyDescent="0.25">
      <c r="Q257" s="72"/>
      <c r="R257" s="72"/>
      <c r="S257" s="72"/>
      <c r="T257" s="105"/>
      <c r="U257" s="168"/>
      <c r="V257" s="168"/>
      <c r="W257" s="168"/>
      <c r="X257" s="168"/>
      <c r="Y257" s="97"/>
      <c r="Z257" s="102"/>
      <c r="AA257" s="72"/>
      <c r="AB257" s="72"/>
      <c r="AC257" s="150"/>
    </row>
    <row r="258" spans="17:29" ht="13.8" x14ac:dyDescent="0.25">
      <c r="AB258" s="72"/>
      <c r="AC258" s="152"/>
    </row>
    <row r="259" spans="17:29" ht="13.8" x14ac:dyDescent="0.25">
      <c r="AC259" s="152"/>
    </row>
    <row r="260" spans="17:29" ht="13.8" x14ac:dyDescent="0.25">
      <c r="AB260" s="150"/>
      <c r="AC260" s="153"/>
    </row>
    <row r="261" spans="17:29" ht="17.399999999999999" x14ac:dyDescent="0.3">
      <c r="R261" s="170"/>
      <c r="S261" s="72"/>
      <c r="T261" s="103"/>
      <c r="U261" s="104"/>
      <c r="V261" s="104"/>
      <c r="W261" s="72"/>
      <c r="X261" s="72"/>
      <c r="Y261" s="72"/>
      <c r="Z261" s="72"/>
      <c r="AA261" s="72"/>
      <c r="AB261" s="152"/>
      <c r="AC261" s="153"/>
    </row>
    <row r="262" spans="17:29" ht="13.8" x14ac:dyDescent="0.25">
      <c r="R262" s="72"/>
      <c r="S262" s="72"/>
      <c r="T262" s="103"/>
      <c r="U262" s="104"/>
      <c r="V262" s="104"/>
      <c r="W262" s="72"/>
      <c r="X262" s="72"/>
      <c r="Y262" s="72"/>
      <c r="Z262" s="72"/>
      <c r="AA262" s="72"/>
      <c r="AB262" s="152"/>
      <c r="AC262" s="153"/>
    </row>
    <row r="263" spans="17:29" ht="13.8" x14ac:dyDescent="0.25">
      <c r="R263" s="103"/>
      <c r="S263" s="103"/>
      <c r="T263" s="103"/>
      <c r="U263" s="104"/>
      <c r="V263" s="104"/>
      <c r="W263" s="72"/>
      <c r="X263" s="72"/>
      <c r="Y263" s="155"/>
      <c r="Z263" s="155"/>
      <c r="AA263" s="105"/>
      <c r="AB263" s="153"/>
      <c r="AC263" s="153"/>
    </row>
    <row r="264" spans="17:29" ht="13.8" x14ac:dyDescent="0.25"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153"/>
      <c r="AC264" s="153"/>
    </row>
    <row r="265" spans="17:29" ht="13.8" x14ac:dyDescent="0.25">
      <c r="R265" s="154"/>
      <c r="S265" s="114"/>
      <c r="T265" s="114"/>
      <c r="U265" s="155"/>
      <c r="V265" s="155"/>
      <c r="W265" s="155"/>
      <c r="X265" s="72"/>
      <c r="Y265" s="72"/>
      <c r="Z265" s="72"/>
      <c r="AA265" s="72"/>
      <c r="AB265" s="153"/>
      <c r="AC265" s="153"/>
    </row>
    <row r="266" spans="17:29" ht="13.8" x14ac:dyDescent="0.25">
      <c r="R266" s="156"/>
      <c r="S266" s="156"/>
      <c r="T266" s="157"/>
      <c r="U266" s="150"/>
      <c r="V266" s="158"/>
      <c r="W266" s="150"/>
      <c r="X266" s="150"/>
      <c r="Y266" s="150"/>
      <c r="Z266" s="150"/>
      <c r="AA266" s="150"/>
      <c r="AB266" s="153"/>
      <c r="AC266" s="153"/>
    </row>
    <row r="267" spans="17:29" ht="13.8" x14ac:dyDescent="0.25">
      <c r="R267" s="152"/>
      <c r="S267" s="152"/>
      <c r="T267" s="101"/>
      <c r="U267" s="152"/>
      <c r="V267" s="152"/>
      <c r="W267" s="152"/>
      <c r="X267" s="152"/>
      <c r="Y267" s="152"/>
      <c r="Z267" s="152"/>
      <c r="AA267" s="152"/>
      <c r="AB267" s="153"/>
      <c r="AC267" s="172"/>
    </row>
    <row r="268" spans="17:29" ht="15" x14ac:dyDescent="0.25">
      <c r="R268" s="152"/>
      <c r="S268" s="152"/>
      <c r="T268" s="152"/>
      <c r="U268" s="152"/>
      <c r="V268" s="159"/>
      <c r="W268" s="152"/>
      <c r="X268" s="152"/>
      <c r="Y268" s="152"/>
      <c r="Z268" s="152"/>
      <c r="AA268" s="152"/>
      <c r="AB268" s="153"/>
      <c r="AC268" s="153"/>
    </row>
    <row r="269" spans="17:29" ht="13.8" x14ac:dyDescent="0.25">
      <c r="R269" s="72"/>
      <c r="S269" s="72"/>
      <c r="U269" s="96"/>
      <c r="V269" s="104"/>
      <c r="AB269" s="153"/>
      <c r="AC269" s="153"/>
    </row>
    <row r="270" spans="17:29" ht="13.8" x14ac:dyDescent="0.25">
      <c r="R270" s="72"/>
      <c r="S270" s="72"/>
      <c r="U270" s="96"/>
      <c r="AA270" s="72"/>
      <c r="AB270" s="153"/>
      <c r="AC270" s="153"/>
    </row>
    <row r="271" spans="17:29" ht="13.8" x14ac:dyDescent="0.25">
      <c r="R271" s="72"/>
      <c r="S271" s="72"/>
      <c r="U271" s="96"/>
      <c r="AB271" s="153"/>
      <c r="AC271" s="153"/>
    </row>
    <row r="272" spans="17:29" ht="13.8" x14ac:dyDescent="0.25">
      <c r="R272" s="72"/>
      <c r="S272" s="72"/>
      <c r="U272" s="96"/>
      <c r="AB272" s="153"/>
      <c r="AC272" s="153"/>
    </row>
    <row r="273" spans="17:64" ht="13.8" x14ac:dyDescent="0.25">
      <c r="R273" s="72"/>
      <c r="S273" s="72"/>
      <c r="U273" s="96"/>
      <c r="AB273" s="153"/>
      <c r="AC273" s="172"/>
    </row>
    <row r="274" spans="17:64" ht="13.8" x14ac:dyDescent="0.25">
      <c r="R274" s="72"/>
      <c r="S274" s="72"/>
      <c r="AB274" s="153"/>
      <c r="AC274" s="153"/>
    </row>
    <row r="275" spans="17:64" ht="13.8" x14ac:dyDescent="0.25">
      <c r="R275" s="72"/>
      <c r="S275" s="72"/>
      <c r="U275" s="96"/>
      <c r="V275" s="104"/>
      <c r="AB275" s="153"/>
      <c r="AC275" s="153"/>
    </row>
    <row r="276" spans="17:64" ht="13.8" x14ac:dyDescent="0.25">
      <c r="R276" s="72"/>
      <c r="S276" s="72"/>
      <c r="U276" s="96"/>
      <c r="AA276" s="72"/>
      <c r="AB276" s="153"/>
      <c r="AC276" s="153"/>
    </row>
    <row r="277" spans="17:64" ht="13.8" x14ac:dyDescent="0.25">
      <c r="R277" s="72"/>
      <c r="S277" s="72"/>
      <c r="U277" s="96"/>
      <c r="AB277" s="153"/>
      <c r="AC277" s="153"/>
    </row>
    <row r="278" spans="17:64" ht="13.8" x14ac:dyDescent="0.25">
      <c r="R278" s="72"/>
      <c r="S278" s="72"/>
      <c r="U278" s="96"/>
      <c r="AB278" s="153"/>
    </row>
    <row r="279" spans="17:64" ht="13.8" x14ac:dyDescent="0.25">
      <c r="R279" s="72"/>
      <c r="S279" s="72"/>
      <c r="U279" s="96"/>
      <c r="AB279" s="153"/>
    </row>
    <row r="280" spans="17:64" ht="13.8" x14ac:dyDescent="0.25">
      <c r="R280" s="72"/>
      <c r="S280" s="72"/>
      <c r="AB280" s="153"/>
    </row>
    <row r="281" spans="17:64" ht="13.8" x14ac:dyDescent="0.25">
      <c r="R281" s="72"/>
      <c r="S281" s="72"/>
      <c r="U281" s="96"/>
      <c r="V281" s="104"/>
    </row>
    <row r="282" spans="17:64" ht="13.8" x14ac:dyDescent="0.25">
      <c r="R282" s="72"/>
      <c r="S282" s="72"/>
      <c r="U282" s="96"/>
      <c r="AA282" s="72"/>
    </row>
    <row r="283" spans="17:64" ht="13.8" x14ac:dyDescent="0.25">
      <c r="R283" s="72"/>
      <c r="S283" s="72"/>
      <c r="U283" s="96"/>
    </row>
    <row r="284" spans="17:64" ht="17.399999999999999" x14ac:dyDescent="0.3">
      <c r="Q284" s="170"/>
      <c r="R284" s="72"/>
      <c r="S284" s="72"/>
      <c r="U284" s="96"/>
      <c r="AC284" s="105"/>
    </row>
    <row r="285" spans="17:64" ht="13.8" x14ac:dyDescent="0.25">
      <c r="Q285" s="72"/>
      <c r="R285" s="72"/>
      <c r="S285" s="72"/>
      <c r="U285" s="96"/>
      <c r="AC285" s="72"/>
    </row>
    <row r="286" spans="17:64" ht="13.8" x14ac:dyDescent="0.25">
      <c r="Q286" s="72"/>
      <c r="R286" s="72"/>
      <c r="S286" s="72"/>
    </row>
    <row r="287" spans="17:64" ht="13.8" x14ac:dyDescent="0.25">
      <c r="AB287" s="105"/>
    </row>
    <row r="288" spans="17:64" ht="13.8" x14ac:dyDescent="0.25">
      <c r="AB288" s="72"/>
      <c r="AD288" s="72"/>
      <c r="AE288" s="72"/>
      <c r="AF288" s="72"/>
      <c r="AG288" s="72"/>
      <c r="AH288" s="72"/>
      <c r="AI288" s="154"/>
      <c r="AJ288" s="114"/>
      <c r="AK288" s="114"/>
      <c r="AL288" s="155"/>
      <c r="AM288" s="155"/>
      <c r="AN288" s="155"/>
      <c r="AO288" s="155"/>
      <c r="AP288" s="72"/>
      <c r="AQ288" s="72"/>
      <c r="AR288" s="72"/>
      <c r="AU288" s="72"/>
      <c r="AW288" s="72"/>
      <c r="AX288" s="72"/>
      <c r="AY288" s="72"/>
      <c r="AZ288" s="154"/>
      <c r="BA288" s="114"/>
      <c r="BB288" s="114"/>
      <c r="BC288" s="155"/>
      <c r="BD288" s="155"/>
      <c r="BE288" s="155"/>
      <c r="BF288" s="155"/>
      <c r="BG288" s="72"/>
      <c r="BH288" s="72"/>
      <c r="BI288" s="72"/>
      <c r="BL288" s="72"/>
    </row>
    <row r="289" spans="17:64" ht="13.8" x14ac:dyDescent="0.25">
      <c r="AC289" s="150"/>
      <c r="AD289" s="150"/>
      <c r="AF289" s="156"/>
      <c r="AG289" s="156"/>
      <c r="AH289" s="156"/>
      <c r="AI289" s="156"/>
      <c r="AJ289" s="156"/>
      <c r="AK289" s="157"/>
      <c r="AL289" s="150"/>
      <c r="AM289" s="150"/>
      <c r="AN289" s="150"/>
      <c r="AO289" s="150"/>
      <c r="AP289" s="150"/>
      <c r="AQ289" s="150"/>
      <c r="AR289" s="150"/>
      <c r="AS289" s="150"/>
      <c r="AT289" s="150"/>
      <c r="AU289" s="150"/>
      <c r="AW289" s="156"/>
      <c r="AX289" s="156"/>
      <c r="AY289" s="156"/>
      <c r="AZ289" s="156"/>
      <c r="BA289" s="156"/>
      <c r="BB289" s="157"/>
      <c r="BC289" s="150"/>
      <c r="BD289" s="150"/>
      <c r="BE289" s="150"/>
      <c r="BF289" s="150"/>
      <c r="BG289" s="150"/>
      <c r="BH289" s="150"/>
      <c r="BI289" s="150"/>
      <c r="BJ289" s="150"/>
      <c r="BK289" s="150"/>
      <c r="BL289" s="150"/>
    </row>
    <row r="290" spans="17:64" ht="13.8" x14ac:dyDescent="0.25">
      <c r="AC290" s="152"/>
      <c r="AD290" s="152"/>
      <c r="AF290" s="152"/>
      <c r="AG290" s="152"/>
      <c r="AH290" s="152"/>
      <c r="AI290" s="152"/>
      <c r="AJ290" s="152"/>
      <c r="AK290" s="101"/>
      <c r="AL290" s="152"/>
      <c r="AM290" s="152"/>
      <c r="AN290" s="152"/>
      <c r="AO290" s="152"/>
      <c r="AP290" s="152"/>
      <c r="AQ290" s="152"/>
      <c r="AR290" s="152"/>
      <c r="AS290" s="152"/>
      <c r="AT290" s="152"/>
      <c r="AU290" s="152"/>
      <c r="AW290" s="152"/>
      <c r="AX290" s="152"/>
      <c r="AY290" s="152"/>
      <c r="AZ290" s="152"/>
      <c r="BA290" s="152"/>
      <c r="BB290" s="101"/>
      <c r="BC290" s="152"/>
      <c r="BD290" s="152"/>
      <c r="BE290" s="152"/>
      <c r="BF290" s="152"/>
      <c r="BG290" s="152"/>
      <c r="BH290" s="152"/>
      <c r="BI290" s="152"/>
      <c r="BJ290" s="152"/>
      <c r="BK290" s="152"/>
      <c r="BL290" s="152"/>
    </row>
    <row r="291" spans="17:64" ht="15" x14ac:dyDescent="0.25">
      <c r="AC291" s="159"/>
      <c r="AD291" s="159"/>
      <c r="AF291" s="169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  <c r="AS291" s="159"/>
      <c r="AT291" s="159"/>
      <c r="AU291" s="159"/>
      <c r="AW291" s="169"/>
      <c r="AX291" s="152"/>
      <c r="AY291" s="152"/>
      <c r="AZ291" s="152"/>
      <c r="BA291" s="152"/>
      <c r="BB291" s="152"/>
      <c r="BC291" s="152"/>
      <c r="BD291" s="152"/>
      <c r="BE291" s="152"/>
      <c r="BF291" s="152"/>
      <c r="BG291" s="152"/>
      <c r="BH291" s="152"/>
      <c r="BI291" s="152"/>
      <c r="BJ291" s="159"/>
      <c r="BK291" s="159"/>
      <c r="BL291" s="159"/>
    </row>
    <row r="292" spans="17:64" ht="13.8" x14ac:dyDescent="0.25">
      <c r="AB292" s="150"/>
      <c r="AC292" s="168"/>
      <c r="AD292" s="96"/>
      <c r="AF292" s="72"/>
      <c r="AG292" s="72"/>
      <c r="AH292" s="72"/>
      <c r="AI292" s="72"/>
      <c r="AJ292" s="105"/>
      <c r="AK292" s="105"/>
      <c r="AL292" s="97"/>
      <c r="AM292" s="102"/>
      <c r="AN292" s="102"/>
      <c r="AO292" s="102"/>
      <c r="AP292" s="102"/>
      <c r="AQ292" s="102"/>
      <c r="AR292" s="102"/>
      <c r="AS292" s="168"/>
      <c r="AT292" s="168"/>
      <c r="AU292" s="96"/>
      <c r="AW292" s="72"/>
      <c r="AX292" s="72"/>
      <c r="AY292" s="72"/>
      <c r="AZ292" s="72"/>
      <c r="BA292" s="105"/>
      <c r="BB292" s="105"/>
      <c r="BC292" s="97"/>
      <c r="BD292" s="102"/>
      <c r="BE292" s="102"/>
      <c r="BF292" s="102"/>
      <c r="BG292" s="102"/>
      <c r="BH292" s="102"/>
      <c r="BI292" s="102"/>
      <c r="BJ292" s="168"/>
      <c r="BK292" s="168"/>
      <c r="BL292" s="96"/>
    </row>
    <row r="293" spans="17:64" ht="17.399999999999999" x14ac:dyDescent="0.3">
      <c r="Q293" s="72"/>
      <c r="R293" s="170"/>
      <c r="S293" s="72"/>
      <c r="AB293" s="152"/>
      <c r="AC293" s="168"/>
      <c r="AD293" s="96"/>
      <c r="AF293" s="72"/>
      <c r="AG293" s="72"/>
      <c r="AH293" s="72"/>
      <c r="AI293" s="72"/>
      <c r="AJ293" s="72"/>
      <c r="AK293" s="102"/>
      <c r="AL293" s="102"/>
      <c r="AM293" s="102"/>
      <c r="AN293" s="102"/>
      <c r="AO293" s="72"/>
      <c r="AP293" s="168"/>
      <c r="AQ293" s="102"/>
      <c r="AR293" s="102"/>
      <c r="AS293" s="168"/>
      <c r="AT293" s="168"/>
      <c r="AU293" s="96"/>
      <c r="AW293" s="72"/>
      <c r="AX293" s="72"/>
      <c r="AY293" s="72"/>
      <c r="AZ293" s="72"/>
      <c r="BA293" s="72"/>
      <c r="BB293" s="102"/>
      <c r="BC293" s="102"/>
      <c r="BD293" s="102"/>
      <c r="BE293" s="102"/>
      <c r="BF293" s="72"/>
      <c r="BG293" s="168"/>
      <c r="BH293" s="102"/>
      <c r="BI293" s="102"/>
      <c r="BJ293" s="168"/>
      <c r="BK293" s="168"/>
      <c r="BL293" s="96"/>
    </row>
    <row r="294" spans="17:64" ht="15" x14ac:dyDescent="0.25">
      <c r="Q294" s="72"/>
      <c r="R294" s="102"/>
      <c r="S294" s="72"/>
      <c r="AA294" s="105"/>
      <c r="AB294" s="159"/>
      <c r="AC294" s="168"/>
      <c r="AD294" s="96"/>
      <c r="AF294" s="72"/>
      <c r="AG294" s="72"/>
      <c r="AH294" s="72"/>
      <c r="AI294" s="72"/>
      <c r="AJ294" s="72"/>
      <c r="AK294" s="102"/>
      <c r="AL294" s="102"/>
      <c r="AM294" s="102"/>
      <c r="AN294" s="102"/>
      <c r="AO294" s="72"/>
      <c r="AP294" s="168"/>
      <c r="AQ294" s="102"/>
      <c r="AR294" s="102"/>
      <c r="AS294" s="168"/>
      <c r="AT294" s="168"/>
      <c r="AU294" s="96"/>
      <c r="AW294" s="72"/>
      <c r="AX294" s="72"/>
      <c r="AY294" s="72"/>
      <c r="AZ294" s="72"/>
      <c r="BA294" s="72"/>
      <c r="BB294" s="102"/>
      <c r="BC294" s="102"/>
      <c r="BD294" s="102"/>
      <c r="BE294" s="102"/>
      <c r="BF294" s="72"/>
      <c r="BG294" s="168"/>
      <c r="BH294" s="102"/>
      <c r="BI294" s="102"/>
      <c r="BJ294" s="168"/>
      <c r="BK294" s="168"/>
      <c r="BL294" s="96"/>
    </row>
    <row r="295" spans="17:64" ht="13.8" x14ac:dyDescent="0.25">
      <c r="Q295" s="72"/>
      <c r="R295" s="102"/>
      <c r="S295" s="72"/>
      <c r="AB295" s="168"/>
      <c r="AC295" s="168"/>
      <c r="AD295" s="96"/>
      <c r="AF295" s="72"/>
      <c r="AG295" s="72"/>
      <c r="AH295" s="72"/>
      <c r="AI295" s="72"/>
      <c r="AJ295" s="72"/>
      <c r="AK295" s="102"/>
      <c r="AL295" s="102"/>
      <c r="AM295" s="102"/>
      <c r="AN295" s="102"/>
      <c r="AO295" s="72"/>
      <c r="AP295" s="168"/>
      <c r="AQ295" s="102"/>
      <c r="AR295" s="102"/>
      <c r="AS295" s="168"/>
      <c r="AT295" s="168"/>
      <c r="AU295" s="96"/>
      <c r="AW295" s="72"/>
      <c r="AX295" s="72"/>
      <c r="AY295" s="72"/>
      <c r="AZ295" s="72"/>
      <c r="BA295" s="72"/>
      <c r="BB295" s="102"/>
      <c r="BC295" s="102"/>
      <c r="BD295" s="102"/>
      <c r="BE295" s="102"/>
      <c r="BF295" s="72"/>
      <c r="BG295" s="168"/>
      <c r="BH295" s="102"/>
      <c r="BI295" s="102"/>
      <c r="BJ295" s="168"/>
      <c r="BK295" s="168"/>
      <c r="BL295" s="96"/>
    </row>
    <row r="296" spans="17:64" ht="13.8" x14ac:dyDescent="0.25">
      <c r="Q296" s="72"/>
      <c r="AB296" s="168"/>
      <c r="AC296" s="168"/>
      <c r="AD296" s="96"/>
      <c r="AF296" s="72"/>
      <c r="AG296" s="72"/>
      <c r="AH296" s="72"/>
      <c r="AI296" s="72"/>
      <c r="AJ296" s="72"/>
      <c r="AK296" s="102"/>
      <c r="AL296" s="102"/>
      <c r="AM296" s="102"/>
      <c r="AN296" s="102"/>
      <c r="AO296" s="72"/>
      <c r="AP296" s="168"/>
      <c r="AQ296" s="102"/>
      <c r="AR296" s="102"/>
      <c r="AS296" s="168"/>
      <c r="AT296" s="168"/>
      <c r="AU296" s="96"/>
      <c r="AW296" s="72"/>
      <c r="AX296" s="72"/>
      <c r="AY296" s="72"/>
      <c r="AZ296" s="72"/>
      <c r="BA296" s="72"/>
      <c r="BB296" s="102"/>
      <c r="BC296" s="102"/>
      <c r="BD296" s="102"/>
      <c r="BE296" s="102"/>
      <c r="BF296" s="72"/>
      <c r="BG296" s="168"/>
      <c r="BH296" s="102"/>
      <c r="BI296" s="102"/>
      <c r="BJ296" s="168"/>
      <c r="BK296" s="168"/>
      <c r="BL296" s="96"/>
    </row>
    <row r="297" spans="17:64" ht="13.8" x14ac:dyDescent="0.25">
      <c r="Q297" s="72"/>
      <c r="R297" s="154"/>
      <c r="S297" s="114"/>
      <c r="T297" s="114"/>
      <c r="U297" s="155"/>
      <c r="V297" s="155"/>
      <c r="W297" s="155"/>
      <c r="X297" s="155"/>
      <c r="Y297" s="72"/>
      <c r="Z297" s="72"/>
      <c r="AA297" s="72"/>
      <c r="AB297" s="168"/>
      <c r="AC297" s="168"/>
      <c r="AD297" s="96"/>
      <c r="AF297" s="72"/>
      <c r="AG297" s="72"/>
      <c r="AH297" s="72"/>
      <c r="AI297" s="72"/>
      <c r="AJ297" s="72"/>
      <c r="AK297" s="102"/>
      <c r="AL297" s="102"/>
      <c r="AM297" s="102"/>
      <c r="AN297" s="102"/>
      <c r="AO297" s="72"/>
      <c r="AP297" s="168"/>
      <c r="AQ297" s="102"/>
      <c r="AR297" s="102"/>
      <c r="AS297" s="168"/>
      <c r="AT297" s="168"/>
      <c r="AU297" s="96"/>
      <c r="AW297" s="72"/>
      <c r="AX297" s="72"/>
      <c r="AY297" s="72"/>
      <c r="AZ297" s="72"/>
      <c r="BA297" s="72"/>
      <c r="BB297" s="102"/>
      <c r="BC297" s="102"/>
      <c r="BD297" s="102"/>
      <c r="BE297" s="102"/>
      <c r="BF297" s="72"/>
      <c r="BG297" s="168"/>
      <c r="BH297" s="102"/>
      <c r="BI297" s="102"/>
      <c r="BJ297" s="168"/>
      <c r="BK297" s="168"/>
      <c r="BL297" s="96"/>
    </row>
    <row r="298" spans="17:64" ht="13.8" x14ac:dyDescent="0.25">
      <c r="Q298" s="72"/>
      <c r="R298" s="156"/>
      <c r="S298" s="156"/>
      <c r="T298" s="157"/>
      <c r="U298" s="150"/>
      <c r="V298" s="150"/>
      <c r="W298" s="150"/>
      <c r="X298" s="150"/>
      <c r="Y298" s="150"/>
      <c r="Z298" s="150"/>
      <c r="AA298" s="150"/>
      <c r="AB298" s="168"/>
      <c r="AC298" s="168"/>
      <c r="AD298" s="96"/>
      <c r="AF298" s="72"/>
      <c r="AG298" s="72"/>
      <c r="AH298" s="72"/>
      <c r="AI298" s="72"/>
      <c r="AJ298" s="72"/>
      <c r="AK298" s="102"/>
      <c r="AL298" s="102"/>
      <c r="AM298" s="102"/>
      <c r="AN298" s="102"/>
      <c r="AO298" s="72"/>
      <c r="AP298" s="168"/>
      <c r="AQ298" s="102"/>
      <c r="AR298" s="102"/>
      <c r="AS298" s="168"/>
      <c r="AT298" s="168"/>
      <c r="AU298" s="96"/>
      <c r="AW298" s="72"/>
      <c r="AX298" s="72"/>
      <c r="AY298" s="72"/>
      <c r="AZ298" s="72"/>
      <c r="BA298" s="72"/>
      <c r="BB298" s="102"/>
      <c r="BC298" s="102"/>
      <c r="BD298" s="102"/>
      <c r="BE298" s="102"/>
      <c r="BF298" s="72"/>
      <c r="BG298" s="168"/>
      <c r="BH298" s="102"/>
      <c r="BI298" s="102"/>
      <c r="BJ298" s="168"/>
      <c r="BK298" s="168"/>
      <c r="BL298" s="96"/>
    </row>
    <row r="299" spans="17:64" ht="13.8" x14ac:dyDescent="0.25">
      <c r="Q299" s="72"/>
      <c r="R299" s="152"/>
      <c r="S299" s="152"/>
      <c r="T299" s="101"/>
      <c r="U299" s="152"/>
      <c r="V299" s="152"/>
      <c r="W299" s="152"/>
      <c r="X299" s="152"/>
      <c r="Y299" s="152"/>
      <c r="Z299" s="152"/>
      <c r="AA299" s="152"/>
      <c r="AB299" s="168"/>
      <c r="AC299" s="168"/>
      <c r="AD299" s="96"/>
      <c r="AF299" s="72"/>
      <c r="AG299" s="72"/>
      <c r="AH299" s="72"/>
      <c r="AI299" s="72"/>
      <c r="AJ299" s="72"/>
      <c r="AK299" s="102"/>
      <c r="AL299" s="102"/>
      <c r="AM299" s="102"/>
      <c r="AN299" s="102"/>
      <c r="AO299" s="72"/>
      <c r="AP299" s="168"/>
      <c r="AQ299" s="102"/>
      <c r="AR299" s="102"/>
      <c r="AS299" s="168"/>
      <c r="AT299" s="168"/>
      <c r="AU299" s="96"/>
      <c r="AW299" s="72"/>
      <c r="AX299" s="72"/>
      <c r="AY299" s="72"/>
      <c r="AZ299" s="72"/>
      <c r="BA299" s="72"/>
      <c r="BB299" s="102"/>
      <c r="BC299" s="102"/>
      <c r="BD299" s="102"/>
      <c r="BE299" s="102"/>
      <c r="BF299" s="72"/>
      <c r="BG299" s="168"/>
      <c r="BH299" s="102"/>
      <c r="BI299" s="102"/>
      <c r="BJ299" s="168"/>
      <c r="BK299" s="168"/>
      <c r="BL299" s="96"/>
    </row>
    <row r="300" spans="17:64" ht="13.8" x14ac:dyDescent="0.25">
      <c r="Q300" s="7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68"/>
      <c r="AC300" s="168"/>
      <c r="AD300" s="96"/>
      <c r="AF300" s="72"/>
      <c r="AG300" s="72"/>
      <c r="AH300" s="72"/>
      <c r="AI300" s="72"/>
      <c r="AJ300" s="72"/>
      <c r="AK300" s="102"/>
      <c r="AL300" s="102"/>
      <c r="AM300" s="102"/>
      <c r="AN300" s="102"/>
      <c r="AO300" s="72"/>
      <c r="AP300" s="168"/>
      <c r="AQ300" s="102"/>
      <c r="AR300" s="102"/>
      <c r="AS300" s="168"/>
      <c r="AT300" s="168"/>
      <c r="AU300" s="96"/>
      <c r="AW300" s="72"/>
      <c r="AX300" s="72"/>
      <c r="AY300" s="72"/>
      <c r="AZ300" s="72"/>
      <c r="BA300" s="72"/>
      <c r="BB300" s="102"/>
      <c r="BC300" s="102"/>
      <c r="BD300" s="102"/>
      <c r="BE300" s="102"/>
      <c r="BF300" s="72"/>
      <c r="BG300" s="168"/>
      <c r="BH300" s="102"/>
      <c r="BI300" s="102"/>
      <c r="BJ300" s="168"/>
      <c r="BK300" s="168"/>
      <c r="BL300" s="96"/>
    </row>
    <row r="301" spans="17:64" ht="13.8" x14ac:dyDescent="0.25">
      <c r="Q301" s="72"/>
      <c r="R301" s="72"/>
      <c r="S301" s="105"/>
      <c r="T301" s="105"/>
      <c r="U301" s="97"/>
      <c r="V301" s="102"/>
      <c r="W301" s="102"/>
      <c r="X301" s="72"/>
      <c r="Y301" s="72"/>
      <c r="Z301" s="72"/>
      <c r="AA301" s="102"/>
      <c r="AB301" s="168"/>
      <c r="AC301" s="168"/>
      <c r="AD301" s="96"/>
      <c r="AF301" s="72"/>
      <c r="AG301" s="72"/>
      <c r="AH301" s="72"/>
      <c r="AI301" s="72"/>
      <c r="AJ301" s="72"/>
      <c r="AK301" s="102"/>
      <c r="AL301" s="102"/>
      <c r="AM301" s="102"/>
      <c r="AN301" s="102"/>
      <c r="AO301" s="72"/>
      <c r="AP301" s="168"/>
      <c r="AQ301" s="102"/>
      <c r="AR301" s="102"/>
      <c r="AS301" s="168"/>
      <c r="AT301" s="168"/>
      <c r="AU301" s="96"/>
      <c r="AW301" s="72"/>
      <c r="AX301" s="72"/>
      <c r="AY301" s="72"/>
      <c r="AZ301" s="72"/>
      <c r="BA301" s="72"/>
      <c r="BB301" s="102"/>
      <c r="BC301" s="102"/>
      <c r="BD301" s="102"/>
      <c r="BE301" s="102"/>
      <c r="BF301" s="72"/>
      <c r="BG301" s="168"/>
      <c r="BH301" s="102"/>
      <c r="BI301" s="102"/>
      <c r="BJ301" s="168"/>
      <c r="BK301" s="168"/>
      <c r="BL301" s="96"/>
    </row>
    <row r="302" spans="17:64" ht="13.8" x14ac:dyDescent="0.25">
      <c r="Q302" s="72"/>
      <c r="R302" s="72"/>
      <c r="S302" s="72"/>
      <c r="T302" s="102"/>
      <c r="U302" s="102"/>
      <c r="V302" s="102"/>
      <c r="W302" s="102"/>
      <c r="X302" s="72"/>
      <c r="Y302" s="168"/>
      <c r="Z302" s="102"/>
      <c r="AA302" s="102"/>
      <c r="AB302" s="168"/>
      <c r="AC302" s="168"/>
      <c r="AD302" s="96"/>
      <c r="AF302" s="72"/>
      <c r="AG302" s="72"/>
      <c r="AH302" s="72"/>
      <c r="AI302" s="72"/>
      <c r="AJ302" s="72"/>
      <c r="AK302" s="102"/>
      <c r="AL302" s="102"/>
      <c r="AM302" s="102"/>
      <c r="AN302" s="102"/>
      <c r="AO302" s="72"/>
      <c r="AP302" s="168"/>
      <c r="AQ302" s="102"/>
      <c r="AR302" s="102"/>
      <c r="AS302" s="168"/>
      <c r="AT302" s="168"/>
      <c r="AU302" s="96"/>
      <c r="AW302" s="72"/>
      <c r="AX302" s="72"/>
      <c r="AY302" s="72"/>
      <c r="AZ302" s="72"/>
      <c r="BA302" s="72"/>
      <c r="BB302" s="102"/>
      <c r="BC302" s="102"/>
      <c r="BD302" s="102"/>
      <c r="BE302" s="102"/>
      <c r="BF302" s="72"/>
      <c r="BG302" s="168"/>
      <c r="BH302" s="102"/>
      <c r="BI302" s="102"/>
      <c r="BJ302" s="168"/>
      <c r="BK302" s="168"/>
      <c r="BL302" s="96"/>
    </row>
    <row r="303" spans="17:64" ht="13.8" x14ac:dyDescent="0.25">
      <c r="Q303" s="72"/>
      <c r="R303" s="72"/>
      <c r="S303" s="72"/>
      <c r="T303" s="102"/>
      <c r="U303" s="102"/>
      <c r="V303" s="102"/>
      <c r="W303" s="102"/>
      <c r="X303" s="72"/>
      <c r="Y303" s="168"/>
      <c r="Z303" s="102"/>
      <c r="AA303" s="102"/>
      <c r="AB303" s="168"/>
      <c r="AC303" s="168"/>
      <c r="AD303" s="96"/>
      <c r="AF303" s="72"/>
      <c r="AG303" s="72"/>
      <c r="AH303" s="72"/>
      <c r="AI303" s="72"/>
      <c r="AJ303" s="72"/>
      <c r="AK303" s="102"/>
      <c r="AL303" s="102"/>
      <c r="AM303" s="102"/>
      <c r="AN303" s="102"/>
      <c r="AO303" s="72"/>
      <c r="AP303" s="168"/>
      <c r="AQ303" s="102"/>
      <c r="AR303" s="102"/>
      <c r="AS303" s="168"/>
      <c r="AT303" s="168"/>
      <c r="AU303" s="96"/>
      <c r="AW303" s="72"/>
      <c r="AX303" s="72"/>
      <c r="AY303" s="72"/>
      <c r="AZ303" s="72"/>
      <c r="BA303" s="72"/>
      <c r="BB303" s="102"/>
      <c r="BC303" s="102"/>
      <c r="BD303" s="102"/>
      <c r="BE303" s="102"/>
      <c r="BF303" s="72"/>
      <c r="BG303" s="168"/>
      <c r="BH303" s="102"/>
      <c r="BI303" s="102"/>
      <c r="BJ303" s="168"/>
      <c r="BK303" s="168"/>
      <c r="BL303" s="96"/>
    </row>
    <row r="304" spans="17:64" ht="13.8" x14ac:dyDescent="0.25">
      <c r="Q304" s="72"/>
      <c r="R304" s="72"/>
      <c r="S304" s="72"/>
      <c r="T304" s="102"/>
      <c r="U304" s="102"/>
      <c r="V304" s="102"/>
      <c r="W304" s="102"/>
      <c r="X304" s="72"/>
      <c r="Y304" s="168"/>
      <c r="Z304" s="102"/>
      <c r="AA304" s="102"/>
      <c r="AB304" s="168"/>
      <c r="AC304" s="168"/>
      <c r="AD304" s="96"/>
      <c r="AF304" s="72"/>
      <c r="AG304" s="72"/>
      <c r="AH304" s="72"/>
      <c r="AI304" s="72"/>
      <c r="AJ304" s="72"/>
      <c r="AK304" s="102"/>
      <c r="AL304" s="102"/>
      <c r="AM304" s="102"/>
      <c r="AN304" s="102"/>
      <c r="AO304" s="72"/>
      <c r="AP304" s="168"/>
      <c r="AQ304" s="102"/>
      <c r="AR304" s="102"/>
      <c r="AS304" s="168"/>
      <c r="AT304" s="168"/>
      <c r="AU304" s="96"/>
      <c r="AW304" s="72"/>
      <c r="AX304" s="72"/>
      <c r="AY304" s="72"/>
      <c r="AZ304" s="72"/>
      <c r="BA304" s="72"/>
      <c r="BB304" s="102"/>
      <c r="BC304" s="102"/>
      <c r="BD304" s="102"/>
      <c r="BE304" s="102"/>
      <c r="BF304" s="72"/>
      <c r="BG304" s="168"/>
      <c r="BH304" s="102"/>
      <c r="BI304" s="102"/>
      <c r="BJ304" s="168"/>
      <c r="BK304" s="168"/>
      <c r="BL304" s="96"/>
    </row>
    <row r="305" spans="17:64" ht="13.8" x14ac:dyDescent="0.25">
      <c r="Q305" s="72"/>
      <c r="R305" s="72"/>
      <c r="S305" s="72"/>
      <c r="T305" s="102"/>
      <c r="U305" s="102"/>
      <c r="V305" s="102"/>
      <c r="W305" s="102"/>
      <c r="X305" s="72"/>
      <c r="Y305" s="168"/>
      <c r="Z305" s="102"/>
      <c r="AA305" s="102"/>
      <c r="AB305" s="168"/>
      <c r="AC305" s="168"/>
      <c r="AD305" s="96"/>
      <c r="AF305" s="72"/>
      <c r="AG305" s="72"/>
      <c r="AH305" s="72"/>
      <c r="AI305" s="72"/>
      <c r="AJ305" s="72"/>
      <c r="AK305" s="102"/>
      <c r="AL305" s="102"/>
      <c r="AM305" s="102"/>
      <c r="AN305" s="102"/>
      <c r="AO305" s="72"/>
      <c r="AP305" s="168"/>
      <c r="AQ305" s="102"/>
      <c r="AR305" s="102"/>
      <c r="AS305" s="168"/>
      <c r="AT305" s="168"/>
      <c r="AU305" s="96"/>
      <c r="AW305" s="72"/>
      <c r="AX305" s="72"/>
      <c r="AY305" s="72"/>
      <c r="AZ305" s="72"/>
      <c r="BA305" s="72"/>
      <c r="BB305" s="102"/>
      <c r="BC305" s="102"/>
      <c r="BD305" s="102"/>
      <c r="BE305" s="102"/>
      <c r="BF305" s="72"/>
      <c r="BG305" s="168"/>
      <c r="BH305" s="102"/>
      <c r="BI305" s="102"/>
      <c r="BJ305" s="168"/>
      <c r="BK305" s="168"/>
      <c r="BL305" s="96"/>
    </row>
    <row r="306" spans="17:64" ht="13.8" x14ac:dyDescent="0.25">
      <c r="Q306" s="72"/>
      <c r="R306" s="72"/>
      <c r="S306" s="72"/>
      <c r="T306" s="102"/>
      <c r="U306" s="102"/>
      <c r="V306" s="102"/>
      <c r="W306" s="102"/>
      <c r="X306" s="72"/>
      <c r="Y306" s="168"/>
      <c r="Z306" s="102"/>
      <c r="AA306" s="102"/>
      <c r="AB306" s="168"/>
      <c r="AC306" s="168"/>
      <c r="AD306" s="96"/>
      <c r="AF306" s="72"/>
      <c r="AG306" s="72"/>
      <c r="AH306" s="72"/>
      <c r="AI306" s="72"/>
      <c r="AJ306" s="72"/>
      <c r="AK306" s="102"/>
      <c r="AL306" s="102"/>
      <c r="AM306" s="102"/>
      <c r="AN306" s="102"/>
      <c r="AO306" s="72"/>
      <c r="AP306" s="168"/>
      <c r="AQ306" s="102"/>
      <c r="AR306" s="102"/>
      <c r="AS306" s="168"/>
      <c r="AT306" s="168"/>
      <c r="AU306" s="96"/>
      <c r="AW306" s="72"/>
      <c r="AX306" s="72"/>
      <c r="AY306" s="72"/>
      <c r="AZ306" s="72"/>
      <c r="BA306" s="72"/>
      <c r="BB306" s="102"/>
      <c r="BC306" s="102"/>
      <c r="BD306" s="102"/>
      <c r="BE306" s="102"/>
      <c r="BF306" s="72"/>
      <c r="BG306" s="168"/>
      <c r="BH306" s="102"/>
      <c r="BI306" s="102"/>
      <c r="BJ306" s="168"/>
      <c r="BK306" s="168"/>
      <c r="BL306" s="96"/>
    </row>
    <row r="307" spans="17:64" ht="13.8" x14ac:dyDescent="0.25">
      <c r="Q307" s="72"/>
      <c r="R307" s="72"/>
      <c r="S307" s="72"/>
      <c r="T307" s="102"/>
      <c r="U307" s="102"/>
      <c r="V307" s="102"/>
      <c r="W307" s="102"/>
      <c r="X307" s="72"/>
      <c r="Y307" s="168"/>
      <c r="Z307" s="102"/>
      <c r="AA307" s="102"/>
      <c r="AB307" s="168"/>
      <c r="AC307" s="168"/>
      <c r="AD307" s="96"/>
      <c r="AF307" s="72"/>
      <c r="AG307" s="72"/>
      <c r="AH307" s="72"/>
      <c r="AI307" s="72"/>
      <c r="AJ307" s="72"/>
      <c r="AK307" s="102"/>
      <c r="AL307" s="102"/>
      <c r="AM307" s="102"/>
      <c r="AN307" s="102"/>
      <c r="AO307" s="72"/>
      <c r="AP307" s="168"/>
      <c r="AQ307" s="102"/>
      <c r="AR307" s="102"/>
      <c r="AS307" s="168"/>
      <c r="AT307" s="168"/>
      <c r="AU307" s="96"/>
      <c r="AW307" s="72"/>
      <c r="AX307" s="72"/>
      <c r="AY307" s="72"/>
      <c r="AZ307" s="72"/>
      <c r="BA307" s="72"/>
      <c r="BB307" s="102"/>
      <c r="BC307" s="102"/>
      <c r="BD307" s="102"/>
      <c r="BE307" s="102"/>
      <c r="BF307" s="72"/>
      <c r="BG307" s="168"/>
      <c r="BH307" s="102"/>
      <c r="BI307" s="102"/>
      <c r="BJ307" s="168"/>
      <c r="BK307" s="168"/>
      <c r="BL307" s="96"/>
    </row>
    <row r="308" spans="17:64" ht="13.8" x14ac:dyDescent="0.25">
      <c r="Q308" s="72"/>
      <c r="R308" s="72"/>
      <c r="S308" s="72"/>
      <c r="T308" s="102"/>
      <c r="U308" s="102"/>
      <c r="V308" s="102"/>
      <c r="W308" s="102"/>
      <c r="X308" s="72"/>
      <c r="Y308" s="168"/>
      <c r="Z308" s="102"/>
      <c r="AA308" s="102"/>
      <c r="AB308" s="168"/>
      <c r="AC308" s="168"/>
      <c r="AD308" s="96"/>
      <c r="AF308" s="72"/>
      <c r="AG308" s="72"/>
      <c r="AH308" s="72"/>
      <c r="AI308" s="72"/>
      <c r="AJ308" s="72"/>
      <c r="AK308" s="102"/>
      <c r="AL308" s="102"/>
      <c r="AM308" s="102"/>
      <c r="AN308" s="102"/>
      <c r="AO308" s="72"/>
      <c r="AP308" s="168"/>
      <c r="AQ308" s="102"/>
      <c r="AR308" s="102"/>
      <c r="AS308" s="168"/>
      <c r="AT308" s="168"/>
      <c r="AU308" s="96"/>
      <c r="AW308" s="72"/>
      <c r="AX308" s="72"/>
      <c r="AY308" s="72"/>
      <c r="AZ308" s="72"/>
      <c r="BA308" s="72"/>
      <c r="BB308" s="102"/>
      <c r="BC308" s="102"/>
      <c r="BD308" s="102"/>
      <c r="BE308" s="102"/>
      <c r="BF308" s="72"/>
      <c r="BG308" s="168"/>
      <c r="BH308" s="102"/>
      <c r="BI308" s="102"/>
      <c r="BJ308" s="168"/>
      <c r="BK308" s="168"/>
      <c r="BL308" s="96"/>
    </row>
    <row r="309" spans="17:64" ht="13.8" x14ac:dyDescent="0.25">
      <c r="Q309" s="72"/>
      <c r="R309" s="72"/>
      <c r="S309" s="72"/>
      <c r="T309" s="102"/>
      <c r="U309" s="102"/>
      <c r="V309" s="102"/>
      <c r="W309" s="102"/>
      <c r="X309" s="72"/>
      <c r="Y309" s="168"/>
      <c r="Z309" s="102"/>
      <c r="AA309" s="102"/>
      <c r="AB309" s="168"/>
      <c r="AC309" s="168"/>
      <c r="AD309" s="96"/>
      <c r="AF309" s="72"/>
      <c r="AG309" s="72"/>
      <c r="AH309" s="72"/>
      <c r="AI309" s="72"/>
      <c r="AJ309" s="72"/>
      <c r="AK309" s="102"/>
      <c r="AL309" s="102"/>
      <c r="AM309" s="102"/>
      <c r="AN309" s="102"/>
      <c r="AO309" s="72"/>
      <c r="AP309" s="168"/>
      <c r="AQ309" s="102"/>
      <c r="AR309" s="102"/>
      <c r="AS309" s="168"/>
      <c r="AT309" s="168"/>
      <c r="AU309" s="96"/>
      <c r="AW309" s="72"/>
      <c r="AX309" s="72"/>
      <c r="AY309" s="72"/>
      <c r="AZ309" s="72"/>
      <c r="BA309" s="72"/>
      <c r="BB309" s="102"/>
      <c r="BC309" s="102"/>
      <c r="BD309" s="102"/>
      <c r="BE309" s="102"/>
      <c r="BF309" s="72"/>
      <c r="BG309" s="168"/>
      <c r="BH309" s="102"/>
      <c r="BI309" s="102"/>
      <c r="BJ309" s="168"/>
      <c r="BK309" s="168"/>
      <c r="BL309" s="96"/>
    </row>
    <row r="310" spans="17:64" ht="13.8" x14ac:dyDescent="0.25">
      <c r="R310" s="72"/>
      <c r="S310" s="72"/>
      <c r="T310" s="102"/>
      <c r="U310" s="102"/>
      <c r="V310" s="102"/>
      <c r="W310" s="102"/>
      <c r="X310" s="72"/>
      <c r="Y310" s="168"/>
      <c r="Z310" s="102"/>
      <c r="AA310" s="102"/>
      <c r="AB310" s="168"/>
      <c r="AC310" s="168"/>
      <c r="AD310" s="96"/>
      <c r="AF310" s="72"/>
      <c r="AG310" s="72"/>
      <c r="AH310" s="72"/>
      <c r="AI310" s="72"/>
      <c r="AJ310" s="72"/>
      <c r="AK310" s="102"/>
      <c r="AL310" s="102"/>
      <c r="AM310" s="102"/>
      <c r="AN310" s="102"/>
      <c r="AO310" s="72"/>
      <c r="AP310" s="168"/>
      <c r="AQ310" s="102"/>
      <c r="AR310" s="102"/>
      <c r="AS310" s="168"/>
      <c r="AT310" s="168"/>
      <c r="AU310" s="96"/>
      <c r="AW310" s="72"/>
      <c r="AX310" s="72"/>
      <c r="AY310" s="72"/>
      <c r="AZ310" s="72"/>
      <c r="BA310" s="72"/>
      <c r="BB310" s="102"/>
      <c r="BC310" s="102"/>
      <c r="BD310" s="102"/>
      <c r="BE310" s="102"/>
      <c r="BF310" s="72"/>
      <c r="BG310" s="168"/>
      <c r="BH310" s="102"/>
      <c r="BI310" s="102"/>
      <c r="BJ310" s="168"/>
      <c r="BK310" s="168"/>
      <c r="BL310" s="96"/>
    </row>
    <row r="311" spans="17:64" ht="13.8" x14ac:dyDescent="0.25">
      <c r="R311" s="72"/>
      <c r="S311" s="72"/>
      <c r="T311" s="102"/>
      <c r="U311" s="102"/>
      <c r="V311" s="102"/>
      <c r="W311" s="102"/>
      <c r="X311" s="72"/>
      <c r="Y311" s="168"/>
      <c r="Z311" s="102"/>
      <c r="AA311" s="102"/>
      <c r="AB311" s="168"/>
      <c r="AC311" s="168"/>
      <c r="AD311" s="96"/>
      <c r="AF311" s="72"/>
      <c r="AG311" s="72"/>
      <c r="AH311" s="72"/>
      <c r="AI311" s="72"/>
      <c r="AJ311" s="105"/>
      <c r="AK311" s="105"/>
      <c r="AL311" s="97"/>
      <c r="AM311" s="102"/>
      <c r="AN311" s="102"/>
      <c r="AO311" s="102"/>
      <c r="AP311" s="102"/>
      <c r="AQ311" s="102"/>
      <c r="AR311" s="102"/>
      <c r="AS311" s="168"/>
      <c r="AT311" s="168"/>
      <c r="AU311" s="96"/>
      <c r="AW311" s="72"/>
      <c r="AX311" s="72"/>
      <c r="AY311" s="72"/>
      <c r="AZ311" s="72"/>
      <c r="BA311" s="105"/>
      <c r="BB311" s="105"/>
      <c r="BC311" s="97"/>
      <c r="BD311" s="102"/>
      <c r="BE311" s="102"/>
      <c r="BF311" s="102"/>
      <c r="BG311" s="102"/>
      <c r="BH311" s="102"/>
      <c r="BI311" s="102"/>
      <c r="BJ311" s="168"/>
      <c r="BK311" s="168"/>
      <c r="BL311" s="96"/>
    </row>
    <row r="312" spans="17:64" ht="13.8" x14ac:dyDescent="0.25">
      <c r="Q312" s="72"/>
      <c r="R312" s="72"/>
      <c r="S312" s="72"/>
      <c r="T312" s="102"/>
      <c r="U312" s="102"/>
      <c r="V312" s="102"/>
      <c r="W312" s="102"/>
      <c r="X312" s="72"/>
      <c r="Y312" s="168"/>
      <c r="Z312" s="102"/>
      <c r="AA312" s="102"/>
      <c r="AB312" s="168"/>
      <c r="AC312" s="168"/>
      <c r="AD312" s="96"/>
      <c r="AF312" s="72"/>
      <c r="AG312" s="72"/>
      <c r="AH312" s="72"/>
      <c r="AI312" s="72"/>
      <c r="AJ312" s="72"/>
      <c r="AK312" s="102"/>
      <c r="AL312" s="102"/>
      <c r="AM312" s="102"/>
      <c r="AN312" s="102"/>
      <c r="AO312" s="72"/>
      <c r="AP312" s="168"/>
      <c r="AQ312" s="102"/>
      <c r="AR312" s="102"/>
      <c r="AS312" s="168"/>
      <c r="AT312" s="168"/>
      <c r="AU312" s="96"/>
      <c r="AW312" s="72"/>
      <c r="AX312" s="72"/>
      <c r="AY312" s="72"/>
      <c r="AZ312" s="72"/>
      <c r="BA312" s="72"/>
      <c r="BB312" s="102"/>
      <c r="BC312" s="102"/>
      <c r="BD312" s="102"/>
      <c r="BE312" s="102"/>
      <c r="BF312" s="72"/>
      <c r="BG312" s="168"/>
      <c r="BH312" s="102"/>
      <c r="BI312" s="102"/>
      <c r="BJ312" s="168"/>
      <c r="BK312" s="168"/>
      <c r="BL312" s="96"/>
    </row>
    <row r="313" spans="17:64" ht="13.8" x14ac:dyDescent="0.25">
      <c r="R313" s="72"/>
      <c r="S313" s="72"/>
      <c r="T313" s="102"/>
      <c r="U313" s="102"/>
      <c r="V313" s="102"/>
      <c r="W313" s="102"/>
      <c r="X313" s="72"/>
      <c r="Y313" s="168"/>
      <c r="Z313" s="102"/>
      <c r="AA313" s="102"/>
      <c r="AB313" s="168"/>
      <c r="AC313" s="168"/>
      <c r="AD313" s="96"/>
      <c r="AF313" s="72"/>
      <c r="AG313" s="72"/>
      <c r="AH313" s="72"/>
      <c r="AI313" s="72"/>
      <c r="AJ313" s="72"/>
      <c r="AK313" s="102"/>
      <c r="AL313" s="102"/>
      <c r="AM313" s="102"/>
      <c r="AN313" s="102"/>
      <c r="AO313" s="72"/>
      <c r="AP313" s="168"/>
      <c r="AQ313" s="102"/>
      <c r="AR313" s="102"/>
      <c r="AS313" s="168"/>
      <c r="AT313" s="168"/>
      <c r="AU313" s="96"/>
      <c r="AW313" s="72"/>
      <c r="AX313" s="72"/>
      <c r="AY313" s="72"/>
      <c r="AZ313" s="72"/>
      <c r="BA313" s="72"/>
      <c r="BB313" s="102"/>
      <c r="BC313" s="102"/>
      <c r="BD313" s="102"/>
      <c r="BE313" s="102"/>
      <c r="BF313" s="72"/>
      <c r="BG313" s="168"/>
      <c r="BH313" s="102"/>
      <c r="BI313" s="102"/>
      <c r="BJ313" s="168"/>
      <c r="BK313" s="168"/>
      <c r="BL313" s="96"/>
    </row>
    <row r="314" spans="17:64" ht="13.8" x14ac:dyDescent="0.25">
      <c r="R314" s="72"/>
      <c r="S314" s="72"/>
      <c r="T314" s="102"/>
      <c r="U314" s="102"/>
      <c r="V314" s="102"/>
      <c r="W314" s="102"/>
      <c r="X314" s="72"/>
      <c r="Y314" s="168"/>
      <c r="Z314" s="102"/>
      <c r="AA314" s="102"/>
      <c r="AB314" s="168"/>
      <c r="AC314" s="168"/>
      <c r="AD314" s="96"/>
      <c r="AF314" s="72"/>
      <c r="AG314" s="72"/>
      <c r="AH314" s="72"/>
      <c r="AI314" s="72"/>
      <c r="AJ314" s="72"/>
      <c r="AK314" s="102"/>
      <c r="AL314" s="102"/>
      <c r="AM314" s="102"/>
      <c r="AN314" s="102"/>
      <c r="AO314" s="72"/>
      <c r="AP314" s="168"/>
      <c r="AQ314" s="102"/>
      <c r="AR314" s="102"/>
      <c r="AS314" s="168"/>
      <c r="AT314" s="168"/>
      <c r="AU314" s="96"/>
      <c r="AW314" s="72"/>
      <c r="AX314" s="72"/>
      <c r="AY314" s="72"/>
      <c r="AZ314" s="72"/>
      <c r="BA314" s="72"/>
      <c r="BB314" s="102"/>
      <c r="BC314" s="102"/>
      <c r="BD314" s="102"/>
      <c r="BE314" s="102"/>
      <c r="BF314" s="72"/>
      <c r="BG314" s="168"/>
      <c r="BH314" s="102"/>
      <c r="BI314" s="102"/>
      <c r="BJ314" s="168"/>
      <c r="BK314" s="168"/>
      <c r="BL314" s="96"/>
    </row>
    <row r="315" spans="17:64" ht="13.8" x14ac:dyDescent="0.25">
      <c r="R315" s="72"/>
      <c r="S315" s="72"/>
      <c r="T315" s="102"/>
      <c r="U315" s="102"/>
      <c r="V315" s="102"/>
      <c r="W315" s="102"/>
      <c r="X315" s="72"/>
      <c r="Y315" s="168"/>
      <c r="Z315" s="102"/>
      <c r="AA315" s="102"/>
      <c r="AB315" s="168"/>
      <c r="AC315" s="168"/>
      <c r="AD315" s="96"/>
      <c r="AF315" s="72"/>
      <c r="AG315" s="72"/>
      <c r="AH315" s="72"/>
      <c r="AI315" s="72"/>
      <c r="AJ315" s="72"/>
      <c r="AK315" s="102"/>
      <c r="AL315" s="102"/>
      <c r="AM315" s="102"/>
      <c r="AN315" s="102"/>
      <c r="AO315" s="72"/>
      <c r="AP315" s="168"/>
      <c r="AQ315" s="102"/>
      <c r="AR315" s="102"/>
      <c r="AS315" s="168"/>
      <c r="AT315" s="168"/>
      <c r="AU315" s="96"/>
      <c r="AW315" s="72"/>
      <c r="AX315" s="72"/>
      <c r="AY315" s="72"/>
      <c r="AZ315" s="72"/>
      <c r="BA315" s="72"/>
      <c r="BB315" s="102"/>
      <c r="BC315" s="102"/>
      <c r="BD315" s="102"/>
      <c r="BE315" s="102"/>
      <c r="BF315" s="72"/>
      <c r="BG315" s="168"/>
      <c r="BH315" s="102"/>
      <c r="BI315" s="102"/>
      <c r="BJ315" s="168"/>
      <c r="BK315" s="168"/>
      <c r="BL315" s="96"/>
    </row>
    <row r="316" spans="17:64" ht="13.8" x14ac:dyDescent="0.25">
      <c r="R316" s="72"/>
      <c r="S316" s="72"/>
      <c r="T316" s="102"/>
      <c r="U316" s="102"/>
      <c r="V316" s="102"/>
      <c r="W316" s="102"/>
      <c r="X316" s="72"/>
      <c r="Y316" s="168"/>
      <c r="Z316" s="102"/>
      <c r="AA316" s="102"/>
      <c r="AB316" s="168"/>
      <c r="AC316" s="168"/>
      <c r="AD316" s="96"/>
      <c r="AF316" s="72"/>
      <c r="AG316" s="72"/>
      <c r="AH316" s="72"/>
      <c r="AI316" s="72"/>
      <c r="AJ316" s="72"/>
      <c r="AK316" s="102"/>
      <c r="AL316" s="102"/>
      <c r="AM316" s="102"/>
      <c r="AN316" s="102"/>
      <c r="AO316" s="72"/>
      <c r="AP316" s="168"/>
      <c r="AQ316" s="102"/>
      <c r="AR316" s="102"/>
      <c r="AS316" s="168"/>
      <c r="AT316" s="168"/>
      <c r="AU316" s="96"/>
      <c r="AW316" s="72"/>
      <c r="AX316" s="72"/>
      <c r="AY316" s="72"/>
      <c r="AZ316" s="72"/>
      <c r="BA316" s="72"/>
      <c r="BB316" s="102"/>
      <c r="BC316" s="102"/>
      <c r="BD316" s="102"/>
      <c r="BE316" s="102"/>
      <c r="BF316" s="72"/>
      <c r="BG316" s="168"/>
      <c r="BH316" s="102"/>
      <c r="BI316" s="102"/>
      <c r="BJ316" s="168"/>
      <c r="BK316" s="168"/>
      <c r="BL316" s="96"/>
    </row>
    <row r="317" spans="17:64" ht="13.8" x14ac:dyDescent="0.25">
      <c r="R317" s="72"/>
      <c r="S317" s="72"/>
      <c r="T317" s="102"/>
      <c r="U317" s="102"/>
      <c r="V317" s="102"/>
      <c r="W317" s="102"/>
      <c r="X317" s="72"/>
      <c r="Y317" s="168"/>
      <c r="Z317" s="102"/>
      <c r="AA317" s="102"/>
      <c r="AB317" s="168"/>
      <c r="AC317" s="168"/>
      <c r="AD317" s="96"/>
      <c r="AF317" s="72"/>
      <c r="AG317" s="72"/>
      <c r="AH317" s="72"/>
      <c r="AI317" s="72"/>
      <c r="AJ317" s="72"/>
      <c r="AK317" s="102"/>
      <c r="AL317" s="102"/>
      <c r="AM317" s="102"/>
      <c r="AN317" s="102"/>
      <c r="AO317" s="72"/>
      <c r="AP317" s="168"/>
      <c r="AQ317" s="102"/>
      <c r="AR317" s="102"/>
      <c r="AS317" s="168"/>
      <c r="AT317" s="168"/>
      <c r="AU317" s="96"/>
      <c r="AW317" s="72"/>
      <c r="AX317" s="72"/>
      <c r="AY317" s="72"/>
      <c r="AZ317" s="72"/>
      <c r="BA317" s="72"/>
      <c r="BB317" s="102"/>
      <c r="BC317" s="102"/>
      <c r="BD317" s="102"/>
      <c r="BE317" s="102"/>
      <c r="BF317" s="72"/>
      <c r="BG317" s="168"/>
      <c r="BH317" s="102"/>
      <c r="BI317" s="102"/>
      <c r="BJ317" s="168"/>
      <c r="BK317" s="168"/>
      <c r="BL317" s="96"/>
    </row>
    <row r="318" spans="17:64" ht="13.8" x14ac:dyDescent="0.25">
      <c r="R318" s="72"/>
      <c r="S318" s="72"/>
      <c r="T318" s="102"/>
      <c r="U318" s="102"/>
      <c r="V318" s="102"/>
      <c r="W318" s="102"/>
      <c r="X318" s="72"/>
      <c r="Y318" s="168"/>
      <c r="Z318" s="102"/>
      <c r="AA318" s="102"/>
      <c r="AB318" s="168"/>
      <c r="AC318" s="168"/>
      <c r="AD318" s="96"/>
      <c r="AF318" s="72"/>
      <c r="AG318" s="72"/>
      <c r="AH318" s="72"/>
      <c r="AI318" s="72"/>
      <c r="AJ318" s="72"/>
      <c r="AK318" s="102"/>
      <c r="AL318" s="102"/>
      <c r="AM318" s="102"/>
      <c r="AN318" s="102"/>
      <c r="AO318" s="72"/>
      <c r="AP318" s="168"/>
      <c r="AQ318" s="102"/>
      <c r="AR318" s="102"/>
      <c r="AS318" s="168"/>
      <c r="AT318" s="168"/>
      <c r="AU318" s="96"/>
      <c r="AW318" s="72"/>
      <c r="AX318" s="72"/>
      <c r="AY318" s="72"/>
      <c r="AZ318" s="72"/>
      <c r="BA318" s="72"/>
      <c r="BB318" s="102"/>
      <c r="BC318" s="102"/>
      <c r="BD318" s="102"/>
      <c r="BE318" s="102"/>
      <c r="BF318" s="72"/>
      <c r="BG318" s="168"/>
      <c r="BH318" s="102"/>
      <c r="BI318" s="102"/>
      <c r="BJ318" s="168"/>
      <c r="BK318" s="168"/>
      <c r="BL318" s="96"/>
    </row>
    <row r="319" spans="17:64" ht="13.8" x14ac:dyDescent="0.25">
      <c r="R319" s="72"/>
      <c r="S319" s="72"/>
      <c r="T319" s="102"/>
      <c r="U319" s="102"/>
      <c r="V319" s="102"/>
      <c r="W319" s="102"/>
      <c r="X319" s="72"/>
      <c r="Y319" s="168"/>
      <c r="Z319" s="102"/>
      <c r="AA319" s="102"/>
      <c r="AB319" s="168"/>
      <c r="AC319" s="168"/>
      <c r="AD319" s="96"/>
      <c r="AF319" s="72"/>
      <c r="AG319" s="72"/>
      <c r="AH319" s="72"/>
      <c r="AI319" s="72"/>
      <c r="AJ319" s="72"/>
      <c r="AK319" s="102"/>
      <c r="AL319" s="102"/>
      <c r="AM319" s="102"/>
      <c r="AN319" s="102"/>
      <c r="AO319" s="72"/>
      <c r="AP319" s="168"/>
      <c r="AQ319" s="102"/>
      <c r="AR319" s="102"/>
      <c r="AS319" s="168"/>
      <c r="AT319" s="168"/>
      <c r="AU319" s="96"/>
      <c r="AW319" s="72"/>
      <c r="AX319" s="72"/>
      <c r="AY319" s="72"/>
      <c r="AZ319" s="72"/>
      <c r="BA319" s="72"/>
      <c r="BB319" s="102"/>
      <c r="BC319" s="102"/>
      <c r="BD319" s="102"/>
      <c r="BE319" s="102"/>
      <c r="BF319" s="72"/>
      <c r="BG319" s="168"/>
      <c r="BH319" s="102"/>
      <c r="BI319" s="102"/>
      <c r="BJ319" s="168"/>
      <c r="BK319" s="168"/>
      <c r="BL319" s="96"/>
    </row>
    <row r="320" spans="17:64" ht="13.8" x14ac:dyDescent="0.25">
      <c r="R320" s="72"/>
      <c r="S320" s="105"/>
      <c r="T320" s="105"/>
      <c r="U320" s="97"/>
      <c r="V320" s="102"/>
      <c r="W320" s="102"/>
      <c r="X320" s="72"/>
      <c r="Y320" s="72"/>
      <c r="Z320" s="72"/>
      <c r="AA320" s="102"/>
      <c r="AB320" s="168"/>
      <c r="AC320" s="168"/>
      <c r="AD320" s="96"/>
      <c r="AF320" s="72"/>
      <c r="AG320" s="72"/>
      <c r="AH320" s="72"/>
      <c r="AI320" s="72"/>
      <c r="AJ320" s="72"/>
      <c r="AK320" s="102"/>
      <c r="AL320" s="102"/>
      <c r="AM320" s="102"/>
      <c r="AN320" s="102"/>
      <c r="AO320" s="72"/>
      <c r="AP320" s="168"/>
      <c r="AQ320" s="102"/>
      <c r="AR320" s="102"/>
      <c r="AS320" s="168"/>
      <c r="AT320" s="168"/>
      <c r="AU320" s="96"/>
      <c r="AW320" s="72"/>
      <c r="AX320" s="72"/>
      <c r="AY320" s="72"/>
      <c r="AZ320" s="72"/>
      <c r="BA320" s="72"/>
      <c r="BB320" s="102"/>
      <c r="BC320" s="102"/>
      <c r="BD320" s="102"/>
      <c r="BE320" s="102"/>
      <c r="BF320" s="72"/>
      <c r="BG320" s="168"/>
      <c r="BH320" s="102"/>
      <c r="BI320" s="102"/>
      <c r="BJ320" s="168"/>
      <c r="BK320" s="168"/>
      <c r="BL320" s="96"/>
    </row>
    <row r="321" spans="18:64" ht="13.8" x14ac:dyDescent="0.25">
      <c r="R321" s="72"/>
      <c r="S321" s="72"/>
      <c r="T321" s="102"/>
      <c r="U321" s="102"/>
      <c r="V321" s="102"/>
      <c r="W321" s="102"/>
      <c r="X321" s="72"/>
      <c r="Y321" s="168"/>
      <c r="Z321" s="102"/>
      <c r="AA321" s="102"/>
      <c r="AB321" s="168"/>
      <c r="AC321" s="168"/>
      <c r="AD321" s="96"/>
      <c r="AF321" s="72"/>
      <c r="AG321" s="72"/>
      <c r="AH321" s="72"/>
      <c r="AI321" s="72"/>
      <c r="AJ321" s="72"/>
      <c r="AK321" s="102"/>
      <c r="AL321" s="102"/>
      <c r="AM321" s="102"/>
      <c r="AN321" s="102"/>
      <c r="AO321" s="72"/>
      <c r="AP321" s="168"/>
      <c r="AQ321" s="102"/>
      <c r="AR321" s="102"/>
      <c r="AS321" s="168"/>
      <c r="AT321" s="168"/>
      <c r="AU321" s="96"/>
      <c r="AW321" s="72"/>
      <c r="AX321" s="72"/>
      <c r="AY321" s="72"/>
      <c r="AZ321" s="72"/>
      <c r="BA321" s="72"/>
      <c r="BB321" s="102"/>
      <c r="BC321" s="102"/>
      <c r="BD321" s="102"/>
      <c r="BE321" s="102"/>
      <c r="BF321" s="72"/>
      <c r="BG321" s="168"/>
      <c r="BH321" s="102"/>
      <c r="BI321" s="102"/>
      <c r="BJ321" s="168"/>
      <c r="BK321" s="168"/>
      <c r="BL321" s="96"/>
    </row>
    <row r="322" spans="18:64" ht="13.8" x14ac:dyDescent="0.25">
      <c r="R322" s="72"/>
      <c r="S322" s="72"/>
      <c r="T322" s="102"/>
      <c r="U322" s="102"/>
      <c r="V322" s="102"/>
      <c r="W322" s="102"/>
      <c r="X322" s="72"/>
      <c r="Y322" s="168"/>
      <c r="Z322" s="102"/>
      <c r="AA322" s="102"/>
      <c r="AB322" s="168"/>
      <c r="AC322" s="168"/>
      <c r="AD322" s="96"/>
      <c r="AF322" s="72"/>
      <c r="AG322" s="72"/>
      <c r="AH322" s="72"/>
      <c r="AI322" s="72"/>
      <c r="AJ322" s="72"/>
      <c r="AK322" s="102"/>
      <c r="AL322" s="102"/>
      <c r="AM322" s="102"/>
      <c r="AN322" s="102"/>
      <c r="AO322" s="72"/>
      <c r="AP322" s="168"/>
      <c r="AQ322" s="102"/>
      <c r="AR322" s="102"/>
      <c r="AS322" s="168"/>
      <c r="AT322" s="168"/>
      <c r="AU322" s="96"/>
      <c r="AW322" s="72"/>
      <c r="AX322" s="72"/>
      <c r="AY322" s="72"/>
      <c r="AZ322" s="72"/>
      <c r="BA322" s="72"/>
      <c r="BB322" s="102"/>
      <c r="BC322" s="102"/>
      <c r="BD322" s="102"/>
      <c r="BE322" s="102"/>
      <c r="BF322" s="72"/>
      <c r="BG322" s="168"/>
      <c r="BH322" s="102"/>
      <c r="BI322" s="102"/>
      <c r="BJ322" s="168"/>
      <c r="BK322" s="168"/>
      <c r="BL322" s="96"/>
    </row>
    <row r="323" spans="18:64" ht="13.8" x14ac:dyDescent="0.25">
      <c r="R323" s="72"/>
      <c r="S323" s="72"/>
      <c r="T323" s="102"/>
      <c r="U323" s="102"/>
      <c r="V323" s="102"/>
      <c r="W323" s="102"/>
      <c r="X323" s="72"/>
      <c r="Y323" s="168"/>
      <c r="Z323" s="102"/>
      <c r="AA323" s="102"/>
      <c r="AB323" s="168"/>
      <c r="AC323" s="168"/>
      <c r="AD323" s="96"/>
      <c r="AF323" s="72"/>
      <c r="AG323" s="72"/>
      <c r="AH323" s="72"/>
      <c r="AI323" s="72"/>
      <c r="AJ323" s="72"/>
      <c r="AK323" s="102"/>
      <c r="AL323" s="102"/>
      <c r="AM323" s="102"/>
      <c r="AN323" s="102"/>
      <c r="AO323" s="72"/>
      <c r="AP323" s="168"/>
      <c r="AQ323" s="102"/>
      <c r="AR323" s="102"/>
      <c r="AS323" s="168"/>
      <c r="AT323" s="168"/>
      <c r="AU323" s="96"/>
      <c r="AW323" s="72"/>
      <c r="AX323" s="72"/>
      <c r="AY323" s="72"/>
      <c r="AZ323" s="72"/>
      <c r="BA323" s="72"/>
      <c r="BB323" s="102"/>
      <c r="BC323" s="102"/>
      <c r="BD323" s="102"/>
      <c r="BE323" s="102"/>
      <c r="BF323" s="72"/>
      <c r="BG323" s="168"/>
      <c r="BH323" s="102"/>
      <c r="BI323" s="102"/>
      <c r="BJ323" s="168"/>
      <c r="BK323" s="168"/>
      <c r="BL323" s="96"/>
    </row>
    <row r="324" spans="18:64" ht="13.8" x14ac:dyDescent="0.25">
      <c r="R324" s="72"/>
      <c r="S324" s="72"/>
      <c r="T324" s="102"/>
      <c r="U324" s="102"/>
      <c r="V324" s="102"/>
      <c r="W324" s="102"/>
      <c r="X324" s="72"/>
      <c r="Y324" s="168"/>
      <c r="Z324" s="102"/>
      <c r="AA324" s="102"/>
      <c r="AB324" s="168"/>
      <c r="AC324" s="168"/>
      <c r="AD324" s="96"/>
      <c r="AF324" s="72"/>
      <c r="AG324" s="72"/>
      <c r="AH324" s="72"/>
      <c r="AI324" s="72"/>
      <c r="AJ324" s="72"/>
      <c r="AK324" s="102"/>
      <c r="AL324" s="102"/>
      <c r="AM324" s="102"/>
      <c r="AN324" s="102"/>
      <c r="AO324" s="72"/>
      <c r="AP324" s="168"/>
      <c r="AQ324" s="102"/>
      <c r="AR324" s="102"/>
      <c r="AS324" s="168"/>
      <c r="AT324" s="168"/>
      <c r="AU324" s="96"/>
      <c r="AW324" s="72"/>
      <c r="AX324" s="72"/>
      <c r="AY324" s="72"/>
      <c r="AZ324" s="72"/>
      <c r="BA324" s="72"/>
      <c r="BB324" s="102"/>
      <c r="BC324" s="102"/>
      <c r="BD324" s="102"/>
      <c r="BE324" s="102"/>
      <c r="BF324" s="72"/>
      <c r="BG324" s="168"/>
      <c r="BH324" s="102"/>
      <c r="BI324" s="102"/>
      <c r="BJ324" s="168"/>
      <c r="BK324" s="168"/>
      <c r="BL324" s="96"/>
    </row>
    <row r="325" spans="18:64" ht="13.8" x14ac:dyDescent="0.25">
      <c r="R325" s="72"/>
      <c r="S325" s="72"/>
      <c r="T325" s="102"/>
      <c r="U325" s="102"/>
      <c r="V325" s="102"/>
      <c r="W325" s="102"/>
      <c r="X325" s="72"/>
      <c r="Y325" s="168"/>
      <c r="Z325" s="102"/>
      <c r="AA325" s="102"/>
      <c r="AB325" s="168"/>
      <c r="AC325" s="168"/>
      <c r="AD325" s="96"/>
      <c r="AF325" s="72"/>
      <c r="AG325" s="72"/>
      <c r="AH325" s="72"/>
      <c r="AI325" s="72"/>
      <c r="AJ325" s="72"/>
      <c r="AK325" s="102"/>
      <c r="AL325" s="102"/>
      <c r="AM325" s="102"/>
      <c r="AN325" s="102"/>
      <c r="AO325" s="72"/>
      <c r="AP325" s="168"/>
      <c r="AQ325" s="102"/>
      <c r="AR325" s="102"/>
      <c r="AS325" s="168"/>
      <c r="AT325" s="168"/>
      <c r="AU325" s="96"/>
      <c r="AW325" s="72"/>
      <c r="AX325" s="72"/>
      <c r="AY325" s="72"/>
      <c r="AZ325" s="72"/>
      <c r="BA325" s="72"/>
      <c r="BB325" s="102"/>
      <c r="BC325" s="102"/>
      <c r="BD325" s="102"/>
      <c r="BE325" s="102"/>
      <c r="BF325" s="72"/>
      <c r="BG325" s="168"/>
      <c r="BH325" s="102"/>
      <c r="BI325" s="102"/>
      <c r="BJ325" s="168"/>
      <c r="BK325" s="168"/>
      <c r="BL325" s="96"/>
    </row>
    <row r="326" spans="18:64" ht="13.8" x14ac:dyDescent="0.25">
      <c r="R326" s="72"/>
      <c r="S326" s="72"/>
      <c r="T326" s="102"/>
      <c r="U326" s="102"/>
      <c r="V326" s="102"/>
      <c r="W326" s="102"/>
      <c r="X326" s="72"/>
      <c r="Y326" s="168"/>
      <c r="Z326" s="102"/>
      <c r="AA326" s="102"/>
      <c r="AB326" s="168"/>
      <c r="AC326" s="168"/>
      <c r="AD326" s="96"/>
      <c r="AF326" s="72"/>
      <c r="AG326" s="72"/>
      <c r="AH326" s="72"/>
      <c r="AI326" s="72"/>
      <c r="AJ326" s="72"/>
      <c r="AK326" s="102"/>
      <c r="AL326" s="102"/>
      <c r="AM326" s="102"/>
      <c r="AN326" s="102"/>
      <c r="AO326" s="72"/>
      <c r="AP326" s="168"/>
      <c r="AQ326" s="102"/>
      <c r="AR326" s="102"/>
      <c r="AS326" s="168"/>
      <c r="AT326" s="168"/>
      <c r="AU326" s="96"/>
      <c r="AW326" s="72"/>
      <c r="AX326" s="72"/>
      <c r="AY326" s="72"/>
      <c r="AZ326" s="72"/>
      <c r="BA326" s="72"/>
      <c r="BB326" s="102"/>
      <c r="BC326" s="102"/>
      <c r="BD326" s="102"/>
      <c r="BE326" s="102"/>
      <c r="BF326" s="72"/>
      <c r="BG326" s="168"/>
      <c r="BH326" s="102"/>
      <c r="BI326" s="102"/>
      <c r="BJ326" s="168"/>
      <c r="BK326" s="168"/>
      <c r="BL326" s="96"/>
    </row>
    <row r="327" spans="18:64" ht="13.8" x14ac:dyDescent="0.25">
      <c r="R327" s="72"/>
      <c r="S327" s="72"/>
      <c r="T327" s="102"/>
      <c r="U327" s="102"/>
      <c r="V327" s="102"/>
      <c r="W327" s="102"/>
      <c r="X327" s="72"/>
      <c r="Y327" s="168"/>
      <c r="Z327" s="102"/>
      <c r="AA327" s="102"/>
      <c r="AB327" s="168"/>
      <c r="AC327" s="168"/>
      <c r="AD327" s="96"/>
      <c r="AF327" s="72"/>
      <c r="AG327" s="72"/>
      <c r="AH327" s="72"/>
      <c r="AI327" s="72"/>
      <c r="AJ327" s="72"/>
      <c r="AK327" s="102"/>
      <c r="AL327" s="102"/>
      <c r="AM327" s="102"/>
      <c r="AN327" s="102"/>
      <c r="AO327" s="72"/>
      <c r="AP327" s="168"/>
      <c r="AQ327" s="102"/>
      <c r="AR327" s="102"/>
      <c r="AS327" s="168"/>
      <c r="AT327" s="168"/>
      <c r="AU327" s="96"/>
      <c r="AW327" s="72"/>
      <c r="AX327" s="72"/>
      <c r="AY327" s="72"/>
      <c r="AZ327" s="72"/>
      <c r="BA327" s="72"/>
      <c r="BB327" s="102"/>
      <c r="BC327" s="102"/>
      <c r="BD327" s="102"/>
      <c r="BE327" s="102"/>
      <c r="BF327" s="72"/>
      <c r="BG327" s="168"/>
      <c r="BH327" s="102"/>
      <c r="BI327" s="102"/>
      <c r="BJ327" s="168"/>
      <c r="BK327" s="168"/>
      <c r="BL327" s="96"/>
    </row>
    <row r="328" spans="18:64" ht="13.8" x14ac:dyDescent="0.25">
      <c r="R328" s="72"/>
      <c r="S328" s="72"/>
      <c r="T328" s="102"/>
      <c r="U328" s="102"/>
      <c r="V328" s="102"/>
      <c r="W328" s="102"/>
      <c r="X328" s="72"/>
      <c r="Y328" s="168"/>
      <c r="Z328" s="102"/>
      <c r="AA328" s="102"/>
      <c r="AB328" s="168"/>
      <c r="AC328" s="168"/>
      <c r="AD328" s="96"/>
      <c r="AF328" s="72"/>
      <c r="AG328" s="72"/>
      <c r="AH328" s="72"/>
      <c r="AI328" s="72"/>
      <c r="AJ328" s="72"/>
      <c r="AK328" s="102"/>
      <c r="AL328" s="102"/>
      <c r="AM328" s="102"/>
      <c r="AN328" s="102"/>
      <c r="AO328" s="72"/>
      <c r="AP328" s="168"/>
      <c r="AQ328" s="102"/>
      <c r="AR328" s="102"/>
      <c r="AS328" s="168"/>
      <c r="AT328" s="168"/>
      <c r="AU328" s="96"/>
      <c r="AW328" s="72"/>
      <c r="AX328" s="72"/>
      <c r="AY328" s="72"/>
      <c r="AZ328" s="72"/>
      <c r="BA328" s="72"/>
      <c r="BB328" s="102"/>
      <c r="BC328" s="102"/>
      <c r="BD328" s="102"/>
      <c r="BE328" s="102"/>
      <c r="BF328" s="72"/>
      <c r="BG328" s="168"/>
      <c r="BH328" s="102"/>
      <c r="BI328" s="102"/>
      <c r="BJ328" s="168"/>
      <c r="BK328" s="168"/>
      <c r="BL328" s="96"/>
    </row>
    <row r="329" spans="18:64" ht="13.8" x14ac:dyDescent="0.25">
      <c r="R329" s="72"/>
      <c r="S329" s="72"/>
      <c r="T329" s="102"/>
      <c r="U329" s="102"/>
      <c r="V329" s="102"/>
      <c r="W329" s="102"/>
      <c r="X329" s="72"/>
      <c r="Y329" s="168"/>
      <c r="Z329" s="102"/>
      <c r="AA329" s="102"/>
      <c r="AB329" s="168"/>
      <c r="AC329" s="168"/>
      <c r="AD329" s="96"/>
      <c r="AF329" s="72"/>
      <c r="AG329" s="72"/>
      <c r="AH329" s="72"/>
      <c r="AI329" s="72"/>
      <c r="AJ329" s="72"/>
      <c r="AK329" s="102"/>
      <c r="AL329" s="102"/>
      <c r="AM329" s="102"/>
      <c r="AN329" s="102"/>
      <c r="AO329" s="72"/>
      <c r="AP329" s="168"/>
      <c r="AQ329" s="102"/>
      <c r="AR329" s="102"/>
      <c r="AS329" s="168"/>
      <c r="AT329" s="168"/>
      <c r="AU329" s="96"/>
      <c r="AW329" s="72"/>
      <c r="AX329" s="72"/>
      <c r="AY329" s="72"/>
      <c r="AZ329" s="72"/>
      <c r="BA329" s="72"/>
      <c r="BB329" s="102"/>
      <c r="BC329" s="102"/>
      <c r="BD329" s="102"/>
      <c r="BE329" s="102"/>
      <c r="BF329" s="72"/>
      <c r="BG329" s="168"/>
      <c r="BH329" s="102"/>
      <c r="BI329" s="102"/>
      <c r="BJ329" s="168"/>
      <c r="BK329" s="168"/>
      <c r="BL329" s="96"/>
    </row>
    <row r="330" spans="18:64" ht="13.8" x14ac:dyDescent="0.25">
      <c r="R330" s="72"/>
      <c r="S330" s="72"/>
      <c r="T330" s="102"/>
      <c r="U330" s="102"/>
      <c r="V330" s="102"/>
      <c r="W330" s="102"/>
      <c r="X330" s="72"/>
      <c r="Y330" s="168"/>
      <c r="Z330" s="102"/>
      <c r="AA330" s="102"/>
      <c r="AB330" s="168"/>
      <c r="AC330" s="168"/>
      <c r="AD330" s="96"/>
      <c r="AF330" s="72"/>
      <c r="AG330" s="72"/>
      <c r="AH330" s="72"/>
      <c r="AI330" s="72"/>
      <c r="AJ330" s="105"/>
      <c r="AK330" s="105"/>
      <c r="AL330" s="97"/>
      <c r="AM330" s="102"/>
      <c r="AN330" s="102"/>
      <c r="AO330" s="102"/>
      <c r="AP330" s="102"/>
      <c r="AQ330" s="102"/>
      <c r="AR330" s="102"/>
      <c r="AS330" s="168"/>
      <c r="AT330" s="168"/>
      <c r="AU330" s="96"/>
      <c r="AW330" s="72"/>
      <c r="AX330" s="72"/>
      <c r="AY330" s="72"/>
      <c r="AZ330" s="72"/>
      <c r="BA330" s="105"/>
      <c r="BB330" s="105"/>
      <c r="BC330" s="97"/>
      <c r="BD330" s="102"/>
      <c r="BE330" s="102"/>
      <c r="BF330" s="102"/>
      <c r="BG330" s="102"/>
      <c r="BH330" s="102"/>
      <c r="BI330" s="102"/>
      <c r="BJ330" s="168"/>
      <c r="BK330" s="168"/>
      <c r="BL330" s="96"/>
    </row>
    <row r="331" spans="18:64" ht="13.8" x14ac:dyDescent="0.25">
      <c r="R331" s="72"/>
      <c r="S331" s="72"/>
      <c r="T331" s="102"/>
      <c r="U331" s="102"/>
      <c r="V331" s="102"/>
      <c r="W331" s="102"/>
      <c r="X331" s="72"/>
      <c r="Y331" s="168"/>
      <c r="Z331" s="102"/>
      <c r="AA331" s="102"/>
      <c r="AB331" s="168"/>
      <c r="AC331" s="168"/>
      <c r="AD331" s="96"/>
      <c r="AF331" s="72"/>
      <c r="AG331" s="72"/>
      <c r="AH331" s="72"/>
      <c r="AI331" s="72"/>
      <c r="AJ331" s="72"/>
      <c r="AK331" s="102"/>
      <c r="AL331" s="102"/>
      <c r="AM331" s="102"/>
      <c r="AN331" s="102"/>
      <c r="AO331" s="72"/>
      <c r="AP331" s="168"/>
      <c r="AQ331" s="102"/>
      <c r="AR331" s="102"/>
      <c r="AS331" s="168"/>
      <c r="AT331" s="168"/>
      <c r="AU331" s="96"/>
      <c r="AW331" s="72"/>
      <c r="AX331" s="72"/>
      <c r="AY331" s="72"/>
      <c r="AZ331" s="72"/>
      <c r="BA331" s="72"/>
      <c r="BB331" s="102"/>
      <c r="BC331" s="102"/>
      <c r="BD331" s="102"/>
      <c r="BE331" s="102"/>
      <c r="BF331" s="72"/>
      <c r="BG331" s="168"/>
      <c r="BH331" s="102"/>
      <c r="BI331" s="102"/>
      <c r="BJ331" s="168"/>
      <c r="BK331" s="168"/>
      <c r="BL331" s="96"/>
    </row>
    <row r="332" spans="18:64" ht="13.8" x14ac:dyDescent="0.25">
      <c r="R332" s="72"/>
      <c r="S332" s="72"/>
      <c r="T332" s="102"/>
      <c r="U332" s="102"/>
      <c r="V332" s="102"/>
      <c r="W332" s="102"/>
      <c r="X332" s="72"/>
      <c r="Y332" s="168"/>
      <c r="Z332" s="102"/>
      <c r="AA332" s="102"/>
      <c r="AB332" s="168"/>
      <c r="AC332" s="168"/>
      <c r="AD332" s="96"/>
      <c r="AF332" s="72"/>
      <c r="AG332" s="72"/>
      <c r="AH332" s="72"/>
      <c r="AI332" s="72"/>
      <c r="AJ332" s="72"/>
      <c r="AK332" s="102"/>
      <c r="AL332" s="102"/>
      <c r="AM332" s="102"/>
      <c r="AN332" s="102"/>
      <c r="AO332" s="72"/>
      <c r="AP332" s="168"/>
      <c r="AQ332" s="102"/>
      <c r="AR332" s="102"/>
      <c r="AS332" s="168"/>
      <c r="AT332" s="168"/>
      <c r="AU332" s="96"/>
      <c r="AW332" s="72"/>
      <c r="AX332" s="72"/>
      <c r="AY332" s="72"/>
      <c r="AZ332" s="72"/>
      <c r="BA332" s="72"/>
      <c r="BB332" s="102"/>
      <c r="BC332" s="102"/>
      <c r="BD332" s="102"/>
      <c r="BE332" s="102"/>
      <c r="BF332" s="72"/>
      <c r="BG332" s="168"/>
      <c r="BH332" s="102"/>
      <c r="BI332" s="102"/>
      <c r="BJ332" s="168"/>
      <c r="BK332" s="168"/>
      <c r="BL332" s="96"/>
    </row>
    <row r="333" spans="18:64" ht="13.8" x14ac:dyDescent="0.25">
      <c r="R333" s="72"/>
      <c r="S333" s="72"/>
      <c r="T333" s="102"/>
      <c r="U333" s="102"/>
      <c r="V333" s="102"/>
      <c r="W333" s="102"/>
      <c r="X333" s="72"/>
      <c r="Y333" s="168"/>
      <c r="Z333" s="102"/>
      <c r="AA333" s="102"/>
      <c r="AB333" s="168"/>
      <c r="AC333" s="168"/>
      <c r="AD333" s="96"/>
      <c r="AF333" s="72"/>
      <c r="AG333" s="72"/>
      <c r="AH333" s="72"/>
      <c r="AI333" s="72"/>
      <c r="AJ333" s="72"/>
      <c r="AK333" s="102"/>
      <c r="AL333" s="102"/>
      <c r="AM333" s="102"/>
      <c r="AN333" s="102"/>
      <c r="AO333" s="72"/>
      <c r="AP333" s="168"/>
      <c r="AQ333" s="102"/>
      <c r="AR333" s="102"/>
      <c r="AS333" s="168"/>
      <c r="AT333" s="168"/>
      <c r="AU333" s="96"/>
      <c r="AW333" s="72"/>
      <c r="AX333" s="72"/>
      <c r="AY333" s="72"/>
      <c r="AZ333" s="72"/>
      <c r="BA333" s="72"/>
      <c r="BB333" s="102"/>
      <c r="BC333" s="102"/>
      <c r="BD333" s="102"/>
      <c r="BE333" s="102"/>
      <c r="BF333" s="72"/>
      <c r="BG333" s="168"/>
      <c r="BH333" s="102"/>
      <c r="BI333" s="102"/>
      <c r="BJ333" s="168"/>
      <c r="BK333" s="168"/>
      <c r="BL333" s="96"/>
    </row>
    <row r="334" spans="18:64" ht="13.8" x14ac:dyDescent="0.25">
      <c r="R334" s="72"/>
      <c r="S334" s="72"/>
      <c r="T334" s="102"/>
      <c r="U334" s="102"/>
      <c r="V334" s="102"/>
      <c r="W334" s="102"/>
      <c r="X334" s="72"/>
      <c r="Y334" s="168"/>
      <c r="Z334" s="102"/>
      <c r="AA334" s="102"/>
      <c r="AB334" s="168"/>
      <c r="AC334" s="168"/>
      <c r="AD334" s="96"/>
      <c r="AF334" s="72"/>
      <c r="AG334" s="72"/>
      <c r="AH334" s="72"/>
      <c r="AI334" s="72"/>
      <c r="AJ334" s="72"/>
      <c r="AK334" s="102"/>
      <c r="AL334" s="102"/>
      <c r="AM334" s="102"/>
      <c r="AN334" s="102"/>
      <c r="AO334" s="72"/>
      <c r="AP334" s="168"/>
      <c r="AQ334" s="102"/>
      <c r="AR334" s="102"/>
      <c r="AS334" s="168"/>
      <c r="AT334" s="168"/>
      <c r="AU334" s="96"/>
      <c r="AW334" s="72"/>
      <c r="AX334" s="72"/>
      <c r="AY334" s="72"/>
      <c r="AZ334" s="72"/>
      <c r="BA334" s="72"/>
      <c r="BB334" s="102"/>
      <c r="BC334" s="102"/>
      <c r="BD334" s="102"/>
      <c r="BE334" s="102"/>
      <c r="BF334" s="72"/>
      <c r="BG334" s="168"/>
      <c r="BH334" s="102"/>
      <c r="BI334" s="102"/>
      <c r="BJ334" s="168"/>
      <c r="BK334" s="168"/>
      <c r="BL334" s="96"/>
    </row>
    <row r="335" spans="18:64" ht="13.8" x14ac:dyDescent="0.25">
      <c r="R335" s="72"/>
      <c r="S335" s="72"/>
      <c r="T335" s="102"/>
      <c r="U335" s="102"/>
      <c r="V335" s="102"/>
      <c r="W335" s="102"/>
      <c r="X335" s="72"/>
      <c r="Y335" s="168"/>
      <c r="Z335" s="102"/>
      <c r="AA335" s="102"/>
      <c r="AB335" s="168"/>
      <c r="AC335" s="168"/>
      <c r="AD335" s="96"/>
      <c r="AF335" s="72"/>
      <c r="AG335" s="72"/>
      <c r="AH335" s="72"/>
      <c r="AI335" s="72"/>
      <c r="AJ335" s="72"/>
      <c r="AK335" s="102"/>
      <c r="AL335" s="102"/>
      <c r="AM335" s="102"/>
      <c r="AN335" s="102"/>
      <c r="AO335" s="72"/>
      <c r="AP335" s="168"/>
      <c r="AQ335" s="102"/>
      <c r="AR335" s="102"/>
      <c r="AS335" s="168"/>
      <c r="AT335" s="168"/>
      <c r="AU335" s="96"/>
      <c r="AW335" s="72"/>
      <c r="AX335" s="72"/>
      <c r="AY335" s="72"/>
      <c r="AZ335" s="72"/>
      <c r="BA335" s="72"/>
      <c r="BB335" s="102"/>
      <c r="BC335" s="102"/>
      <c r="BD335" s="102"/>
      <c r="BE335" s="102"/>
      <c r="BF335" s="72"/>
      <c r="BG335" s="168"/>
      <c r="BH335" s="102"/>
      <c r="BI335" s="102"/>
      <c r="BJ335" s="168"/>
      <c r="BK335" s="168"/>
      <c r="BL335" s="96"/>
    </row>
    <row r="336" spans="18:64" ht="13.8" x14ac:dyDescent="0.25">
      <c r="R336" s="72"/>
      <c r="S336" s="72"/>
      <c r="T336" s="102"/>
      <c r="U336" s="102"/>
      <c r="V336" s="102"/>
      <c r="W336" s="102"/>
      <c r="X336" s="72"/>
      <c r="Y336" s="168"/>
      <c r="Z336" s="102"/>
      <c r="AA336" s="102"/>
      <c r="AB336" s="168"/>
      <c r="AC336" s="168"/>
      <c r="AD336" s="96"/>
      <c r="AF336" s="72"/>
      <c r="AG336" s="72"/>
      <c r="AH336" s="72"/>
      <c r="AI336" s="72"/>
      <c r="AJ336" s="72"/>
      <c r="AK336" s="102"/>
      <c r="AL336" s="102"/>
      <c r="AM336" s="102"/>
      <c r="AN336" s="102"/>
      <c r="AO336" s="72"/>
      <c r="AP336" s="168"/>
      <c r="AQ336" s="102"/>
      <c r="AR336" s="102"/>
      <c r="AS336" s="168"/>
      <c r="AT336" s="168"/>
      <c r="AU336" s="96"/>
      <c r="AW336" s="72"/>
      <c r="AX336" s="72"/>
      <c r="AY336" s="72"/>
      <c r="AZ336" s="72"/>
      <c r="BA336" s="72"/>
      <c r="BB336" s="102"/>
      <c r="BC336" s="102"/>
      <c r="BD336" s="102"/>
      <c r="BE336" s="102"/>
      <c r="BF336" s="72"/>
      <c r="BG336" s="168"/>
      <c r="BH336" s="102"/>
      <c r="BI336" s="102"/>
      <c r="BJ336" s="168"/>
      <c r="BK336" s="168"/>
      <c r="BL336" s="96"/>
    </row>
    <row r="337" spans="17:64" ht="13.8" x14ac:dyDescent="0.25">
      <c r="R337" s="72"/>
      <c r="S337" s="72"/>
      <c r="T337" s="102"/>
      <c r="U337" s="102"/>
      <c r="V337" s="102"/>
      <c r="W337" s="102"/>
      <c r="X337" s="72"/>
      <c r="Y337" s="168"/>
      <c r="Z337" s="102"/>
      <c r="AA337" s="102"/>
      <c r="AB337" s="168"/>
      <c r="AC337" s="168"/>
      <c r="AD337" s="96"/>
      <c r="AF337" s="72"/>
      <c r="AG337" s="72"/>
      <c r="AH337" s="72"/>
      <c r="AI337" s="72"/>
      <c r="AJ337" s="72"/>
      <c r="AK337" s="102"/>
      <c r="AL337" s="102"/>
      <c r="AM337" s="102"/>
      <c r="AN337" s="102"/>
      <c r="AO337" s="72"/>
      <c r="AP337" s="168"/>
      <c r="AQ337" s="102"/>
      <c r="AR337" s="102"/>
      <c r="AS337" s="168"/>
      <c r="AT337" s="168"/>
      <c r="AU337" s="96"/>
      <c r="AW337" s="72"/>
      <c r="AX337" s="72"/>
      <c r="AY337" s="72"/>
      <c r="AZ337" s="72"/>
      <c r="BA337" s="72"/>
      <c r="BB337" s="102"/>
      <c r="BC337" s="102"/>
      <c r="BD337" s="102"/>
      <c r="BE337" s="102"/>
      <c r="BF337" s="72"/>
      <c r="BG337" s="168"/>
      <c r="BH337" s="102"/>
      <c r="BI337" s="102"/>
      <c r="BJ337" s="168"/>
      <c r="BK337" s="168"/>
      <c r="BL337" s="96"/>
    </row>
    <row r="338" spans="17:64" ht="13.8" x14ac:dyDescent="0.25">
      <c r="R338" s="72"/>
      <c r="S338" s="72"/>
      <c r="T338" s="102"/>
      <c r="U338" s="102"/>
      <c r="V338" s="102"/>
      <c r="W338" s="102"/>
      <c r="X338" s="72"/>
      <c r="Y338" s="168"/>
      <c r="Z338" s="102"/>
      <c r="AA338" s="102"/>
      <c r="AB338" s="168"/>
      <c r="AC338" s="168"/>
      <c r="AD338" s="96"/>
      <c r="AF338" s="72"/>
      <c r="AG338" s="72"/>
      <c r="AH338" s="72"/>
      <c r="AI338" s="72"/>
      <c r="AJ338" s="72"/>
      <c r="AK338" s="102"/>
      <c r="AL338" s="102"/>
      <c r="AM338" s="102"/>
      <c r="AN338" s="102"/>
      <c r="AO338" s="72"/>
      <c r="AP338" s="168"/>
      <c r="AQ338" s="102"/>
      <c r="AR338" s="102"/>
      <c r="AS338" s="168"/>
      <c r="AT338" s="168"/>
      <c r="AU338" s="96"/>
      <c r="AW338" s="72"/>
      <c r="AX338" s="72"/>
      <c r="AY338" s="72"/>
      <c r="AZ338" s="72"/>
      <c r="BA338" s="72"/>
      <c r="BB338" s="102"/>
      <c r="BC338" s="102"/>
      <c r="BD338" s="102"/>
      <c r="BE338" s="102"/>
      <c r="BF338" s="72"/>
      <c r="BG338" s="168"/>
      <c r="BH338" s="102"/>
      <c r="BI338" s="102"/>
      <c r="BJ338" s="168"/>
      <c r="BK338" s="168"/>
      <c r="BL338" s="96"/>
    </row>
    <row r="339" spans="17:64" ht="13.8" x14ac:dyDescent="0.25">
      <c r="R339" s="72"/>
      <c r="S339" s="105"/>
      <c r="T339" s="105"/>
      <c r="U339" s="97"/>
      <c r="V339" s="102"/>
      <c r="W339" s="102"/>
      <c r="X339" s="72"/>
      <c r="Y339" s="72"/>
      <c r="Z339" s="72"/>
      <c r="AA339" s="102"/>
      <c r="AB339" s="168"/>
      <c r="AC339" s="168"/>
      <c r="AD339" s="96"/>
      <c r="AF339" s="72"/>
      <c r="AG339" s="72"/>
      <c r="AH339" s="72"/>
      <c r="AI339" s="72"/>
      <c r="AJ339" s="72"/>
      <c r="AK339" s="102"/>
      <c r="AL339" s="102"/>
      <c r="AM339" s="102"/>
      <c r="AN339" s="102"/>
      <c r="AO339" s="72"/>
      <c r="AP339" s="168"/>
      <c r="AQ339" s="102"/>
      <c r="AR339" s="102"/>
      <c r="AS339" s="168"/>
      <c r="AT339" s="168"/>
      <c r="AU339" s="96"/>
      <c r="AW339" s="72"/>
      <c r="AX339" s="72"/>
      <c r="AY339" s="72"/>
      <c r="AZ339" s="72"/>
      <c r="BA339" s="72"/>
      <c r="BB339" s="102"/>
      <c r="BC339" s="102"/>
      <c r="BD339" s="102"/>
      <c r="BE339" s="102"/>
      <c r="BF339" s="72"/>
      <c r="BG339" s="168"/>
      <c r="BH339" s="102"/>
      <c r="BI339" s="102"/>
      <c r="BJ339" s="168"/>
      <c r="BK339" s="168"/>
      <c r="BL339" s="96"/>
    </row>
    <row r="340" spans="17:64" ht="13.8" x14ac:dyDescent="0.25">
      <c r="R340" s="72"/>
      <c r="S340" s="72"/>
      <c r="T340" s="102"/>
      <c r="U340" s="102"/>
      <c r="V340" s="102"/>
      <c r="W340" s="102"/>
      <c r="X340" s="72"/>
      <c r="Y340" s="168"/>
      <c r="Z340" s="102"/>
      <c r="AA340" s="102"/>
      <c r="AB340" s="168"/>
      <c r="AC340" s="168"/>
      <c r="AD340" s="96"/>
      <c r="AF340" s="72"/>
      <c r="AG340" s="72"/>
      <c r="AH340" s="72"/>
      <c r="AI340" s="72"/>
      <c r="AJ340" s="72"/>
      <c r="AK340" s="102"/>
      <c r="AL340" s="102"/>
      <c r="AM340" s="102"/>
      <c r="AN340" s="102"/>
      <c r="AO340" s="72"/>
      <c r="AP340" s="168"/>
      <c r="AQ340" s="102"/>
      <c r="AR340" s="102"/>
      <c r="AS340" s="168"/>
      <c r="AT340" s="168"/>
      <c r="AU340" s="96"/>
      <c r="AW340" s="72"/>
      <c r="AX340" s="72"/>
      <c r="AY340" s="72"/>
      <c r="AZ340" s="72"/>
      <c r="BA340" s="72"/>
      <c r="BB340" s="102"/>
      <c r="BC340" s="102"/>
      <c r="BD340" s="102"/>
      <c r="BE340" s="102"/>
      <c r="BF340" s="72"/>
      <c r="BG340" s="168"/>
      <c r="BH340" s="102"/>
      <c r="BI340" s="102"/>
      <c r="BJ340" s="168"/>
      <c r="BK340" s="168"/>
      <c r="BL340" s="96"/>
    </row>
    <row r="341" spans="17:64" ht="13.8" x14ac:dyDescent="0.25">
      <c r="R341" s="72"/>
      <c r="S341" s="72"/>
      <c r="T341" s="102"/>
      <c r="U341" s="102"/>
      <c r="V341" s="102"/>
      <c r="W341" s="102"/>
      <c r="X341" s="72"/>
      <c r="Y341" s="168"/>
      <c r="Z341" s="102"/>
      <c r="AA341" s="102"/>
      <c r="AB341" s="168"/>
      <c r="AC341" s="168"/>
      <c r="AD341" s="96"/>
      <c r="AF341" s="72"/>
      <c r="AG341" s="72"/>
      <c r="AH341" s="72"/>
      <c r="AI341" s="72"/>
      <c r="AJ341" s="72"/>
      <c r="AK341" s="102"/>
      <c r="AL341" s="102"/>
      <c r="AM341" s="102"/>
      <c r="AN341" s="102"/>
      <c r="AO341" s="72"/>
      <c r="AP341" s="168"/>
      <c r="AQ341" s="102"/>
      <c r="AR341" s="102"/>
      <c r="AS341" s="168"/>
      <c r="AT341" s="168"/>
      <c r="AU341" s="96"/>
      <c r="AW341" s="72"/>
      <c r="AX341" s="72"/>
      <c r="AY341" s="72"/>
      <c r="AZ341" s="72"/>
      <c r="BA341" s="72"/>
      <c r="BB341" s="102"/>
      <c r="BC341" s="102"/>
      <c r="BD341" s="102"/>
      <c r="BE341" s="102"/>
      <c r="BF341" s="72"/>
      <c r="BG341" s="168"/>
      <c r="BH341" s="102"/>
      <c r="BI341" s="102"/>
      <c r="BJ341" s="168"/>
      <c r="BK341" s="168"/>
      <c r="BL341" s="96"/>
    </row>
    <row r="342" spans="17:64" ht="13.8" x14ac:dyDescent="0.25">
      <c r="R342" s="72"/>
      <c r="S342" s="72"/>
      <c r="T342" s="102"/>
      <c r="U342" s="102"/>
      <c r="V342" s="102"/>
      <c r="W342" s="102"/>
      <c r="X342" s="72"/>
      <c r="Y342" s="168"/>
      <c r="Z342" s="102"/>
      <c r="AA342" s="102"/>
      <c r="AB342" s="168"/>
      <c r="AC342" s="168"/>
      <c r="AD342" s="96"/>
      <c r="AF342" s="72"/>
      <c r="AG342" s="72"/>
      <c r="AH342" s="72"/>
      <c r="AI342" s="72"/>
      <c r="AJ342" s="72"/>
      <c r="AK342" s="102"/>
      <c r="AL342" s="102"/>
      <c r="AM342" s="102"/>
      <c r="AN342" s="102"/>
      <c r="AO342" s="72"/>
      <c r="AP342" s="168"/>
      <c r="AQ342" s="102"/>
      <c r="AR342" s="102"/>
      <c r="AS342" s="168"/>
      <c r="AT342" s="168"/>
      <c r="AU342" s="96"/>
      <c r="AW342" s="72"/>
      <c r="AX342" s="72"/>
      <c r="AY342" s="72"/>
      <c r="AZ342" s="72"/>
      <c r="BA342" s="72"/>
      <c r="BB342" s="102"/>
      <c r="BC342" s="102"/>
      <c r="BD342" s="102"/>
      <c r="BE342" s="102"/>
      <c r="BF342" s="72"/>
      <c r="BG342" s="168"/>
      <c r="BH342" s="102"/>
      <c r="BI342" s="102"/>
      <c r="BJ342" s="168"/>
      <c r="BK342" s="168"/>
      <c r="BL342" s="96"/>
    </row>
    <row r="343" spans="17:64" ht="13.8" x14ac:dyDescent="0.25">
      <c r="R343" s="72"/>
      <c r="S343" s="72"/>
      <c r="T343" s="102"/>
      <c r="U343" s="102"/>
      <c r="V343" s="102"/>
      <c r="W343" s="102"/>
      <c r="X343" s="72"/>
      <c r="Y343" s="168"/>
      <c r="Z343" s="102"/>
      <c r="AA343" s="102"/>
      <c r="AB343" s="168"/>
      <c r="AC343" s="168"/>
      <c r="AD343" s="96"/>
      <c r="AF343" s="72"/>
      <c r="AG343" s="72"/>
      <c r="AH343" s="72"/>
      <c r="AI343" s="72"/>
      <c r="AJ343" s="72"/>
      <c r="AK343" s="102"/>
      <c r="AL343" s="102"/>
      <c r="AM343" s="102"/>
      <c r="AN343" s="102"/>
      <c r="AO343" s="72"/>
      <c r="AP343" s="168"/>
      <c r="AQ343" s="102"/>
      <c r="AR343" s="102"/>
      <c r="AS343" s="168"/>
      <c r="AT343" s="168"/>
      <c r="AU343" s="96"/>
      <c r="AW343" s="72"/>
      <c r="AX343" s="72"/>
      <c r="AY343" s="72"/>
      <c r="AZ343" s="72"/>
      <c r="BA343" s="72"/>
      <c r="BB343" s="102"/>
      <c r="BC343" s="102"/>
      <c r="BD343" s="102"/>
      <c r="BE343" s="102"/>
      <c r="BF343" s="72"/>
      <c r="BG343" s="168"/>
      <c r="BH343" s="102"/>
      <c r="BI343" s="102"/>
      <c r="BJ343" s="168"/>
      <c r="BK343" s="168"/>
      <c r="BL343" s="96"/>
    </row>
    <row r="344" spans="17:64" ht="13.8" x14ac:dyDescent="0.25">
      <c r="R344" s="72"/>
      <c r="S344" s="72"/>
      <c r="T344" s="102"/>
      <c r="U344" s="102"/>
      <c r="V344" s="102"/>
      <c r="W344" s="102"/>
      <c r="X344" s="72"/>
      <c r="Y344" s="168"/>
      <c r="Z344" s="102"/>
      <c r="AA344" s="102"/>
      <c r="AB344" s="168"/>
      <c r="AC344" s="168"/>
      <c r="AD344" s="96"/>
      <c r="AF344" s="72"/>
      <c r="AG344" s="72"/>
      <c r="AH344" s="72"/>
      <c r="AI344" s="72"/>
      <c r="AJ344" s="72"/>
      <c r="AK344" s="102"/>
      <c r="AL344" s="102"/>
      <c r="AM344" s="102"/>
      <c r="AN344" s="102"/>
      <c r="AO344" s="72"/>
      <c r="AP344" s="168"/>
      <c r="AQ344" s="102"/>
      <c r="AR344" s="102"/>
      <c r="AS344" s="168"/>
      <c r="AT344" s="168"/>
      <c r="AU344" s="96"/>
      <c r="AW344" s="72"/>
      <c r="AX344" s="72"/>
      <c r="AY344" s="72"/>
      <c r="AZ344" s="72"/>
      <c r="BA344" s="72"/>
      <c r="BB344" s="102"/>
      <c r="BC344" s="102"/>
      <c r="BD344" s="102"/>
      <c r="BE344" s="102"/>
      <c r="BF344" s="72"/>
      <c r="BG344" s="168"/>
      <c r="BH344" s="102"/>
      <c r="BI344" s="102"/>
      <c r="BJ344" s="168"/>
      <c r="BK344" s="168"/>
      <c r="BL344" s="96"/>
    </row>
    <row r="345" spans="17:64" ht="13.8" x14ac:dyDescent="0.25">
      <c r="R345" s="72"/>
      <c r="S345" s="72"/>
      <c r="T345" s="102"/>
      <c r="U345" s="102"/>
      <c r="V345" s="102"/>
      <c r="W345" s="102"/>
      <c r="X345" s="72"/>
      <c r="Y345" s="168"/>
      <c r="Z345" s="102"/>
      <c r="AA345" s="102"/>
      <c r="AB345" s="168"/>
      <c r="AC345" s="168"/>
      <c r="AD345" s="96"/>
      <c r="AF345" s="72"/>
      <c r="AG345" s="72"/>
      <c r="AH345" s="72"/>
      <c r="AI345" s="72"/>
      <c r="AJ345" s="72"/>
      <c r="AK345" s="102"/>
      <c r="AL345" s="102"/>
      <c r="AM345" s="102"/>
      <c r="AN345" s="102"/>
      <c r="AO345" s="72"/>
      <c r="AP345" s="168"/>
      <c r="AQ345" s="102"/>
      <c r="AR345" s="102"/>
      <c r="AS345" s="168"/>
      <c r="AT345" s="168"/>
      <c r="AU345" s="96"/>
      <c r="AW345" s="72"/>
      <c r="AX345" s="72"/>
      <c r="AY345" s="72"/>
      <c r="AZ345" s="72"/>
      <c r="BA345" s="72"/>
      <c r="BB345" s="102"/>
      <c r="BC345" s="102"/>
      <c r="BD345" s="102"/>
      <c r="BE345" s="102"/>
      <c r="BF345" s="72"/>
      <c r="BG345" s="168"/>
      <c r="BH345" s="102"/>
      <c r="BI345" s="102"/>
      <c r="BJ345" s="168"/>
      <c r="BK345" s="168"/>
      <c r="BL345" s="96"/>
    </row>
    <row r="346" spans="17:64" ht="13.8" x14ac:dyDescent="0.25">
      <c r="R346" s="72"/>
      <c r="S346" s="72"/>
      <c r="T346" s="102"/>
      <c r="U346" s="102"/>
      <c r="V346" s="102"/>
      <c r="W346" s="102"/>
      <c r="X346" s="72"/>
      <c r="Y346" s="168"/>
      <c r="Z346" s="102"/>
      <c r="AA346" s="102"/>
      <c r="AB346" s="168"/>
      <c r="AC346" s="168"/>
      <c r="AD346" s="96"/>
      <c r="AF346" s="72"/>
      <c r="AG346" s="72"/>
      <c r="AH346" s="72"/>
      <c r="AI346" s="72"/>
      <c r="AJ346" s="72"/>
      <c r="AK346" s="102"/>
      <c r="AL346" s="102"/>
      <c r="AM346" s="102"/>
      <c r="AN346" s="102"/>
      <c r="AO346" s="72"/>
      <c r="AP346" s="168"/>
      <c r="AQ346" s="102"/>
      <c r="AR346" s="102"/>
      <c r="AS346" s="168"/>
      <c r="AT346" s="168"/>
      <c r="AU346" s="96"/>
      <c r="AW346" s="72"/>
      <c r="AX346" s="72"/>
      <c r="AY346" s="72"/>
      <c r="AZ346" s="72"/>
      <c r="BA346" s="72"/>
      <c r="BB346" s="102"/>
      <c r="BC346" s="102"/>
      <c r="BD346" s="102"/>
      <c r="BE346" s="102"/>
      <c r="BF346" s="72"/>
      <c r="BG346" s="168"/>
      <c r="BH346" s="102"/>
      <c r="BI346" s="102"/>
      <c r="BJ346" s="168"/>
      <c r="BK346" s="168"/>
      <c r="BL346" s="96"/>
    </row>
    <row r="347" spans="17:64" ht="13.8" x14ac:dyDescent="0.25">
      <c r="R347" s="72"/>
      <c r="S347" s="72"/>
      <c r="T347" s="102"/>
      <c r="U347" s="102"/>
      <c r="V347" s="102"/>
      <c r="W347" s="102"/>
      <c r="X347" s="72"/>
      <c r="Y347" s="168"/>
      <c r="Z347" s="102"/>
      <c r="AA347" s="102"/>
      <c r="AB347" s="168"/>
      <c r="AC347" s="168"/>
      <c r="AD347" s="96"/>
      <c r="AF347" s="72"/>
      <c r="AG347" s="72"/>
      <c r="AH347" s="72"/>
      <c r="AI347" s="72"/>
      <c r="AJ347" s="72"/>
      <c r="AK347" s="102"/>
      <c r="AL347" s="102"/>
      <c r="AM347" s="102"/>
      <c r="AN347" s="102"/>
      <c r="AO347" s="72"/>
      <c r="AP347" s="168"/>
      <c r="AQ347" s="102"/>
      <c r="AR347" s="102"/>
      <c r="AS347" s="168"/>
      <c r="AT347" s="168"/>
      <c r="AU347" s="96"/>
      <c r="AW347" s="72"/>
      <c r="AX347" s="72"/>
      <c r="AY347" s="72"/>
      <c r="AZ347" s="72"/>
      <c r="BA347" s="72"/>
      <c r="BB347" s="102"/>
      <c r="BC347" s="102"/>
      <c r="BD347" s="102"/>
      <c r="BE347" s="102"/>
      <c r="BF347" s="72"/>
      <c r="BG347" s="168"/>
      <c r="BH347" s="102"/>
      <c r="BI347" s="102"/>
      <c r="BJ347" s="168"/>
      <c r="BK347" s="168"/>
      <c r="BL347" s="96"/>
    </row>
    <row r="348" spans="17:64" ht="13.8" x14ac:dyDescent="0.25">
      <c r="R348" s="72"/>
      <c r="S348" s="72"/>
      <c r="T348" s="102"/>
      <c r="U348" s="102"/>
      <c r="V348" s="102"/>
      <c r="W348" s="102"/>
      <c r="X348" s="72"/>
      <c r="Y348" s="168"/>
      <c r="Z348" s="102"/>
      <c r="AA348" s="102"/>
      <c r="AB348" s="168"/>
      <c r="AC348" s="168"/>
      <c r="AD348" s="96"/>
      <c r="AF348" s="72"/>
      <c r="AG348" s="72"/>
      <c r="AH348" s="72"/>
      <c r="AI348" s="72"/>
      <c r="AJ348" s="72"/>
      <c r="AK348" s="102"/>
      <c r="AL348" s="102"/>
      <c r="AM348" s="102"/>
      <c r="AN348" s="102"/>
      <c r="AO348" s="72"/>
      <c r="AP348" s="168"/>
      <c r="AQ348" s="102"/>
      <c r="AR348" s="102"/>
      <c r="AS348" s="168"/>
      <c r="AT348" s="102"/>
      <c r="AU348" s="96"/>
      <c r="AW348" s="72"/>
      <c r="AX348" s="72"/>
      <c r="AY348" s="72"/>
      <c r="AZ348" s="72"/>
      <c r="BA348" s="72"/>
      <c r="BB348" s="102"/>
      <c r="BC348" s="102"/>
      <c r="BD348" s="102"/>
      <c r="BE348" s="102"/>
      <c r="BF348" s="72"/>
      <c r="BG348" s="168"/>
      <c r="BH348" s="102"/>
      <c r="BI348" s="102"/>
      <c r="BJ348" s="102"/>
      <c r="BK348" s="102"/>
      <c r="BL348" s="96"/>
    </row>
    <row r="349" spans="17:64" ht="13.8" x14ac:dyDescent="0.25">
      <c r="R349" s="72"/>
      <c r="S349" s="72"/>
      <c r="T349" s="102"/>
      <c r="U349" s="102"/>
      <c r="V349" s="102"/>
      <c r="W349" s="102"/>
      <c r="X349" s="72"/>
      <c r="Y349" s="168"/>
      <c r="Z349" s="102"/>
      <c r="AA349" s="102"/>
      <c r="AB349" s="168"/>
    </row>
    <row r="350" spans="17:64" ht="13.8" x14ac:dyDescent="0.25">
      <c r="R350" s="72"/>
      <c r="S350" s="72"/>
      <c r="T350" s="102"/>
      <c r="U350" s="102"/>
      <c r="V350" s="102"/>
      <c r="W350" s="102"/>
      <c r="X350" s="72"/>
      <c r="Y350" s="168"/>
      <c r="Z350" s="102"/>
      <c r="AA350" s="102"/>
      <c r="AB350" s="168"/>
    </row>
    <row r="351" spans="17:64" ht="13.8" x14ac:dyDescent="0.25">
      <c r="R351" s="72"/>
      <c r="S351" s="72"/>
      <c r="T351" s="102"/>
      <c r="U351" s="102"/>
      <c r="V351" s="102"/>
      <c r="W351" s="102"/>
      <c r="X351" s="72"/>
      <c r="Y351" s="168"/>
      <c r="Z351" s="102"/>
      <c r="AA351" s="102"/>
      <c r="AB351" s="168"/>
    </row>
    <row r="352" spans="17:64" ht="17.399999999999999" x14ac:dyDescent="0.3">
      <c r="Q352" s="170"/>
      <c r="R352" s="72"/>
      <c r="S352" s="72"/>
      <c r="T352" s="102"/>
      <c r="U352" s="102"/>
      <c r="V352" s="102"/>
      <c r="W352" s="102"/>
      <c r="X352" s="72"/>
      <c r="Y352" s="168"/>
      <c r="Z352" s="102"/>
      <c r="AA352" s="102"/>
    </row>
    <row r="353" spans="17:70" ht="17.399999999999999" x14ac:dyDescent="0.3">
      <c r="Q353" s="170"/>
      <c r="R353" s="72"/>
      <c r="S353" s="72"/>
      <c r="T353" s="102"/>
      <c r="U353" s="102"/>
      <c r="V353" s="102"/>
      <c r="W353" s="102"/>
      <c r="X353" s="72"/>
      <c r="Y353" s="168"/>
      <c r="Z353" s="102"/>
      <c r="AA353" s="102"/>
    </row>
    <row r="354" spans="17:70" ht="13.8" x14ac:dyDescent="0.25">
      <c r="R354" s="72"/>
      <c r="S354" s="72"/>
      <c r="T354" s="102"/>
      <c r="U354" s="102"/>
      <c r="V354" s="102"/>
      <c r="W354" s="102"/>
      <c r="X354" s="72"/>
      <c r="Y354" s="168"/>
      <c r="Z354" s="102"/>
      <c r="AA354" s="102"/>
    </row>
    <row r="355" spans="17:70" ht="13.8" x14ac:dyDescent="0.25">
      <c r="R355" s="72"/>
      <c r="S355" s="72"/>
      <c r="T355" s="102"/>
      <c r="U355" s="102"/>
      <c r="V355" s="102"/>
      <c r="W355" s="102"/>
      <c r="X355" s="72"/>
      <c r="Y355" s="168"/>
      <c r="Z355" s="102"/>
      <c r="AA355" s="102"/>
    </row>
    <row r="356" spans="17:70" ht="13.8" x14ac:dyDescent="0.25">
      <c r="Q356" s="72"/>
      <c r="R356" s="72"/>
      <c r="S356" s="72"/>
      <c r="T356" s="102"/>
      <c r="U356" s="102"/>
      <c r="V356" s="102"/>
      <c r="W356" s="102"/>
      <c r="X356" s="72"/>
      <c r="Y356" s="168"/>
      <c r="Z356" s="102"/>
      <c r="AA356" s="102"/>
      <c r="AC356" s="72"/>
      <c r="AD356" s="72"/>
      <c r="AE356" s="72"/>
      <c r="AF356" s="72"/>
      <c r="AG356" s="72"/>
      <c r="AH356" s="72"/>
      <c r="AI356" s="72"/>
      <c r="AJ356" s="72"/>
      <c r="AK356" s="154"/>
      <c r="AL356" s="114"/>
      <c r="AM356" s="114"/>
      <c r="AN356" s="155"/>
      <c r="AO356" s="155"/>
      <c r="AP356" s="155"/>
      <c r="AQ356" s="155"/>
      <c r="AR356" s="72"/>
      <c r="AS356" s="72"/>
      <c r="AT356" s="72"/>
      <c r="AU356" s="72"/>
      <c r="AV356" s="72"/>
      <c r="AW356" s="72"/>
      <c r="AX356" s="72"/>
      <c r="AY356" s="72"/>
      <c r="BA356" s="72"/>
      <c r="BB356" s="72"/>
      <c r="BC356" s="72"/>
      <c r="BD356" s="154"/>
      <c r="BE356" s="114"/>
      <c r="BF356" s="114"/>
      <c r="BG356" s="155"/>
      <c r="BH356" s="155"/>
      <c r="BI356" s="155"/>
      <c r="BJ356" s="155"/>
      <c r="BK356" s="72"/>
      <c r="BL356" s="72"/>
      <c r="BM356" s="72"/>
      <c r="BN356" s="72"/>
      <c r="BO356" s="72"/>
      <c r="BP356" s="72"/>
      <c r="BQ356" s="72"/>
      <c r="BR356" s="72"/>
    </row>
    <row r="357" spans="17:70" ht="13.8" x14ac:dyDescent="0.25">
      <c r="Q357" s="72"/>
      <c r="R357" s="72"/>
      <c r="S357" s="72"/>
      <c r="T357" s="102"/>
      <c r="U357" s="102"/>
      <c r="V357" s="102"/>
      <c r="W357" s="102"/>
      <c r="X357" s="72"/>
      <c r="Y357" s="168"/>
      <c r="Z357" s="102"/>
      <c r="AA357" s="102"/>
      <c r="AC357" s="150"/>
      <c r="AD357" s="150"/>
      <c r="AE357" s="158"/>
      <c r="AF357" s="158"/>
      <c r="AH357" s="156"/>
      <c r="AI357" s="156"/>
      <c r="AJ357" s="156"/>
      <c r="AK357" s="156"/>
      <c r="AL357" s="156"/>
      <c r="AM357" s="157"/>
      <c r="AN357" s="150"/>
      <c r="AO357" s="150"/>
      <c r="AP357" s="150"/>
      <c r="AQ357" s="150"/>
      <c r="AR357" s="150"/>
      <c r="AS357" s="150"/>
      <c r="AT357" s="150"/>
      <c r="AU357" s="150"/>
      <c r="AV357" s="150"/>
      <c r="AW357" s="150"/>
      <c r="AX357" s="158"/>
      <c r="AY357" s="158"/>
      <c r="BA357" s="156"/>
      <c r="BB357" s="156"/>
      <c r="BC357" s="156"/>
      <c r="BD357" s="156"/>
      <c r="BE357" s="156"/>
      <c r="BF357" s="157"/>
      <c r="BG357" s="150"/>
      <c r="BH357" s="150"/>
      <c r="BI357" s="150"/>
      <c r="BJ357" s="150"/>
      <c r="BK357" s="150"/>
      <c r="BL357" s="150"/>
      <c r="BM357" s="150"/>
      <c r="BN357" s="150"/>
      <c r="BO357" s="150"/>
      <c r="BP357" s="150"/>
      <c r="BQ357" s="158"/>
      <c r="BR357" s="158"/>
    </row>
    <row r="358" spans="17:70" ht="13.8" x14ac:dyDescent="0.25">
      <c r="Q358" s="72"/>
      <c r="AC358" s="152"/>
      <c r="AD358" s="152"/>
      <c r="AE358" s="152"/>
      <c r="AF358" s="152"/>
      <c r="AG358" s="72"/>
      <c r="AH358" s="152"/>
      <c r="AI358" s="152"/>
      <c r="AJ358" s="152"/>
      <c r="AK358" s="152"/>
      <c r="AL358" s="152"/>
      <c r="AM358" s="101"/>
      <c r="AN358" s="152"/>
      <c r="AO358" s="152"/>
      <c r="AP358" s="152"/>
      <c r="AQ358" s="152"/>
      <c r="AR358" s="152"/>
      <c r="AS358" s="152"/>
      <c r="AT358" s="152"/>
      <c r="AU358" s="152"/>
      <c r="AV358" s="152"/>
      <c r="AW358" s="152"/>
      <c r="AX358" s="152"/>
      <c r="AY358" s="152"/>
      <c r="BA358" s="152"/>
      <c r="BB358" s="152"/>
      <c r="BC358" s="152"/>
      <c r="BD358" s="152"/>
      <c r="BE358" s="152"/>
      <c r="BF358" s="101"/>
      <c r="BG358" s="152"/>
      <c r="BH358" s="152"/>
      <c r="BI358" s="152"/>
      <c r="BJ358" s="152"/>
      <c r="BK358" s="152"/>
      <c r="BL358" s="152"/>
      <c r="BM358" s="152"/>
      <c r="BN358" s="152"/>
      <c r="BO358" s="152"/>
      <c r="BP358" s="152"/>
      <c r="BQ358" s="152"/>
      <c r="BR358" s="152"/>
    </row>
    <row r="359" spans="17:70" ht="15" x14ac:dyDescent="0.25">
      <c r="Q359" s="72"/>
      <c r="AB359" s="72"/>
      <c r="AC359" s="159"/>
      <c r="AD359" s="159"/>
      <c r="AE359" s="171"/>
      <c r="AF359" s="171"/>
      <c r="AG359" s="72"/>
      <c r="AH359" s="169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2"/>
      <c r="AT359" s="152"/>
      <c r="AU359" s="159"/>
      <c r="AV359" s="159"/>
      <c r="AW359" s="159"/>
      <c r="AX359" s="171"/>
      <c r="AY359" s="171"/>
      <c r="BA359" s="169"/>
      <c r="BB359" s="152"/>
      <c r="BC359" s="152"/>
      <c r="BD359" s="152"/>
      <c r="BE359" s="152"/>
      <c r="BF359" s="152"/>
      <c r="BG359" s="152"/>
      <c r="BH359" s="152"/>
      <c r="BI359" s="152"/>
      <c r="BJ359" s="152"/>
      <c r="BK359" s="152"/>
      <c r="BL359" s="152"/>
      <c r="BM359" s="152"/>
      <c r="BN359" s="159"/>
      <c r="BO359" s="159"/>
      <c r="BP359" s="159"/>
      <c r="BQ359" s="171"/>
      <c r="BR359" s="171"/>
    </row>
    <row r="360" spans="17:70" ht="13.8" x14ac:dyDescent="0.25">
      <c r="Q360" s="72"/>
      <c r="AB360" s="150"/>
      <c r="AC360" s="168"/>
      <c r="AD360" s="96"/>
      <c r="AE360" s="102"/>
      <c r="AF360" s="97"/>
      <c r="AG360" s="72"/>
      <c r="AH360" s="72"/>
      <c r="AI360" s="72"/>
      <c r="AJ360" s="72"/>
      <c r="AK360" s="72"/>
      <c r="AL360" s="72"/>
      <c r="AM360" s="105"/>
      <c r="AN360" s="168"/>
      <c r="AO360" s="96"/>
      <c r="AP360" s="168"/>
      <c r="AQ360" s="97"/>
      <c r="AR360" s="97"/>
      <c r="AS360" s="72"/>
      <c r="AT360" s="95"/>
      <c r="AU360" s="96"/>
      <c r="AV360" s="96"/>
      <c r="AW360" s="96"/>
      <c r="AX360" s="102"/>
      <c r="AY360" s="97"/>
      <c r="BA360" s="72"/>
      <c r="BB360" s="72"/>
      <c r="BC360" s="72"/>
      <c r="BD360" s="72"/>
      <c r="BE360" s="72"/>
      <c r="BF360" s="105"/>
      <c r="BG360" s="168"/>
      <c r="BH360" s="96"/>
      <c r="BI360" s="168"/>
      <c r="BJ360" s="97"/>
      <c r="BK360" s="97"/>
      <c r="BL360" s="72"/>
      <c r="BM360" s="95"/>
      <c r="BN360" s="96"/>
      <c r="BO360" s="96"/>
      <c r="BP360" s="96"/>
      <c r="BQ360" s="102"/>
      <c r="BR360" s="97"/>
    </row>
    <row r="361" spans="17:70" ht="17.399999999999999" x14ac:dyDescent="0.3">
      <c r="Q361" s="72"/>
      <c r="R361" s="170"/>
      <c r="AB361" s="152"/>
      <c r="AC361" s="168"/>
      <c r="AD361" s="96"/>
      <c r="AE361" s="96"/>
      <c r="AF361" s="72"/>
      <c r="AG361" s="72"/>
      <c r="AH361" s="72"/>
      <c r="AI361" s="72"/>
      <c r="AJ361" s="72"/>
      <c r="AK361" s="72"/>
      <c r="AL361" s="72"/>
      <c r="AM361" s="105"/>
      <c r="AN361" s="102"/>
      <c r="AO361" s="102"/>
      <c r="AP361" s="102"/>
      <c r="AQ361" s="102"/>
      <c r="AR361" s="97"/>
      <c r="AS361" s="97"/>
      <c r="AT361" s="72"/>
      <c r="AU361" s="96"/>
      <c r="AV361" s="96"/>
      <c r="AW361" s="96"/>
      <c r="AX361" s="96"/>
      <c r="AY361" s="72"/>
      <c r="BA361" s="72"/>
      <c r="BB361" s="72"/>
      <c r="BC361" s="72"/>
      <c r="BD361" s="72"/>
      <c r="BE361" s="72"/>
      <c r="BF361" s="105"/>
      <c r="BG361" s="102"/>
      <c r="BH361" s="102"/>
      <c r="BI361" s="102"/>
      <c r="BJ361" s="102"/>
      <c r="BK361" s="97"/>
      <c r="BL361" s="97"/>
      <c r="BM361" s="72"/>
      <c r="BN361" s="96"/>
      <c r="BO361" s="96"/>
      <c r="BP361" s="96"/>
      <c r="BQ361" s="96"/>
      <c r="BR361" s="72"/>
    </row>
    <row r="362" spans="17:70" ht="17.399999999999999" x14ac:dyDescent="0.3">
      <c r="Q362" s="72"/>
      <c r="R362" s="170"/>
      <c r="AB362" s="159"/>
      <c r="AC362" s="168"/>
      <c r="AD362" s="96"/>
      <c r="AE362" s="96"/>
      <c r="AF362" s="72"/>
      <c r="AG362" s="72"/>
      <c r="AH362" s="72"/>
      <c r="AI362" s="72"/>
      <c r="AJ362" s="72"/>
      <c r="AK362" s="72"/>
      <c r="AL362" s="72"/>
      <c r="AM362" s="72"/>
      <c r="AN362" s="102"/>
      <c r="AO362" s="102"/>
      <c r="AP362" s="102"/>
      <c r="AQ362" s="102"/>
      <c r="AR362" s="97"/>
      <c r="AS362" s="97"/>
      <c r="AT362" s="72"/>
      <c r="AU362" s="96"/>
      <c r="AV362" s="96"/>
      <c r="AW362" s="96"/>
      <c r="AX362" s="96"/>
      <c r="AY362" s="72"/>
      <c r="BA362" s="72"/>
      <c r="BB362" s="72"/>
      <c r="BC362" s="72"/>
      <c r="BD362" s="72"/>
      <c r="BE362" s="72"/>
      <c r="BF362" s="72"/>
      <c r="BG362" s="102"/>
      <c r="BH362" s="102"/>
      <c r="BI362" s="102"/>
      <c r="BJ362" s="102"/>
      <c r="BK362" s="97"/>
      <c r="BL362" s="97"/>
      <c r="BM362" s="72"/>
      <c r="BN362" s="96"/>
      <c r="BO362" s="96"/>
      <c r="BP362" s="96"/>
      <c r="BQ362" s="96"/>
      <c r="BR362" s="72"/>
    </row>
    <row r="363" spans="17:70" ht="13.8" x14ac:dyDescent="0.25">
      <c r="Q363" s="72"/>
      <c r="AB363" s="168"/>
      <c r="AC363" s="168"/>
      <c r="AD363" s="96"/>
      <c r="AE363" s="96"/>
      <c r="AF363" s="72"/>
      <c r="AG363" s="72"/>
      <c r="AH363" s="72"/>
      <c r="AI363" s="72"/>
      <c r="AJ363" s="72"/>
      <c r="AK363" s="72"/>
      <c r="AL363" s="72"/>
      <c r="AM363" s="105"/>
      <c r="AN363" s="168"/>
      <c r="AO363" s="168"/>
      <c r="AP363" s="168"/>
      <c r="AQ363" s="168"/>
      <c r="AR363" s="97"/>
      <c r="AS363" s="97"/>
      <c r="AT363" s="72"/>
      <c r="AU363" s="96"/>
      <c r="AV363" s="96"/>
      <c r="AW363" s="96"/>
      <c r="AX363" s="96"/>
      <c r="AY363" s="72"/>
      <c r="BA363" s="72"/>
      <c r="BB363" s="72"/>
      <c r="BC363" s="72"/>
      <c r="BD363" s="72"/>
      <c r="BE363" s="72"/>
      <c r="BF363" s="105"/>
      <c r="BG363" s="168"/>
      <c r="BH363" s="168"/>
      <c r="BI363" s="168"/>
      <c r="BJ363" s="168"/>
      <c r="BK363" s="97"/>
      <c r="BL363" s="97"/>
      <c r="BM363" s="72"/>
      <c r="BN363" s="96"/>
      <c r="BO363" s="96"/>
      <c r="BP363" s="96"/>
      <c r="BQ363" s="96"/>
      <c r="BR363" s="72"/>
    </row>
    <row r="364" spans="17:70" ht="13.8" x14ac:dyDescent="0.25">
      <c r="AB364" s="168"/>
      <c r="AC364" s="168"/>
      <c r="AD364" s="96"/>
      <c r="AE364" s="96"/>
      <c r="AH364" s="72"/>
      <c r="AI364" s="72"/>
      <c r="AJ364" s="72"/>
      <c r="AK364" s="72"/>
      <c r="AL364" s="72"/>
      <c r="AM364" s="105"/>
      <c r="AN364" s="102"/>
      <c r="AO364" s="102"/>
      <c r="AP364" s="102"/>
      <c r="AQ364" s="102"/>
      <c r="AR364" s="97"/>
      <c r="AS364" s="97"/>
      <c r="AT364" s="72"/>
      <c r="AU364" s="96"/>
      <c r="AV364" s="96"/>
      <c r="AW364" s="96"/>
      <c r="AX364" s="96"/>
      <c r="BA364" s="72"/>
      <c r="BB364" s="72"/>
      <c r="BC364" s="72"/>
      <c r="BD364" s="72"/>
      <c r="BE364" s="72"/>
      <c r="BF364" s="105"/>
      <c r="BG364" s="102"/>
      <c r="BH364" s="102"/>
      <c r="BI364" s="102"/>
      <c r="BJ364" s="102"/>
      <c r="BK364" s="97"/>
      <c r="BL364" s="97"/>
      <c r="BM364" s="72"/>
      <c r="BN364" s="96"/>
      <c r="BO364" s="96"/>
      <c r="BP364" s="96"/>
      <c r="BQ364" s="96"/>
    </row>
    <row r="365" spans="17:70" ht="13.8" x14ac:dyDescent="0.25">
      <c r="R365" s="154"/>
      <c r="S365" s="114"/>
      <c r="T365" s="114"/>
      <c r="U365" s="155"/>
      <c r="V365" s="155"/>
      <c r="W365" s="155"/>
      <c r="X365" s="155"/>
      <c r="Y365" s="72"/>
      <c r="Z365" s="72"/>
      <c r="AA365" s="72"/>
      <c r="AB365" s="168"/>
      <c r="AC365" s="168"/>
      <c r="AD365" s="96"/>
      <c r="AE365" s="96"/>
      <c r="AH365" s="72"/>
      <c r="AI365" s="72"/>
      <c r="AJ365" s="72"/>
      <c r="AK365" s="72"/>
      <c r="AL365" s="72"/>
      <c r="AM365" s="105"/>
      <c r="AN365" s="102"/>
      <c r="AO365" s="102"/>
      <c r="AP365" s="102"/>
      <c r="AQ365" s="102"/>
      <c r="AR365" s="97"/>
      <c r="AS365" s="97"/>
      <c r="AT365" s="72"/>
      <c r="AU365" s="96"/>
      <c r="AV365" s="96"/>
      <c r="AW365" s="96"/>
      <c r="AX365" s="96"/>
      <c r="BA365" s="72"/>
      <c r="BB365" s="72"/>
      <c r="BC365" s="72"/>
      <c r="BD365" s="72"/>
      <c r="BE365" s="72"/>
      <c r="BF365" s="105"/>
      <c r="BG365" s="102"/>
      <c r="BH365" s="102"/>
      <c r="BI365" s="102"/>
      <c r="BJ365" s="102"/>
      <c r="BK365" s="97"/>
      <c r="BL365" s="97"/>
      <c r="BM365" s="72"/>
      <c r="BN365" s="96"/>
      <c r="BO365" s="96"/>
      <c r="BP365" s="96"/>
      <c r="BQ365" s="96"/>
    </row>
    <row r="366" spans="17:70" ht="13.8" x14ac:dyDescent="0.25">
      <c r="R366" s="156"/>
      <c r="S366" s="156"/>
      <c r="T366" s="157"/>
      <c r="U366" s="150"/>
      <c r="V366" s="150"/>
      <c r="W366" s="150"/>
      <c r="X366" s="150"/>
      <c r="Y366" s="150"/>
      <c r="Z366" s="150"/>
      <c r="AA366" s="150"/>
      <c r="AB366" s="168"/>
      <c r="AC366" s="168"/>
      <c r="AD366" s="96"/>
      <c r="AE366" s="96"/>
      <c r="AH366" s="72"/>
      <c r="AI366" s="72"/>
      <c r="AJ366" s="72"/>
      <c r="AK366" s="72"/>
      <c r="AL366" s="72"/>
      <c r="AM366" s="105"/>
      <c r="AN366" s="102"/>
      <c r="AO366" s="102"/>
      <c r="AP366" s="102"/>
      <c r="AQ366" s="102"/>
      <c r="AR366" s="97"/>
      <c r="AS366" s="97"/>
      <c r="AT366" s="72"/>
      <c r="AU366" s="96"/>
      <c r="AV366" s="96"/>
      <c r="AW366" s="96"/>
      <c r="AX366" s="96"/>
      <c r="BA366" s="72"/>
      <c r="BB366" s="72"/>
      <c r="BC366" s="72"/>
      <c r="BD366" s="72"/>
      <c r="BE366" s="72"/>
      <c r="BF366" s="105"/>
      <c r="BG366" s="102"/>
      <c r="BH366" s="102"/>
      <c r="BI366" s="102"/>
      <c r="BJ366" s="102"/>
      <c r="BK366" s="97"/>
      <c r="BL366" s="97"/>
      <c r="BM366" s="72"/>
      <c r="BN366" s="96"/>
      <c r="BO366" s="96"/>
      <c r="BP366" s="96"/>
      <c r="BQ366" s="96"/>
    </row>
    <row r="367" spans="17:70" ht="13.8" x14ac:dyDescent="0.25">
      <c r="R367" s="152"/>
      <c r="S367" s="152"/>
      <c r="T367" s="101"/>
      <c r="U367" s="152"/>
      <c r="V367" s="152"/>
      <c r="W367" s="152"/>
      <c r="X367" s="152"/>
      <c r="Y367" s="152"/>
      <c r="Z367" s="152"/>
      <c r="AA367" s="152"/>
      <c r="AB367" s="168"/>
      <c r="AC367" s="168"/>
      <c r="AD367" s="96"/>
      <c r="AE367" s="96"/>
      <c r="AH367" s="72"/>
      <c r="AI367" s="72"/>
      <c r="AJ367" s="72"/>
      <c r="AK367" s="72"/>
      <c r="AL367" s="72"/>
      <c r="AM367" s="105"/>
      <c r="AN367" s="102"/>
      <c r="AO367" s="102"/>
      <c r="AP367" s="102"/>
      <c r="AQ367" s="102"/>
      <c r="AR367" s="97"/>
      <c r="AS367" s="97"/>
      <c r="AT367" s="72"/>
      <c r="AU367" s="96"/>
      <c r="AV367" s="96"/>
      <c r="AW367" s="96"/>
      <c r="AX367" s="96"/>
      <c r="BA367" s="72"/>
      <c r="BB367" s="72"/>
      <c r="BC367" s="72"/>
      <c r="BD367" s="72"/>
      <c r="BE367" s="72"/>
      <c r="BF367" s="105"/>
      <c r="BG367" s="102"/>
      <c r="BH367" s="102"/>
      <c r="BI367" s="102"/>
      <c r="BJ367" s="102"/>
      <c r="BK367" s="97"/>
      <c r="BL367" s="97"/>
      <c r="BM367" s="72"/>
      <c r="BN367" s="96"/>
      <c r="BO367" s="96"/>
      <c r="BP367" s="96"/>
      <c r="BQ367" s="96"/>
    </row>
    <row r="368" spans="17:70" ht="13.8" x14ac:dyDescent="0.25"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68"/>
      <c r="AC368" s="168"/>
      <c r="AD368" s="96"/>
      <c r="AE368" s="96"/>
      <c r="AH368" s="72"/>
      <c r="AI368" s="72"/>
      <c r="AJ368" s="72"/>
      <c r="AK368" s="72"/>
      <c r="AL368" s="72"/>
      <c r="AM368" s="105"/>
      <c r="AN368" s="102"/>
      <c r="AO368" s="102"/>
      <c r="AP368" s="102"/>
      <c r="AQ368" s="102"/>
      <c r="AR368" s="97"/>
      <c r="AS368" s="97"/>
      <c r="AT368" s="72"/>
      <c r="AU368" s="96"/>
      <c r="AV368" s="96"/>
      <c r="AW368" s="96"/>
      <c r="AX368" s="96"/>
      <c r="BA368" s="72"/>
      <c r="BB368" s="72"/>
      <c r="BC368" s="72"/>
      <c r="BD368" s="72"/>
      <c r="BE368" s="72"/>
      <c r="BF368" s="105"/>
      <c r="BG368" s="102"/>
      <c r="BH368" s="102"/>
      <c r="BI368" s="102"/>
      <c r="BJ368" s="102"/>
      <c r="BK368" s="97"/>
      <c r="BL368" s="97"/>
      <c r="BM368" s="72"/>
      <c r="BN368" s="96"/>
      <c r="BO368" s="96"/>
      <c r="BP368" s="96"/>
      <c r="BQ368" s="96"/>
    </row>
    <row r="369" spans="18:70" ht="13.8" x14ac:dyDescent="0.25">
      <c r="R369" s="72"/>
      <c r="S369" s="72"/>
      <c r="T369" s="105"/>
      <c r="U369" s="168"/>
      <c r="V369" s="96"/>
      <c r="W369" s="168"/>
      <c r="X369" s="97"/>
      <c r="Y369" s="97"/>
      <c r="Z369" s="72"/>
      <c r="AA369" s="95"/>
      <c r="AB369" s="168"/>
      <c r="AC369" s="168"/>
      <c r="AD369" s="96"/>
      <c r="AE369" s="96"/>
      <c r="AH369" s="72"/>
      <c r="AI369" s="72"/>
      <c r="AJ369" s="72"/>
      <c r="AK369" s="72"/>
      <c r="AL369" s="72"/>
      <c r="AM369" s="105"/>
      <c r="AN369" s="102"/>
      <c r="AO369" s="102"/>
      <c r="AP369" s="102"/>
      <c r="AQ369" s="102"/>
      <c r="AR369" s="97"/>
      <c r="AS369" s="97"/>
      <c r="AT369" s="72"/>
      <c r="AU369" s="96"/>
      <c r="AV369" s="96"/>
      <c r="AW369" s="96"/>
      <c r="AX369" s="96"/>
      <c r="BA369" s="72"/>
      <c r="BB369" s="72"/>
      <c r="BC369" s="72"/>
      <c r="BD369" s="72"/>
      <c r="BE369" s="72"/>
      <c r="BF369" s="105"/>
      <c r="BG369" s="102"/>
      <c r="BH369" s="102"/>
      <c r="BI369" s="102"/>
      <c r="BJ369" s="102"/>
      <c r="BK369" s="97"/>
      <c r="BL369" s="97"/>
      <c r="BM369" s="72"/>
      <c r="BN369" s="96"/>
      <c r="BO369" s="96"/>
      <c r="BP369" s="96"/>
      <c r="BQ369" s="96"/>
    </row>
    <row r="370" spans="18:70" ht="13.8" x14ac:dyDescent="0.25">
      <c r="R370" s="72"/>
      <c r="S370" s="72"/>
      <c r="T370" s="105"/>
      <c r="U370" s="102"/>
      <c r="V370" s="102"/>
      <c r="W370" s="102"/>
      <c r="X370" s="102"/>
      <c r="Y370" s="97"/>
      <c r="Z370" s="97"/>
      <c r="AA370" s="72"/>
      <c r="AB370" s="168"/>
      <c r="AC370" s="168"/>
      <c r="AD370" s="96"/>
      <c r="AE370" s="96"/>
      <c r="AH370" s="72"/>
      <c r="AI370" s="72"/>
      <c r="AJ370" s="72"/>
      <c r="AK370" s="72"/>
      <c r="AL370" s="72"/>
      <c r="AM370" s="105"/>
      <c r="AN370" s="102"/>
      <c r="AO370" s="102"/>
      <c r="AP370" s="102"/>
      <c r="AQ370" s="102"/>
      <c r="AR370" s="97"/>
      <c r="AS370" s="97"/>
      <c r="AT370" s="72"/>
      <c r="AU370" s="96"/>
      <c r="AV370" s="96"/>
      <c r="AW370" s="96"/>
      <c r="AX370" s="96"/>
      <c r="BA370" s="72"/>
      <c r="BB370" s="72"/>
      <c r="BC370" s="72"/>
      <c r="BD370" s="72"/>
      <c r="BE370" s="72"/>
      <c r="BF370" s="105"/>
      <c r="BG370" s="102"/>
      <c r="BH370" s="102"/>
      <c r="BI370" s="102"/>
      <c r="BJ370" s="102"/>
      <c r="BK370" s="97"/>
      <c r="BL370" s="97"/>
      <c r="BM370" s="72"/>
      <c r="BN370" s="96"/>
      <c r="BO370" s="96"/>
      <c r="BP370" s="96"/>
      <c r="BQ370" s="96"/>
    </row>
    <row r="371" spans="18:70" ht="13.8" x14ac:dyDescent="0.25">
      <c r="R371" s="72"/>
      <c r="S371" s="72"/>
      <c r="T371" s="72"/>
      <c r="U371" s="102"/>
      <c r="V371" s="102"/>
      <c r="W371" s="102"/>
      <c r="X371" s="102"/>
      <c r="Y371" s="97"/>
      <c r="Z371" s="97"/>
      <c r="AA371" s="72"/>
      <c r="AB371" s="168"/>
      <c r="AC371" s="168"/>
      <c r="AD371" s="96"/>
      <c r="AE371" s="96"/>
      <c r="AH371" s="72"/>
      <c r="AI371" s="72"/>
      <c r="AJ371" s="72"/>
      <c r="AK371" s="72"/>
      <c r="AL371" s="72"/>
      <c r="AM371" s="105"/>
      <c r="AN371" s="102"/>
      <c r="AO371" s="102"/>
      <c r="AP371" s="102"/>
      <c r="AQ371" s="102"/>
      <c r="AR371" s="97"/>
      <c r="AS371" s="97"/>
      <c r="AT371" s="72"/>
      <c r="AU371" s="96"/>
      <c r="AV371" s="96"/>
      <c r="AW371" s="96"/>
      <c r="AX371" s="96"/>
      <c r="BA371" s="72"/>
      <c r="BB371" s="72"/>
      <c r="BC371" s="72"/>
      <c r="BD371" s="72"/>
      <c r="BE371" s="72"/>
      <c r="BF371" s="105"/>
      <c r="BG371" s="102"/>
      <c r="BH371" s="102"/>
      <c r="BI371" s="102"/>
      <c r="BJ371" s="102"/>
      <c r="BK371" s="97"/>
      <c r="BL371" s="97"/>
      <c r="BM371" s="72"/>
      <c r="BN371" s="96"/>
      <c r="BO371" s="96"/>
      <c r="BP371" s="96"/>
      <c r="BQ371" s="96"/>
    </row>
    <row r="372" spans="18:70" ht="13.8" x14ac:dyDescent="0.25">
      <c r="R372" s="72"/>
      <c r="S372" s="72"/>
      <c r="T372" s="105"/>
      <c r="U372" s="168"/>
      <c r="V372" s="168"/>
      <c r="W372" s="168"/>
      <c r="X372" s="168"/>
      <c r="Y372" s="97"/>
      <c r="Z372" s="97"/>
      <c r="AA372" s="72"/>
      <c r="AB372" s="168"/>
      <c r="AC372" s="168"/>
      <c r="AD372" s="96"/>
      <c r="AE372" s="96"/>
      <c r="AH372" s="72"/>
      <c r="AI372" s="72"/>
      <c r="AJ372" s="72"/>
      <c r="AK372" s="72"/>
      <c r="AL372" s="72"/>
      <c r="AM372" s="105"/>
      <c r="AN372" s="102"/>
      <c r="AO372" s="102"/>
      <c r="AP372" s="102"/>
      <c r="AQ372" s="102"/>
      <c r="AR372" s="97"/>
      <c r="AS372" s="97"/>
      <c r="AT372" s="72"/>
      <c r="AU372" s="96"/>
      <c r="AV372" s="96"/>
      <c r="AW372" s="96"/>
      <c r="AX372" s="96"/>
      <c r="BA372" s="72"/>
      <c r="BB372" s="72"/>
      <c r="BC372" s="72"/>
      <c r="BD372" s="72"/>
      <c r="BE372" s="72"/>
      <c r="BF372" s="105"/>
      <c r="BG372" s="102"/>
      <c r="BH372" s="102"/>
      <c r="BI372" s="102"/>
      <c r="BJ372" s="102"/>
      <c r="BK372" s="97"/>
      <c r="BL372" s="97"/>
      <c r="BM372" s="72"/>
      <c r="BN372" s="96"/>
      <c r="BO372" s="96"/>
      <c r="BP372" s="96"/>
      <c r="BQ372" s="96"/>
    </row>
    <row r="373" spans="18:70" ht="13.8" x14ac:dyDescent="0.25">
      <c r="R373" s="72"/>
      <c r="S373" s="72"/>
      <c r="T373" s="105"/>
      <c r="U373" s="102"/>
      <c r="V373" s="102"/>
      <c r="W373" s="102"/>
      <c r="X373" s="102"/>
      <c r="Y373" s="97"/>
      <c r="Z373" s="97"/>
      <c r="AA373" s="72"/>
      <c r="AB373" s="168"/>
      <c r="AC373" s="168"/>
      <c r="AD373" s="96"/>
      <c r="AE373" s="96"/>
      <c r="AH373" s="72"/>
      <c r="AI373" s="72"/>
      <c r="AJ373" s="72"/>
      <c r="AK373" s="72"/>
      <c r="AL373" s="72"/>
      <c r="AM373" s="105"/>
      <c r="AN373" s="102"/>
      <c r="AO373" s="102"/>
      <c r="AP373" s="102"/>
      <c r="AQ373" s="102"/>
      <c r="AR373" s="97"/>
      <c r="AS373" s="97"/>
      <c r="AT373" s="72"/>
      <c r="AU373" s="96"/>
      <c r="AV373" s="96"/>
      <c r="AW373" s="96"/>
      <c r="AX373" s="96"/>
      <c r="BA373" s="72"/>
      <c r="BB373" s="72"/>
      <c r="BC373" s="72"/>
      <c r="BD373" s="72"/>
      <c r="BE373" s="72"/>
      <c r="BF373" s="105"/>
      <c r="BG373" s="102"/>
      <c r="BH373" s="102"/>
      <c r="BI373" s="102"/>
      <c r="BJ373" s="102"/>
      <c r="BK373" s="97"/>
      <c r="BL373" s="97"/>
      <c r="BM373" s="72"/>
      <c r="BN373" s="96"/>
      <c r="BO373" s="96"/>
      <c r="BP373" s="96"/>
      <c r="BQ373" s="96"/>
    </row>
    <row r="374" spans="18:70" ht="13.8" x14ac:dyDescent="0.25">
      <c r="R374" s="72"/>
      <c r="S374" s="72"/>
      <c r="T374" s="105"/>
      <c r="U374" s="102"/>
      <c r="V374" s="102"/>
      <c r="W374" s="102"/>
      <c r="X374" s="102"/>
      <c r="Y374" s="97"/>
      <c r="Z374" s="97"/>
      <c r="AA374" s="72"/>
      <c r="AB374" s="168"/>
      <c r="AC374" s="168"/>
      <c r="AD374" s="96"/>
      <c r="AE374" s="96"/>
      <c r="AH374" s="72"/>
      <c r="AI374" s="72"/>
      <c r="AJ374" s="72"/>
      <c r="AK374" s="72"/>
      <c r="AL374" s="72"/>
      <c r="AM374" s="105"/>
      <c r="AN374" s="102"/>
      <c r="AO374" s="102"/>
      <c r="AP374" s="102"/>
      <c r="AQ374" s="102"/>
      <c r="AR374" s="97"/>
      <c r="AS374" s="97"/>
      <c r="AT374" s="72"/>
      <c r="AU374" s="96"/>
      <c r="AV374" s="96"/>
      <c r="AW374" s="96"/>
      <c r="AX374" s="96"/>
      <c r="BA374" s="72"/>
      <c r="BB374" s="72"/>
      <c r="BC374" s="72"/>
      <c r="BD374" s="72"/>
      <c r="BE374" s="72"/>
      <c r="BF374" s="105"/>
      <c r="BG374" s="102"/>
      <c r="BH374" s="102"/>
      <c r="BI374" s="102"/>
      <c r="BJ374" s="102"/>
      <c r="BK374" s="97"/>
      <c r="BL374" s="97"/>
      <c r="BM374" s="72"/>
      <c r="BN374" s="96"/>
      <c r="BO374" s="96"/>
      <c r="BP374" s="96"/>
      <c r="BQ374" s="96"/>
    </row>
    <row r="375" spans="18:70" ht="13.8" x14ac:dyDescent="0.25">
      <c r="R375" s="72"/>
      <c r="S375" s="72"/>
      <c r="T375" s="105"/>
      <c r="U375" s="102"/>
      <c r="V375" s="102"/>
      <c r="W375" s="102"/>
      <c r="X375" s="102"/>
      <c r="Y375" s="97"/>
      <c r="Z375" s="97"/>
      <c r="AA375" s="72"/>
      <c r="AB375" s="168"/>
      <c r="AC375" s="168"/>
      <c r="AD375" s="96"/>
      <c r="AE375" s="96"/>
      <c r="AH375" s="72"/>
      <c r="AI375" s="72"/>
      <c r="AJ375" s="72"/>
      <c r="AK375" s="72"/>
      <c r="AL375" s="72"/>
      <c r="AM375" s="105"/>
      <c r="AN375" s="102"/>
      <c r="AO375" s="102"/>
      <c r="AP375" s="102"/>
      <c r="AQ375" s="102"/>
      <c r="AR375" s="97"/>
      <c r="AS375" s="97"/>
      <c r="AT375" s="72"/>
      <c r="AU375" s="96"/>
      <c r="AV375" s="96"/>
      <c r="AW375" s="96"/>
      <c r="AX375" s="96"/>
      <c r="BA375" s="72"/>
      <c r="BB375" s="72"/>
      <c r="BC375" s="72"/>
      <c r="BD375" s="72"/>
      <c r="BE375" s="72"/>
      <c r="BF375" s="105"/>
      <c r="BG375" s="102"/>
      <c r="BH375" s="102"/>
      <c r="BI375" s="102"/>
      <c r="BJ375" s="102"/>
      <c r="BK375" s="97"/>
      <c r="BL375" s="97"/>
      <c r="BM375" s="72"/>
      <c r="BN375" s="96"/>
      <c r="BO375" s="96"/>
      <c r="BP375" s="96"/>
      <c r="BQ375" s="96"/>
    </row>
    <row r="376" spans="18:70" ht="13.8" x14ac:dyDescent="0.25">
      <c r="R376" s="72"/>
      <c r="S376" s="72"/>
      <c r="T376" s="105"/>
      <c r="U376" s="102"/>
      <c r="V376" s="102"/>
      <c r="W376" s="102"/>
      <c r="X376" s="102"/>
      <c r="Y376" s="97"/>
      <c r="Z376" s="97"/>
      <c r="AA376" s="72"/>
      <c r="AB376" s="168"/>
      <c r="AC376" s="168"/>
      <c r="AD376" s="96"/>
      <c r="AE376" s="96"/>
      <c r="AH376" s="72"/>
      <c r="AI376" s="72"/>
      <c r="AJ376" s="72"/>
      <c r="AK376" s="72"/>
      <c r="AL376" s="72"/>
      <c r="AM376" s="105"/>
      <c r="AN376" s="102"/>
      <c r="AO376" s="102"/>
      <c r="AP376" s="102"/>
      <c r="AQ376" s="102"/>
      <c r="AR376" s="97"/>
      <c r="AS376" s="97"/>
      <c r="AT376" s="72"/>
      <c r="AU376" s="96"/>
      <c r="AV376" s="96"/>
      <c r="AW376" s="96"/>
      <c r="AX376" s="96"/>
      <c r="BA376" s="72"/>
      <c r="BB376" s="72"/>
      <c r="BC376" s="72"/>
      <c r="BD376" s="72"/>
      <c r="BE376" s="72"/>
      <c r="BF376" s="105"/>
      <c r="BG376" s="102"/>
      <c r="BH376" s="102"/>
      <c r="BI376" s="102"/>
      <c r="BJ376" s="102"/>
      <c r="BK376" s="97"/>
      <c r="BL376" s="97"/>
      <c r="BM376" s="72"/>
      <c r="BN376" s="96"/>
      <c r="BO376" s="96"/>
      <c r="BP376" s="96"/>
      <c r="BQ376" s="96"/>
    </row>
    <row r="377" spans="18:70" ht="13.8" x14ac:dyDescent="0.25">
      <c r="R377" s="72"/>
      <c r="S377" s="72"/>
      <c r="T377" s="105"/>
      <c r="U377" s="102"/>
      <c r="V377" s="102"/>
      <c r="W377" s="102"/>
      <c r="X377" s="102"/>
      <c r="Y377" s="97"/>
      <c r="Z377" s="97"/>
      <c r="AA377" s="72"/>
      <c r="AB377" s="168"/>
      <c r="AC377" s="168"/>
      <c r="AD377" s="96"/>
      <c r="AE377" s="96"/>
      <c r="AH377" s="72"/>
      <c r="AI377" s="72"/>
      <c r="AJ377" s="72"/>
      <c r="AK377" s="72"/>
      <c r="AL377" s="72"/>
      <c r="AM377" s="105"/>
      <c r="AN377" s="102"/>
      <c r="AO377" s="102"/>
      <c r="AP377" s="102"/>
      <c r="AQ377" s="102"/>
      <c r="AR377" s="97"/>
      <c r="AS377" s="97"/>
      <c r="AT377" s="72"/>
      <c r="AU377" s="96"/>
      <c r="AV377" s="96"/>
      <c r="AW377" s="96"/>
      <c r="AX377" s="96"/>
      <c r="BA377" s="72"/>
      <c r="BB377" s="72"/>
      <c r="BC377" s="72"/>
      <c r="BD377" s="72"/>
      <c r="BE377" s="72"/>
      <c r="BF377" s="105"/>
      <c r="BG377" s="102"/>
      <c r="BH377" s="102"/>
      <c r="BI377" s="102"/>
      <c r="BJ377" s="102"/>
      <c r="BK377" s="97"/>
      <c r="BL377" s="97"/>
      <c r="BM377" s="72"/>
      <c r="BN377" s="96"/>
      <c r="BO377" s="96"/>
      <c r="BP377" s="96"/>
      <c r="BQ377" s="96"/>
    </row>
    <row r="378" spans="18:70" ht="13.8" x14ac:dyDescent="0.25">
      <c r="R378" s="72"/>
      <c r="S378" s="72"/>
      <c r="T378" s="105"/>
      <c r="U378" s="102"/>
      <c r="V378" s="102"/>
      <c r="W378" s="102"/>
      <c r="X378" s="102"/>
      <c r="Y378" s="97"/>
      <c r="Z378" s="97"/>
      <c r="AA378" s="72"/>
      <c r="AB378" s="168"/>
      <c r="AC378" s="72"/>
      <c r="AD378" s="102"/>
      <c r="AE378" s="96"/>
      <c r="AH378" s="72"/>
      <c r="AI378" s="72"/>
      <c r="AJ378" s="72"/>
      <c r="AK378" s="72"/>
      <c r="AL378" s="72"/>
      <c r="AM378" s="72"/>
      <c r="AN378" s="102"/>
      <c r="AO378" s="102"/>
      <c r="AP378" s="102"/>
      <c r="AQ378" s="102"/>
      <c r="AR378" s="97"/>
      <c r="AS378" s="97"/>
      <c r="AT378" s="72"/>
      <c r="AU378" s="72"/>
      <c r="AV378" s="72"/>
      <c r="AW378" s="102"/>
      <c r="AX378" s="96"/>
      <c r="BA378" s="72"/>
      <c r="BB378" s="72"/>
      <c r="BC378" s="72"/>
      <c r="BD378" s="72"/>
      <c r="BE378" s="72"/>
      <c r="BF378" s="72"/>
      <c r="BG378" s="102"/>
      <c r="BH378" s="102"/>
      <c r="BI378" s="102"/>
      <c r="BJ378" s="102"/>
      <c r="BK378" s="97"/>
      <c r="BL378" s="97"/>
      <c r="BM378" s="72"/>
      <c r="BN378" s="72"/>
      <c r="BO378" s="72"/>
      <c r="BP378" s="102"/>
      <c r="BQ378" s="96"/>
    </row>
    <row r="379" spans="18:70" ht="13.8" x14ac:dyDescent="0.25">
      <c r="R379" s="72"/>
      <c r="S379" s="72"/>
      <c r="T379" s="105"/>
      <c r="U379" s="102"/>
      <c r="V379" s="102"/>
      <c r="W379" s="102"/>
      <c r="X379" s="102"/>
      <c r="Y379" s="97"/>
      <c r="Z379" s="97"/>
      <c r="AA379" s="72"/>
      <c r="AB379" s="168"/>
      <c r="AC379" s="72"/>
      <c r="AD379" s="102"/>
      <c r="AE379" s="96"/>
      <c r="AH379" s="72"/>
      <c r="AI379" s="72"/>
      <c r="AJ379" s="72"/>
      <c r="AK379" s="72"/>
      <c r="AL379" s="72"/>
      <c r="AM379" s="105"/>
      <c r="AN379" s="168"/>
      <c r="AO379" s="168"/>
      <c r="AP379" s="168"/>
      <c r="AQ379" s="168"/>
      <c r="AR379" s="97"/>
      <c r="AS379" s="102"/>
      <c r="AT379" s="72"/>
      <c r="AU379" s="72"/>
      <c r="AV379" s="72"/>
      <c r="AW379" s="102"/>
      <c r="AX379" s="96"/>
      <c r="BA379" s="72"/>
      <c r="BB379" s="72"/>
      <c r="BC379" s="72"/>
      <c r="BD379" s="72"/>
      <c r="BE379" s="72"/>
      <c r="BF379" s="105"/>
      <c r="BG379" s="168"/>
      <c r="BH379" s="168"/>
      <c r="BI379" s="168"/>
      <c r="BJ379" s="168"/>
      <c r="BK379" s="97"/>
      <c r="BL379" s="102"/>
      <c r="BM379" s="72"/>
      <c r="BN379" s="72"/>
      <c r="BO379" s="72"/>
      <c r="BP379" s="102"/>
      <c r="BQ379" s="96"/>
    </row>
    <row r="380" spans="18:70" ht="13.8" x14ac:dyDescent="0.25">
      <c r="R380" s="72"/>
      <c r="S380" s="72"/>
      <c r="T380" s="105"/>
      <c r="U380" s="102"/>
      <c r="V380" s="102"/>
      <c r="W380" s="102"/>
      <c r="X380" s="102"/>
      <c r="Y380" s="97"/>
      <c r="Z380" s="97"/>
      <c r="AA380" s="72"/>
      <c r="AB380" s="168"/>
      <c r="AC380" s="168"/>
      <c r="AD380" s="96"/>
      <c r="AE380" s="102"/>
      <c r="AF380" s="97"/>
      <c r="AH380" s="72"/>
      <c r="AI380" s="72"/>
      <c r="AJ380" s="72"/>
      <c r="AK380" s="72"/>
      <c r="AL380" s="72"/>
      <c r="AM380" s="105"/>
      <c r="AN380" s="168"/>
      <c r="AO380" s="96"/>
      <c r="AP380" s="168"/>
      <c r="AQ380" s="97"/>
      <c r="AR380" s="97"/>
      <c r="AS380" s="72"/>
      <c r="AT380" s="95"/>
      <c r="AU380" s="96"/>
      <c r="AV380" s="96"/>
      <c r="AW380" s="96"/>
      <c r="AX380" s="102"/>
      <c r="AY380" s="97"/>
      <c r="BA380" s="72"/>
      <c r="BB380" s="72"/>
      <c r="BC380" s="72"/>
      <c r="BD380" s="72"/>
      <c r="BE380" s="72"/>
      <c r="BF380" s="105"/>
      <c r="BG380" s="168"/>
      <c r="BH380" s="96"/>
      <c r="BI380" s="168"/>
      <c r="BJ380" s="97"/>
      <c r="BK380" s="97"/>
      <c r="BL380" s="72"/>
      <c r="BM380" s="95"/>
      <c r="BN380" s="96"/>
      <c r="BO380" s="96"/>
      <c r="BP380" s="96"/>
      <c r="BQ380" s="102"/>
      <c r="BR380" s="97"/>
    </row>
    <row r="381" spans="18:70" ht="13.8" x14ac:dyDescent="0.25">
      <c r="R381" s="72"/>
      <c r="S381" s="72"/>
      <c r="T381" s="105"/>
      <c r="U381" s="102"/>
      <c r="V381" s="102"/>
      <c r="W381" s="102"/>
      <c r="X381" s="102"/>
      <c r="Y381" s="97"/>
      <c r="Z381" s="97"/>
      <c r="AA381" s="72"/>
      <c r="AB381" s="72"/>
      <c r="AC381" s="168"/>
      <c r="AD381" s="96"/>
      <c r="AE381" s="96"/>
      <c r="AH381" s="72"/>
      <c r="AI381" s="72"/>
      <c r="AJ381" s="72"/>
      <c r="AK381" s="72"/>
      <c r="AL381" s="72"/>
      <c r="AM381" s="105"/>
      <c r="AN381" s="102"/>
      <c r="AO381" s="102"/>
      <c r="AP381" s="102"/>
      <c r="AQ381" s="102"/>
      <c r="AR381" s="97"/>
      <c r="AS381" s="97"/>
      <c r="AT381" s="72"/>
      <c r="AU381" s="96"/>
      <c r="AV381" s="96"/>
      <c r="AW381" s="96"/>
      <c r="AX381" s="96"/>
      <c r="BA381" s="72"/>
      <c r="BB381" s="72"/>
      <c r="BC381" s="72"/>
      <c r="BD381" s="72"/>
      <c r="BE381" s="72"/>
      <c r="BF381" s="105"/>
      <c r="BG381" s="102"/>
      <c r="BH381" s="102"/>
      <c r="BI381" s="102"/>
      <c r="BJ381" s="102"/>
      <c r="BK381" s="97"/>
      <c r="BL381" s="97"/>
      <c r="BM381" s="72"/>
      <c r="BN381" s="96"/>
      <c r="BO381" s="96"/>
      <c r="BP381" s="96"/>
      <c r="BQ381" s="96"/>
    </row>
    <row r="382" spans="18:70" ht="13.8" x14ac:dyDescent="0.25">
      <c r="R382" s="72"/>
      <c r="S382" s="72"/>
      <c r="T382" s="105"/>
      <c r="U382" s="102"/>
      <c r="V382" s="102"/>
      <c r="W382" s="102"/>
      <c r="X382" s="102"/>
      <c r="Y382" s="97"/>
      <c r="Z382" s="97"/>
      <c r="AA382" s="72"/>
      <c r="AB382" s="72"/>
      <c r="AC382" s="168"/>
      <c r="AD382" s="96"/>
      <c r="AE382" s="96"/>
      <c r="AH382" s="72"/>
      <c r="AI382" s="72"/>
      <c r="AJ382" s="72"/>
      <c r="AK382" s="72"/>
      <c r="AL382" s="72"/>
      <c r="AM382" s="72"/>
      <c r="AN382" s="102"/>
      <c r="AO382" s="102"/>
      <c r="AP382" s="102"/>
      <c r="AQ382" s="102"/>
      <c r="AR382" s="97"/>
      <c r="AS382" s="97"/>
      <c r="AT382" s="72"/>
      <c r="AU382" s="96"/>
      <c r="AV382" s="96"/>
      <c r="AW382" s="96"/>
      <c r="AX382" s="96"/>
      <c r="BA382" s="72"/>
      <c r="BB382" s="72"/>
      <c r="BC382" s="72"/>
      <c r="BD382" s="72"/>
      <c r="BE382" s="72"/>
      <c r="BF382" s="72"/>
      <c r="BG382" s="102"/>
      <c r="BH382" s="102"/>
      <c r="BI382" s="102"/>
      <c r="BJ382" s="102"/>
      <c r="BK382" s="97"/>
      <c r="BL382" s="97"/>
      <c r="BM382" s="72"/>
      <c r="BN382" s="96"/>
      <c r="BO382" s="96"/>
      <c r="BP382" s="96"/>
      <c r="BQ382" s="96"/>
    </row>
    <row r="383" spans="18:70" ht="13.8" x14ac:dyDescent="0.25">
      <c r="R383" s="72"/>
      <c r="S383" s="72"/>
      <c r="T383" s="105"/>
      <c r="U383" s="102"/>
      <c r="V383" s="102"/>
      <c r="W383" s="102"/>
      <c r="X383" s="102"/>
      <c r="Y383" s="97"/>
      <c r="Z383" s="97"/>
      <c r="AA383" s="72"/>
      <c r="AB383" s="168"/>
      <c r="AC383" s="168"/>
      <c r="AD383" s="96"/>
      <c r="AE383" s="96"/>
      <c r="AH383" s="72"/>
      <c r="AI383" s="72"/>
      <c r="AJ383" s="72"/>
      <c r="AK383" s="72"/>
      <c r="AL383" s="72"/>
      <c r="AM383" s="105"/>
      <c r="AN383" s="168"/>
      <c r="AO383" s="168"/>
      <c r="AP383" s="168"/>
      <c r="AQ383" s="168"/>
      <c r="AR383" s="97"/>
      <c r="AS383" s="97"/>
      <c r="AT383" s="72"/>
      <c r="AU383" s="96"/>
      <c r="AV383" s="96"/>
      <c r="AW383" s="96"/>
      <c r="AX383" s="96"/>
      <c r="BA383" s="72"/>
      <c r="BB383" s="72"/>
      <c r="BC383" s="72"/>
      <c r="BD383" s="72"/>
      <c r="BE383" s="72"/>
      <c r="BF383" s="105"/>
      <c r="BG383" s="168"/>
      <c r="BH383" s="168"/>
      <c r="BI383" s="168"/>
      <c r="BJ383" s="168"/>
      <c r="BK383" s="97"/>
      <c r="BL383" s="97"/>
      <c r="BM383" s="72"/>
      <c r="BN383" s="96"/>
      <c r="BO383" s="96"/>
      <c r="BP383" s="96"/>
      <c r="BQ383" s="96"/>
    </row>
    <row r="384" spans="18:70" ht="13.8" x14ac:dyDescent="0.25">
      <c r="R384" s="72"/>
      <c r="S384" s="72"/>
      <c r="T384" s="105"/>
      <c r="U384" s="102"/>
      <c r="V384" s="102"/>
      <c r="W384" s="102"/>
      <c r="X384" s="102"/>
      <c r="Y384" s="97"/>
      <c r="Z384" s="97"/>
      <c r="AA384" s="72"/>
      <c r="AB384" s="168"/>
      <c r="AC384" s="168"/>
      <c r="AD384" s="96"/>
      <c r="AE384" s="96"/>
      <c r="AH384" s="72"/>
      <c r="AI384" s="72"/>
      <c r="AJ384" s="72"/>
      <c r="AK384" s="72"/>
      <c r="AL384" s="72"/>
      <c r="AM384" s="105"/>
      <c r="AN384" s="102"/>
      <c r="AO384" s="102"/>
      <c r="AP384" s="102"/>
      <c r="AQ384" s="102"/>
      <c r="AR384" s="97"/>
      <c r="AS384" s="97"/>
      <c r="AT384" s="72"/>
      <c r="AU384" s="96"/>
      <c r="AV384" s="96"/>
      <c r="AW384" s="96"/>
      <c r="AX384" s="96"/>
      <c r="BA384" s="72"/>
      <c r="BB384" s="72"/>
      <c r="BC384" s="72"/>
      <c r="BD384" s="72"/>
      <c r="BE384" s="72"/>
      <c r="BF384" s="105"/>
      <c r="BG384" s="102"/>
      <c r="BH384" s="102"/>
      <c r="BI384" s="102"/>
      <c r="BJ384" s="102"/>
      <c r="BK384" s="97"/>
      <c r="BL384" s="97"/>
      <c r="BM384" s="72"/>
      <c r="BN384" s="96"/>
      <c r="BO384" s="96"/>
      <c r="BP384" s="96"/>
      <c r="BQ384" s="96"/>
    </row>
    <row r="385" spans="18:70" ht="13.8" x14ac:dyDescent="0.25">
      <c r="R385" s="72"/>
      <c r="S385" s="72"/>
      <c r="T385" s="105"/>
      <c r="U385" s="102"/>
      <c r="V385" s="102"/>
      <c r="W385" s="102"/>
      <c r="X385" s="102"/>
      <c r="Y385" s="97"/>
      <c r="Z385" s="97"/>
      <c r="AA385" s="72"/>
      <c r="AB385" s="168"/>
      <c r="AC385" s="168"/>
      <c r="AD385" s="96"/>
      <c r="AE385" s="96"/>
      <c r="AH385" s="72"/>
      <c r="AI385" s="72"/>
      <c r="AJ385" s="72"/>
      <c r="AK385" s="72"/>
      <c r="AL385" s="72"/>
      <c r="AM385" s="105"/>
      <c r="AN385" s="102"/>
      <c r="AO385" s="102"/>
      <c r="AP385" s="102"/>
      <c r="AQ385" s="102"/>
      <c r="AR385" s="97"/>
      <c r="AS385" s="97"/>
      <c r="AT385" s="72"/>
      <c r="AU385" s="96"/>
      <c r="AV385" s="96"/>
      <c r="AW385" s="96"/>
      <c r="AX385" s="96"/>
      <c r="BA385" s="72"/>
      <c r="BB385" s="72"/>
      <c r="BC385" s="72"/>
      <c r="BD385" s="72"/>
      <c r="BE385" s="72"/>
      <c r="BF385" s="105"/>
      <c r="BG385" s="102"/>
      <c r="BH385" s="102"/>
      <c r="BI385" s="102"/>
      <c r="BJ385" s="102"/>
      <c r="BK385" s="97"/>
      <c r="BL385" s="97"/>
      <c r="BM385" s="72"/>
      <c r="BN385" s="96"/>
      <c r="BO385" s="96"/>
      <c r="BP385" s="96"/>
      <c r="BQ385" s="96"/>
    </row>
    <row r="386" spans="18:70" ht="13.8" x14ac:dyDescent="0.25">
      <c r="R386" s="72"/>
      <c r="S386" s="72"/>
      <c r="T386" s="105"/>
      <c r="U386" s="102"/>
      <c r="V386" s="102"/>
      <c r="W386" s="102"/>
      <c r="X386" s="102"/>
      <c r="Y386" s="97"/>
      <c r="Z386" s="97"/>
      <c r="AA386" s="72"/>
      <c r="AB386" s="168"/>
      <c r="AC386" s="168"/>
      <c r="AD386" s="96"/>
      <c r="AE386" s="96"/>
      <c r="AH386" s="72"/>
      <c r="AI386" s="72"/>
      <c r="AJ386" s="72"/>
      <c r="AK386" s="72"/>
      <c r="AL386" s="72"/>
      <c r="AM386" s="105"/>
      <c r="AN386" s="102"/>
      <c r="AO386" s="102"/>
      <c r="AP386" s="102"/>
      <c r="AQ386" s="102"/>
      <c r="AR386" s="97"/>
      <c r="AS386" s="97"/>
      <c r="AT386" s="72"/>
      <c r="AU386" s="96"/>
      <c r="AV386" s="96"/>
      <c r="AW386" s="96"/>
      <c r="AX386" s="96"/>
      <c r="BA386" s="72"/>
      <c r="BB386" s="72"/>
      <c r="BC386" s="72"/>
      <c r="BD386" s="72"/>
      <c r="BE386" s="72"/>
      <c r="BF386" s="105"/>
      <c r="BG386" s="102"/>
      <c r="BH386" s="102"/>
      <c r="BI386" s="102"/>
      <c r="BJ386" s="102"/>
      <c r="BK386" s="97"/>
      <c r="BL386" s="97"/>
      <c r="BM386" s="72"/>
      <c r="BN386" s="96"/>
      <c r="BO386" s="96"/>
      <c r="BP386" s="96"/>
      <c r="BQ386" s="96"/>
    </row>
    <row r="387" spans="18:70" ht="13.8" x14ac:dyDescent="0.25">
      <c r="R387" s="72"/>
      <c r="S387" s="72"/>
      <c r="T387" s="72"/>
      <c r="U387" s="102"/>
      <c r="V387" s="102"/>
      <c r="W387" s="102"/>
      <c r="X387" s="102"/>
      <c r="Y387" s="97"/>
      <c r="Z387" s="97"/>
      <c r="AA387" s="72"/>
      <c r="AB387" s="168"/>
      <c r="AC387" s="168"/>
      <c r="AD387" s="96"/>
      <c r="AE387" s="96"/>
      <c r="AH387" s="72"/>
      <c r="AI387" s="72"/>
      <c r="AJ387" s="72"/>
      <c r="AK387" s="72"/>
      <c r="AL387" s="72"/>
      <c r="AM387" s="105"/>
      <c r="AN387" s="102"/>
      <c r="AO387" s="102"/>
      <c r="AP387" s="102"/>
      <c r="AQ387" s="102"/>
      <c r="AR387" s="97"/>
      <c r="AS387" s="97"/>
      <c r="AT387" s="72"/>
      <c r="AU387" s="96"/>
      <c r="AV387" s="96"/>
      <c r="AW387" s="96"/>
      <c r="AX387" s="96"/>
      <c r="BA387" s="72"/>
      <c r="BB387" s="72"/>
      <c r="BC387" s="72"/>
      <c r="BD387" s="72"/>
      <c r="BE387" s="72"/>
      <c r="BF387" s="105"/>
      <c r="BG387" s="102"/>
      <c r="BH387" s="102"/>
      <c r="BI387" s="102"/>
      <c r="BJ387" s="102"/>
      <c r="BK387" s="97"/>
      <c r="BL387" s="97"/>
      <c r="BM387" s="72"/>
      <c r="BN387" s="96"/>
      <c r="BO387" s="96"/>
      <c r="BP387" s="96"/>
      <c r="BQ387" s="96"/>
    </row>
    <row r="388" spans="18:70" ht="13.8" x14ac:dyDescent="0.25">
      <c r="R388" s="72"/>
      <c r="S388" s="72"/>
      <c r="T388" s="105"/>
      <c r="U388" s="168"/>
      <c r="V388" s="168"/>
      <c r="W388" s="168"/>
      <c r="X388" s="168"/>
      <c r="Y388" s="97"/>
      <c r="Z388" s="102"/>
      <c r="AA388" s="72"/>
      <c r="AB388" s="168"/>
      <c r="AC388" s="168"/>
      <c r="AD388" s="96"/>
      <c r="AE388" s="96"/>
      <c r="AH388" s="72"/>
      <c r="AI388" s="72"/>
      <c r="AJ388" s="72"/>
      <c r="AK388" s="72"/>
      <c r="AL388" s="72"/>
      <c r="AM388" s="105"/>
      <c r="AN388" s="102"/>
      <c r="AO388" s="102"/>
      <c r="AP388" s="102"/>
      <c r="AQ388" s="102"/>
      <c r="AR388" s="97"/>
      <c r="AS388" s="97"/>
      <c r="AT388" s="72"/>
      <c r="AU388" s="96"/>
      <c r="AV388" s="96"/>
      <c r="AW388" s="96"/>
      <c r="AX388" s="96"/>
      <c r="BA388" s="72"/>
      <c r="BB388" s="72"/>
      <c r="BC388" s="72"/>
      <c r="BD388" s="72"/>
      <c r="BE388" s="72"/>
      <c r="BF388" s="105"/>
      <c r="BG388" s="102"/>
      <c r="BH388" s="102"/>
      <c r="BI388" s="102"/>
      <c r="BJ388" s="102"/>
      <c r="BK388" s="97"/>
      <c r="BL388" s="97"/>
      <c r="BM388" s="72"/>
      <c r="BN388" s="96"/>
      <c r="BO388" s="96"/>
      <c r="BP388" s="96"/>
      <c r="BQ388" s="96"/>
    </row>
    <row r="389" spans="18:70" ht="13.8" x14ac:dyDescent="0.25">
      <c r="R389" s="72"/>
      <c r="S389" s="72"/>
      <c r="T389" s="105"/>
      <c r="U389" s="168"/>
      <c r="V389" s="96"/>
      <c r="W389" s="168"/>
      <c r="X389" s="97"/>
      <c r="Y389" s="97"/>
      <c r="Z389" s="72"/>
      <c r="AA389" s="95"/>
      <c r="AB389" s="168"/>
      <c r="AC389" s="168"/>
      <c r="AD389" s="96"/>
      <c r="AE389" s="96"/>
      <c r="AH389" s="72"/>
      <c r="AI389" s="72"/>
      <c r="AJ389" s="72"/>
      <c r="AK389" s="72"/>
      <c r="AL389" s="72"/>
      <c r="AM389" s="105"/>
      <c r="AN389" s="102"/>
      <c r="AO389" s="102"/>
      <c r="AP389" s="102"/>
      <c r="AQ389" s="102"/>
      <c r="AR389" s="97"/>
      <c r="AS389" s="97"/>
      <c r="AT389" s="72"/>
      <c r="AU389" s="96"/>
      <c r="AV389" s="96"/>
      <c r="AW389" s="96"/>
      <c r="AX389" s="96"/>
      <c r="BA389" s="72"/>
      <c r="BB389" s="72"/>
      <c r="BC389" s="72"/>
      <c r="BD389" s="72"/>
      <c r="BE389" s="72"/>
      <c r="BF389" s="105"/>
      <c r="BG389" s="102"/>
      <c r="BH389" s="102"/>
      <c r="BI389" s="102"/>
      <c r="BJ389" s="102"/>
      <c r="BK389" s="97"/>
      <c r="BL389" s="97"/>
      <c r="BM389" s="72"/>
      <c r="BN389" s="96"/>
      <c r="BO389" s="96"/>
      <c r="BP389" s="96"/>
      <c r="BQ389" s="96"/>
    </row>
    <row r="390" spans="18:70" ht="13.8" x14ac:dyDescent="0.25">
      <c r="R390" s="72"/>
      <c r="S390" s="72"/>
      <c r="T390" s="105"/>
      <c r="U390" s="102"/>
      <c r="V390" s="102"/>
      <c r="W390" s="102"/>
      <c r="X390" s="102"/>
      <c r="Y390" s="97"/>
      <c r="Z390" s="97"/>
      <c r="AA390" s="72"/>
      <c r="AB390" s="168"/>
      <c r="AC390" s="168"/>
      <c r="AD390" s="96"/>
      <c r="AE390" s="96"/>
      <c r="AH390" s="72"/>
      <c r="AI390" s="72"/>
      <c r="AJ390" s="72"/>
      <c r="AK390" s="72"/>
      <c r="AL390" s="72"/>
      <c r="AM390" s="105"/>
      <c r="AN390" s="102"/>
      <c r="AO390" s="102"/>
      <c r="AP390" s="102"/>
      <c r="AQ390" s="102"/>
      <c r="AR390" s="97"/>
      <c r="AS390" s="97"/>
      <c r="AT390" s="72"/>
      <c r="AU390" s="96"/>
      <c r="AV390" s="96"/>
      <c r="AW390" s="96"/>
      <c r="AX390" s="96"/>
      <c r="BA390" s="72"/>
      <c r="BB390" s="72"/>
      <c r="BC390" s="72"/>
      <c r="BD390" s="72"/>
      <c r="BE390" s="72"/>
      <c r="BF390" s="105"/>
      <c r="BG390" s="102"/>
      <c r="BH390" s="102"/>
      <c r="BI390" s="102"/>
      <c r="BJ390" s="102"/>
      <c r="BK390" s="97"/>
      <c r="BL390" s="97"/>
      <c r="BM390" s="72"/>
      <c r="BN390" s="96"/>
      <c r="BO390" s="96"/>
      <c r="BP390" s="96"/>
      <c r="BQ390" s="96"/>
    </row>
    <row r="391" spans="18:70" ht="13.8" x14ac:dyDescent="0.25">
      <c r="R391" s="72"/>
      <c r="S391" s="72"/>
      <c r="T391" s="72"/>
      <c r="U391" s="102"/>
      <c r="V391" s="102"/>
      <c r="W391" s="102"/>
      <c r="X391" s="102"/>
      <c r="Y391" s="97"/>
      <c r="Z391" s="97"/>
      <c r="AA391" s="72"/>
      <c r="AB391" s="168"/>
      <c r="AC391" s="168"/>
      <c r="AD391" s="96"/>
      <c r="AE391" s="96"/>
      <c r="AH391" s="72"/>
      <c r="AI391" s="72"/>
      <c r="AJ391" s="72"/>
      <c r="AK391" s="72"/>
      <c r="AL391" s="72"/>
      <c r="AM391" s="105"/>
      <c r="AN391" s="102"/>
      <c r="AO391" s="102"/>
      <c r="AP391" s="102"/>
      <c r="AQ391" s="102"/>
      <c r="AR391" s="97"/>
      <c r="AS391" s="97"/>
      <c r="AT391" s="72"/>
      <c r="AU391" s="96"/>
      <c r="AV391" s="96"/>
      <c r="AW391" s="96"/>
      <c r="AX391" s="96"/>
      <c r="BA391" s="72"/>
      <c r="BB391" s="72"/>
      <c r="BC391" s="72"/>
      <c r="BD391" s="72"/>
      <c r="BE391" s="72"/>
      <c r="BF391" s="105"/>
      <c r="BG391" s="102"/>
      <c r="BH391" s="102"/>
      <c r="BI391" s="102"/>
      <c r="BJ391" s="102"/>
      <c r="BK391" s="97"/>
      <c r="BL391" s="97"/>
      <c r="BM391" s="72"/>
      <c r="BN391" s="96"/>
      <c r="BO391" s="96"/>
      <c r="BP391" s="96"/>
      <c r="BQ391" s="96"/>
    </row>
    <row r="392" spans="18:70" ht="13.8" x14ac:dyDescent="0.25">
      <c r="R392" s="72"/>
      <c r="S392" s="72"/>
      <c r="T392" s="105"/>
      <c r="U392" s="168"/>
      <c r="V392" s="168"/>
      <c r="W392" s="168"/>
      <c r="X392" s="168"/>
      <c r="Y392" s="97"/>
      <c r="Z392" s="97"/>
      <c r="AA392" s="72"/>
      <c r="AB392" s="168"/>
      <c r="AC392" s="168"/>
      <c r="AD392" s="96"/>
      <c r="AE392" s="96"/>
      <c r="AH392" s="72"/>
      <c r="AI392" s="72"/>
      <c r="AJ392" s="72"/>
      <c r="AK392" s="72"/>
      <c r="AL392" s="72"/>
      <c r="AM392" s="105"/>
      <c r="AN392" s="102"/>
      <c r="AO392" s="102"/>
      <c r="AP392" s="102"/>
      <c r="AQ392" s="102"/>
      <c r="AR392" s="97"/>
      <c r="AS392" s="97"/>
      <c r="AT392" s="72"/>
      <c r="AU392" s="96"/>
      <c r="AV392" s="96"/>
      <c r="AW392" s="96"/>
      <c r="AX392" s="96"/>
      <c r="BA392" s="72"/>
      <c r="BB392" s="72"/>
      <c r="BC392" s="72"/>
      <c r="BD392" s="72"/>
      <c r="BE392" s="72"/>
      <c r="BF392" s="105"/>
      <c r="BG392" s="102"/>
      <c r="BH392" s="102"/>
      <c r="BI392" s="102"/>
      <c r="BJ392" s="102"/>
      <c r="BK392" s="97"/>
      <c r="BL392" s="97"/>
      <c r="BM392" s="72"/>
      <c r="BN392" s="96"/>
      <c r="BO392" s="96"/>
      <c r="BP392" s="96"/>
      <c r="BQ392" s="96"/>
    </row>
    <row r="393" spans="18:70" ht="13.8" x14ac:dyDescent="0.25">
      <c r="R393" s="72"/>
      <c r="S393" s="72"/>
      <c r="T393" s="105"/>
      <c r="U393" s="102"/>
      <c r="V393" s="102"/>
      <c r="W393" s="102"/>
      <c r="X393" s="102"/>
      <c r="Y393" s="97"/>
      <c r="Z393" s="97"/>
      <c r="AA393" s="72"/>
      <c r="AB393" s="168"/>
      <c r="AC393" s="168"/>
      <c r="AD393" s="96"/>
      <c r="AE393" s="96"/>
      <c r="AH393" s="72"/>
      <c r="AI393" s="72"/>
      <c r="AJ393" s="72"/>
      <c r="AK393" s="72"/>
      <c r="AL393" s="72"/>
      <c r="AM393" s="105"/>
      <c r="AN393" s="102"/>
      <c r="AO393" s="102"/>
      <c r="AP393" s="102"/>
      <c r="AQ393" s="102"/>
      <c r="AR393" s="97"/>
      <c r="AS393" s="97"/>
      <c r="AT393" s="72"/>
      <c r="AU393" s="96"/>
      <c r="AV393" s="96"/>
      <c r="AW393" s="96"/>
      <c r="AX393" s="96"/>
      <c r="BA393" s="72"/>
      <c r="BB393" s="72"/>
      <c r="BC393" s="72"/>
      <c r="BD393" s="72"/>
      <c r="BE393" s="72"/>
      <c r="BF393" s="105"/>
      <c r="BG393" s="102"/>
      <c r="BH393" s="102"/>
      <c r="BI393" s="102"/>
      <c r="BJ393" s="102"/>
      <c r="BK393" s="97"/>
      <c r="BL393" s="97"/>
      <c r="BM393" s="72"/>
      <c r="BN393" s="96"/>
      <c r="BO393" s="96"/>
      <c r="BP393" s="96"/>
      <c r="BQ393" s="96"/>
    </row>
    <row r="394" spans="18:70" ht="13.8" x14ac:dyDescent="0.25">
      <c r="R394" s="72"/>
      <c r="S394" s="72"/>
      <c r="T394" s="105"/>
      <c r="U394" s="102"/>
      <c r="V394" s="102"/>
      <c r="W394" s="102"/>
      <c r="X394" s="102"/>
      <c r="Y394" s="97"/>
      <c r="Z394" s="97"/>
      <c r="AA394" s="72"/>
      <c r="AB394" s="168"/>
      <c r="AC394" s="168"/>
      <c r="AD394" s="96"/>
      <c r="AE394" s="96"/>
      <c r="AH394" s="72"/>
      <c r="AI394" s="72"/>
      <c r="AJ394" s="72"/>
      <c r="AK394" s="72"/>
      <c r="AL394" s="72"/>
      <c r="AM394" s="105"/>
      <c r="AN394" s="102"/>
      <c r="AO394" s="102"/>
      <c r="AP394" s="102"/>
      <c r="AQ394" s="102"/>
      <c r="AR394" s="97"/>
      <c r="AS394" s="97"/>
      <c r="AT394" s="72"/>
      <c r="AU394" s="96"/>
      <c r="AV394" s="96"/>
      <c r="AW394" s="96"/>
      <c r="AX394" s="96"/>
      <c r="BA394" s="72"/>
      <c r="BB394" s="72"/>
      <c r="BC394" s="72"/>
      <c r="BD394" s="72"/>
      <c r="BE394" s="72"/>
      <c r="BF394" s="105"/>
      <c r="BG394" s="102"/>
      <c r="BH394" s="102"/>
      <c r="BI394" s="102"/>
      <c r="BJ394" s="102"/>
      <c r="BK394" s="97"/>
      <c r="BL394" s="97"/>
      <c r="BM394" s="72"/>
      <c r="BN394" s="96"/>
      <c r="BO394" s="96"/>
      <c r="BP394" s="96"/>
      <c r="BQ394" s="96"/>
    </row>
    <row r="395" spans="18:70" ht="13.8" x14ac:dyDescent="0.25">
      <c r="R395" s="72"/>
      <c r="S395" s="72"/>
      <c r="T395" s="105"/>
      <c r="U395" s="102"/>
      <c r="V395" s="102"/>
      <c r="W395" s="102"/>
      <c r="X395" s="102"/>
      <c r="Y395" s="97"/>
      <c r="Z395" s="97"/>
      <c r="AA395" s="72"/>
      <c r="AB395" s="168"/>
      <c r="AC395" s="168"/>
      <c r="AD395" s="96"/>
      <c r="AE395" s="96"/>
      <c r="AH395" s="72"/>
      <c r="AI395" s="72"/>
      <c r="AJ395" s="72"/>
      <c r="AK395" s="72"/>
      <c r="AL395" s="72"/>
      <c r="AM395" s="105"/>
      <c r="AN395" s="102"/>
      <c r="AO395" s="102"/>
      <c r="AP395" s="102"/>
      <c r="AQ395" s="102"/>
      <c r="AR395" s="97"/>
      <c r="AS395" s="97"/>
      <c r="AT395" s="72"/>
      <c r="AU395" s="96"/>
      <c r="AV395" s="96"/>
      <c r="AW395" s="96"/>
      <c r="AX395" s="96"/>
      <c r="BA395" s="72"/>
      <c r="BB395" s="72"/>
      <c r="BC395" s="72"/>
      <c r="BD395" s="72"/>
      <c r="BE395" s="72"/>
      <c r="BF395" s="105"/>
      <c r="BG395" s="102"/>
      <c r="BH395" s="102"/>
      <c r="BI395" s="102"/>
      <c r="BJ395" s="102"/>
      <c r="BK395" s="97"/>
      <c r="BL395" s="97"/>
      <c r="BM395" s="72"/>
      <c r="BN395" s="96"/>
      <c r="BO395" s="96"/>
      <c r="BP395" s="96"/>
      <c r="BQ395" s="96"/>
    </row>
    <row r="396" spans="18:70" ht="13.8" x14ac:dyDescent="0.25">
      <c r="R396" s="72"/>
      <c r="S396" s="72"/>
      <c r="T396" s="105"/>
      <c r="U396" s="102"/>
      <c r="V396" s="102"/>
      <c r="W396" s="102"/>
      <c r="X396" s="102"/>
      <c r="Y396" s="97"/>
      <c r="Z396" s="97"/>
      <c r="AA396" s="72"/>
      <c r="AB396" s="168"/>
      <c r="AC396" s="168"/>
      <c r="AD396" s="96"/>
      <c r="AE396" s="96"/>
      <c r="AH396" s="72"/>
      <c r="AI396" s="72"/>
      <c r="AJ396" s="72"/>
      <c r="AK396" s="72"/>
      <c r="AL396" s="72"/>
      <c r="AM396" s="105"/>
      <c r="AN396" s="102"/>
      <c r="AO396" s="102"/>
      <c r="AP396" s="102"/>
      <c r="AQ396" s="102"/>
      <c r="AR396" s="97"/>
      <c r="AS396" s="97"/>
      <c r="AT396" s="72"/>
      <c r="AU396" s="96"/>
      <c r="AV396" s="96"/>
      <c r="AW396" s="96"/>
      <c r="AX396" s="96"/>
      <c r="BA396" s="72"/>
      <c r="BB396" s="72"/>
      <c r="BC396" s="72"/>
      <c r="BD396" s="72"/>
      <c r="BE396" s="72"/>
      <c r="BF396" s="105"/>
      <c r="BG396" s="102"/>
      <c r="BH396" s="102"/>
      <c r="BI396" s="102"/>
      <c r="BJ396" s="102"/>
      <c r="BK396" s="97"/>
      <c r="BL396" s="97"/>
      <c r="BM396" s="72"/>
      <c r="BN396" s="96"/>
      <c r="BO396" s="96"/>
      <c r="BP396" s="96"/>
      <c r="BQ396" s="96"/>
    </row>
    <row r="397" spans="18:70" ht="13.8" x14ac:dyDescent="0.25">
      <c r="R397" s="72"/>
      <c r="S397" s="72"/>
      <c r="T397" s="105"/>
      <c r="U397" s="102"/>
      <c r="V397" s="102"/>
      <c r="W397" s="102"/>
      <c r="X397" s="102"/>
      <c r="Y397" s="97"/>
      <c r="Z397" s="97"/>
      <c r="AA397" s="72"/>
      <c r="AB397" s="168"/>
      <c r="AC397" s="168"/>
      <c r="AD397" s="96"/>
      <c r="AE397" s="96"/>
      <c r="AH397" s="72"/>
      <c r="AI397" s="72"/>
      <c r="AJ397" s="72"/>
      <c r="AK397" s="72"/>
      <c r="AL397" s="72"/>
      <c r="AM397" s="105"/>
      <c r="AN397" s="102"/>
      <c r="AO397" s="102"/>
      <c r="AP397" s="102"/>
      <c r="AQ397" s="102"/>
      <c r="AR397" s="97"/>
      <c r="AS397" s="97"/>
      <c r="AT397" s="72"/>
      <c r="AU397" s="96"/>
      <c r="AV397" s="96"/>
      <c r="AW397" s="96"/>
      <c r="AX397" s="96"/>
      <c r="BA397" s="72"/>
      <c r="BB397" s="72"/>
      <c r="BC397" s="72"/>
      <c r="BD397" s="72"/>
      <c r="BE397" s="72"/>
      <c r="BF397" s="105"/>
      <c r="BG397" s="102"/>
      <c r="BH397" s="102"/>
      <c r="BI397" s="102"/>
      <c r="BJ397" s="102"/>
      <c r="BK397" s="97"/>
      <c r="BL397" s="97"/>
      <c r="BM397" s="72"/>
      <c r="BN397" s="96"/>
      <c r="BO397" s="96"/>
      <c r="BP397" s="96"/>
      <c r="BQ397" s="96"/>
    </row>
    <row r="398" spans="18:70" ht="13.8" x14ac:dyDescent="0.25">
      <c r="R398" s="72"/>
      <c r="S398" s="72"/>
      <c r="T398" s="105"/>
      <c r="U398" s="102"/>
      <c r="V398" s="102"/>
      <c r="W398" s="102"/>
      <c r="X398" s="102"/>
      <c r="Y398" s="97"/>
      <c r="Z398" s="97"/>
      <c r="AA398" s="72"/>
      <c r="AB398" s="168"/>
      <c r="AC398" s="96"/>
      <c r="AD398" s="102"/>
      <c r="AE398" s="96"/>
      <c r="AH398" s="72"/>
      <c r="AI398" s="72"/>
      <c r="AJ398" s="72"/>
      <c r="AK398" s="72"/>
      <c r="AL398" s="72"/>
      <c r="AM398" s="72"/>
      <c r="AN398" s="102"/>
      <c r="AO398" s="102"/>
      <c r="AP398" s="102"/>
      <c r="AQ398" s="102"/>
      <c r="AR398" s="97"/>
      <c r="AS398" s="97"/>
      <c r="AT398" s="72"/>
      <c r="AU398" s="102"/>
      <c r="AV398" s="96"/>
      <c r="AW398" s="102"/>
      <c r="AX398" s="96"/>
      <c r="BA398" s="72"/>
      <c r="BB398" s="72"/>
      <c r="BC398" s="72"/>
      <c r="BD398" s="72"/>
      <c r="BE398" s="72"/>
      <c r="BF398" s="72"/>
      <c r="BG398" s="102"/>
      <c r="BH398" s="102"/>
      <c r="BI398" s="102"/>
      <c r="BJ398" s="102"/>
      <c r="BK398" s="97"/>
      <c r="BL398" s="97"/>
      <c r="BM398" s="72"/>
      <c r="BN398" s="102"/>
      <c r="BO398" s="96"/>
      <c r="BP398" s="102"/>
      <c r="BQ398" s="96"/>
    </row>
    <row r="399" spans="18:70" ht="13.8" x14ac:dyDescent="0.25">
      <c r="R399" s="72"/>
      <c r="S399" s="72"/>
      <c r="T399" s="105"/>
      <c r="U399" s="102"/>
      <c r="V399" s="102"/>
      <c r="W399" s="102"/>
      <c r="X399" s="102"/>
      <c r="Y399" s="97"/>
      <c r="Z399" s="97"/>
      <c r="AA399" s="72"/>
      <c r="AB399" s="168"/>
      <c r="AC399" s="96"/>
      <c r="AD399" s="102"/>
      <c r="AE399" s="96"/>
      <c r="AH399" s="72"/>
      <c r="AI399" s="72"/>
      <c r="AJ399" s="72"/>
      <c r="AK399" s="72"/>
      <c r="AL399" s="72"/>
      <c r="AM399" s="105"/>
      <c r="AN399" s="168"/>
      <c r="AO399" s="168"/>
      <c r="AP399" s="168"/>
      <c r="AQ399" s="168"/>
      <c r="AR399" s="97"/>
      <c r="AS399" s="102"/>
      <c r="AT399" s="72"/>
      <c r="AU399" s="102"/>
      <c r="AV399" s="96"/>
      <c r="AW399" s="102"/>
      <c r="AX399" s="96"/>
      <c r="BA399" s="72"/>
      <c r="BB399" s="72"/>
      <c r="BC399" s="72"/>
      <c r="BD399" s="72"/>
      <c r="BE399" s="72"/>
      <c r="BF399" s="105"/>
      <c r="BG399" s="168"/>
      <c r="BH399" s="168"/>
      <c r="BI399" s="168"/>
      <c r="BJ399" s="168"/>
      <c r="BK399" s="97"/>
      <c r="BL399" s="102"/>
      <c r="BM399" s="72"/>
      <c r="BN399" s="102"/>
      <c r="BO399" s="96"/>
      <c r="BP399" s="102"/>
      <c r="BQ399" s="96"/>
    </row>
    <row r="400" spans="18:70" ht="13.8" x14ac:dyDescent="0.25">
      <c r="R400" s="72"/>
      <c r="S400" s="72"/>
      <c r="T400" s="105"/>
      <c r="U400" s="102"/>
      <c r="V400" s="102"/>
      <c r="W400" s="102"/>
      <c r="X400" s="102"/>
      <c r="Y400" s="97"/>
      <c r="Z400" s="97"/>
      <c r="AA400" s="72"/>
      <c r="AB400" s="168"/>
      <c r="AC400" s="168"/>
      <c r="AD400" s="96"/>
      <c r="AE400" s="102"/>
      <c r="AF400" s="97"/>
      <c r="AH400" s="72"/>
      <c r="AI400" s="72"/>
      <c r="AJ400" s="72"/>
      <c r="AK400" s="72"/>
      <c r="AL400" s="72"/>
      <c r="AM400" s="105"/>
      <c r="AN400" s="168"/>
      <c r="AO400" s="96"/>
      <c r="AP400" s="168"/>
      <c r="AQ400" s="97"/>
      <c r="AR400" s="97"/>
      <c r="AS400" s="72"/>
      <c r="AT400" s="95"/>
      <c r="AU400" s="96"/>
      <c r="AV400" s="96"/>
      <c r="AW400" s="96"/>
      <c r="AX400" s="102"/>
      <c r="AY400" s="97"/>
      <c r="BA400" s="72"/>
      <c r="BB400" s="72"/>
      <c r="BC400" s="72"/>
      <c r="BD400" s="72"/>
      <c r="BE400" s="72"/>
      <c r="BF400" s="105"/>
      <c r="BG400" s="168"/>
      <c r="BH400" s="96"/>
      <c r="BI400" s="168"/>
      <c r="BJ400" s="97"/>
      <c r="BK400" s="97"/>
      <c r="BL400" s="72"/>
      <c r="BM400" s="95"/>
      <c r="BN400" s="96"/>
      <c r="BO400" s="96"/>
      <c r="BP400" s="96"/>
      <c r="BQ400" s="102"/>
      <c r="BR400" s="97"/>
    </row>
    <row r="401" spans="18:69" ht="13.8" x14ac:dyDescent="0.25">
      <c r="R401" s="72"/>
      <c r="S401" s="72"/>
      <c r="T401" s="105"/>
      <c r="U401" s="102"/>
      <c r="V401" s="102"/>
      <c r="W401" s="102"/>
      <c r="X401" s="102"/>
      <c r="Y401" s="97"/>
      <c r="Z401" s="97"/>
      <c r="AA401" s="72"/>
      <c r="AB401" s="102"/>
      <c r="AC401" s="168"/>
      <c r="AD401" s="96"/>
      <c r="AE401" s="96"/>
      <c r="AH401" s="72"/>
      <c r="AI401" s="72"/>
      <c r="AJ401" s="72"/>
      <c r="AK401" s="72"/>
      <c r="AL401" s="72"/>
      <c r="AM401" s="105"/>
      <c r="AN401" s="102"/>
      <c r="AO401" s="102"/>
      <c r="AP401" s="102"/>
      <c r="AQ401" s="102"/>
      <c r="AR401" s="97"/>
      <c r="AS401" s="97"/>
      <c r="AT401" s="72"/>
      <c r="AU401" s="96"/>
      <c r="AV401" s="96"/>
      <c r="AW401" s="96"/>
      <c r="AX401" s="96"/>
      <c r="BA401" s="72"/>
      <c r="BB401" s="72"/>
      <c r="BC401" s="72"/>
      <c r="BD401" s="72"/>
      <c r="BE401" s="72"/>
      <c r="BF401" s="105"/>
      <c r="BG401" s="102"/>
      <c r="BH401" s="102"/>
      <c r="BI401" s="102"/>
      <c r="BJ401" s="102"/>
      <c r="BK401" s="97"/>
      <c r="BL401" s="97"/>
      <c r="BM401" s="72"/>
      <c r="BN401" s="96"/>
      <c r="BO401" s="96"/>
      <c r="BP401" s="96"/>
      <c r="BQ401" s="96"/>
    </row>
    <row r="402" spans="18:69" ht="13.8" x14ac:dyDescent="0.25">
      <c r="R402" s="72"/>
      <c r="S402" s="72"/>
      <c r="T402" s="105"/>
      <c r="U402" s="102"/>
      <c r="V402" s="102"/>
      <c r="W402" s="102"/>
      <c r="X402" s="102"/>
      <c r="Y402" s="97"/>
      <c r="Z402" s="97"/>
      <c r="AA402" s="72"/>
      <c r="AB402" s="102"/>
      <c r="AC402" s="168"/>
      <c r="AD402" s="96"/>
      <c r="AE402" s="96"/>
      <c r="AH402" s="72"/>
      <c r="AI402" s="72"/>
      <c r="AJ402" s="72"/>
      <c r="AK402" s="72"/>
      <c r="AL402" s="72"/>
      <c r="AM402" s="72"/>
      <c r="AN402" s="102"/>
      <c r="AO402" s="102"/>
      <c r="AP402" s="102"/>
      <c r="AQ402" s="102"/>
      <c r="AR402" s="97"/>
      <c r="AS402" s="97"/>
      <c r="AT402" s="72"/>
      <c r="AU402" s="96"/>
      <c r="AV402" s="96"/>
      <c r="AW402" s="96"/>
      <c r="AX402" s="96"/>
      <c r="BA402" s="72"/>
      <c r="BB402" s="72"/>
      <c r="BC402" s="72"/>
      <c r="BD402" s="72"/>
      <c r="BE402" s="72"/>
      <c r="BF402" s="72"/>
      <c r="BG402" s="102"/>
      <c r="BH402" s="102"/>
      <c r="BI402" s="102"/>
      <c r="BJ402" s="102"/>
      <c r="BK402" s="97"/>
      <c r="BL402" s="97"/>
      <c r="BM402" s="72"/>
      <c r="BN402" s="96"/>
      <c r="BO402" s="96"/>
      <c r="BP402" s="96"/>
      <c r="BQ402" s="96"/>
    </row>
    <row r="403" spans="18:69" ht="13.8" x14ac:dyDescent="0.25">
      <c r="R403" s="72"/>
      <c r="S403" s="72"/>
      <c r="T403" s="105"/>
      <c r="U403" s="102"/>
      <c r="V403" s="102"/>
      <c r="W403" s="102"/>
      <c r="X403" s="102"/>
      <c r="Y403" s="97"/>
      <c r="Z403" s="97"/>
      <c r="AA403" s="72"/>
      <c r="AB403" s="168"/>
      <c r="AC403" s="168"/>
      <c r="AD403" s="96"/>
      <c r="AE403" s="96"/>
      <c r="AH403" s="72"/>
      <c r="AI403" s="72"/>
      <c r="AJ403" s="72"/>
      <c r="AK403" s="72"/>
      <c r="AL403" s="72"/>
      <c r="AM403" s="105"/>
      <c r="AN403" s="168"/>
      <c r="AO403" s="168"/>
      <c r="AP403" s="168"/>
      <c r="AQ403" s="168"/>
      <c r="AR403" s="97"/>
      <c r="AS403" s="97"/>
      <c r="AT403" s="72"/>
      <c r="AU403" s="96"/>
      <c r="AV403" s="96"/>
      <c r="AW403" s="96"/>
      <c r="AX403" s="96"/>
      <c r="BA403" s="72"/>
      <c r="BB403" s="72"/>
      <c r="BC403" s="72"/>
      <c r="BD403" s="72"/>
      <c r="BE403" s="72"/>
      <c r="BF403" s="105"/>
      <c r="BG403" s="168"/>
      <c r="BH403" s="168"/>
      <c r="BI403" s="168"/>
      <c r="BJ403" s="168"/>
      <c r="BK403" s="97"/>
      <c r="BL403" s="97"/>
      <c r="BM403" s="72"/>
      <c r="BN403" s="96"/>
      <c r="BO403" s="96"/>
      <c r="BP403" s="96"/>
      <c r="BQ403" s="96"/>
    </row>
    <row r="404" spans="18:69" ht="13.8" x14ac:dyDescent="0.25">
      <c r="R404" s="72"/>
      <c r="S404" s="72"/>
      <c r="T404" s="105"/>
      <c r="U404" s="102"/>
      <c r="V404" s="102"/>
      <c r="W404" s="102"/>
      <c r="X404" s="102"/>
      <c r="Y404" s="97"/>
      <c r="Z404" s="97"/>
      <c r="AA404" s="72"/>
      <c r="AB404" s="168"/>
      <c r="AC404" s="168"/>
      <c r="AD404" s="96"/>
      <c r="AE404" s="96"/>
      <c r="AH404" s="72"/>
      <c r="AI404" s="72"/>
      <c r="AJ404" s="72"/>
      <c r="AK404" s="72"/>
      <c r="AL404" s="72"/>
      <c r="AM404" s="105"/>
      <c r="AN404" s="102"/>
      <c r="AO404" s="102"/>
      <c r="AP404" s="102"/>
      <c r="AQ404" s="102"/>
      <c r="AR404" s="97"/>
      <c r="AS404" s="97"/>
      <c r="AT404" s="72"/>
      <c r="AU404" s="96"/>
      <c r="AV404" s="96"/>
      <c r="AW404" s="96"/>
      <c r="AX404" s="96"/>
      <c r="BA404" s="72"/>
      <c r="BB404" s="72"/>
      <c r="BC404" s="72"/>
      <c r="BD404" s="72"/>
      <c r="BE404" s="72"/>
      <c r="BF404" s="105"/>
      <c r="BG404" s="102"/>
      <c r="BH404" s="102"/>
      <c r="BI404" s="102"/>
      <c r="BJ404" s="102"/>
      <c r="BK404" s="97"/>
      <c r="BL404" s="97"/>
      <c r="BM404" s="72"/>
      <c r="BN404" s="96"/>
      <c r="BO404" s="96"/>
      <c r="BP404" s="96"/>
      <c r="BQ404" s="96"/>
    </row>
    <row r="405" spans="18:69" ht="13.8" x14ac:dyDescent="0.25">
      <c r="R405" s="72"/>
      <c r="S405" s="72"/>
      <c r="T405" s="105"/>
      <c r="U405" s="102"/>
      <c r="V405" s="102"/>
      <c r="W405" s="102"/>
      <c r="X405" s="102"/>
      <c r="Y405" s="97"/>
      <c r="Z405" s="97"/>
      <c r="AA405" s="72"/>
      <c r="AB405" s="168"/>
      <c r="AC405" s="168"/>
      <c r="AD405" s="96"/>
      <c r="AE405" s="96"/>
      <c r="AH405" s="72"/>
      <c r="AI405" s="72"/>
      <c r="AJ405" s="72"/>
      <c r="AK405" s="72"/>
      <c r="AL405" s="72"/>
      <c r="AM405" s="105"/>
      <c r="AN405" s="102"/>
      <c r="AO405" s="102"/>
      <c r="AP405" s="102"/>
      <c r="AQ405" s="102"/>
      <c r="AR405" s="97"/>
      <c r="AS405" s="97"/>
      <c r="AT405" s="72"/>
      <c r="AU405" s="96"/>
      <c r="AV405" s="96"/>
      <c r="AW405" s="96"/>
      <c r="AX405" s="96"/>
      <c r="BA405" s="72"/>
      <c r="BB405" s="72"/>
      <c r="BC405" s="72"/>
      <c r="BD405" s="72"/>
      <c r="BE405" s="72"/>
      <c r="BF405" s="105"/>
      <c r="BG405" s="102"/>
      <c r="BH405" s="102"/>
      <c r="BI405" s="102"/>
      <c r="BJ405" s="102"/>
      <c r="BK405" s="97"/>
      <c r="BL405" s="97"/>
      <c r="BM405" s="72"/>
      <c r="BN405" s="96"/>
      <c r="BO405" s="96"/>
      <c r="BP405" s="96"/>
      <c r="BQ405" s="96"/>
    </row>
    <row r="406" spans="18:69" ht="13.8" x14ac:dyDescent="0.25">
      <c r="R406" s="72"/>
      <c r="S406" s="72"/>
      <c r="T406" s="105"/>
      <c r="U406" s="102"/>
      <c r="V406" s="102"/>
      <c r="W406" s="102"/>
      <c r="X406" s="102"/>
      <c r="Y406" s="97"/>
      <c r="Z406" s="97"/>
      <c r="AA406" s="72"/>
      <c r="AB406" s="168"/>
      <c r="AC406" s="168"/>
      <c r="AD406" s="96"/>
      <c r="AE406" s="96"/>
      <c r="AH406" s="72"/>
      <c r="AI406" s="72"/>
      <c r="AJ406" s="72"/>
      <c r="AK406" s="72"/>
      <c r="AL406" s="72"/>
      <c r="AM406" s="105"/>
      <c r="AN406" s="102"/>
      <c r="AO406" s="102"/>
      <c r="AP406" s="102"/>
      <c r="AQ406" s="102"/>
      <c r="AR406" s="97"/>
      <c r="AS406" s="97"/>
      <c r="AT406" s="72"/>
      <c r="AU406" s="96"/>
      <c r="AV406" s="96"/>
      <c r="AW406" s="96"/>
      <c r="AX406" s="96"/>
      <c r="BA406" s="72"/>
      <c r="BB406" s="72"/>
      <c r="BC406" s="72"/>
      <c r="BD406" s="72"/>
      <c r="BE406" s="72"/>
      <c r="BF406" s="105"/>
      <c r="BG406" s="102"/>
      <c r="BH406" s="102"/>
      <c r="BI406" s="102"/>
      <c r="BJ406" s="102"/>
      <c r="BK406" s="97"/>
      <c r="BL406" s="97"/>
      <c r="BM406" s="72"/>
      <c r="BN406" s="96"/>
      <c r="BO406" s="96"/>
      <c r="BP406" s="96"/>
      <c r="BQ406" s="96"/>
    </row>
    <row r="407" spans="18:69" ht="13.8" x14ac:dyDescent="0.25">
      <c r="R407" s="72"/>
      <c r="S407" s="72"/>
      <c r="T407" s="72"/>
      <c r="U407" s="102"/>
      <c r="V407" s="102"/>
      <c r="W407" s="102"/>
      <c r="X407" s="102"/>
      <c r="Y407" s="97"/>
      <c r="Z407" s="97"/>
      <c r="AA407" s="72"/>
      <c r="AB407" s="168"/>
      <c r="AC407" s="168"/>
      <c r="AD407" s="96"/>
      <c r="AE407" s="96"/>
      <c r="AH407" s="72"/>
      <c r="AI407" s="72"/>
      <c r="AJ407" s="72"/>
      <c r="AK407" s="72"/>
      <c r="AL407" s="72"/>
      <c r="AM407" s="105"/>
      <c r="AN407" s="102"/>
      <c r="AO407" s="102"/>
      <c r="AP407" s="102"/>
      <c r="AQ407" s="102"/>
      <c r="AR407" s="97"/>
      <c r="AS407" s="97"/>
      <c r="AT407" s="72"/>
      <c r="AU407" s="96"/>
      <c r="AV407" s="96"/>
      <c r="AW407" s="96"/>
      <c r="AX407" s="96"/>
      <c r="BA407" s="72"/>
      <c r="BB407" s="72"/>
      <c r="BC407" s="72"/>
      <c r="BD407" s="72"/>
      <c r="BE407" s="72"/>
      <c r="BF407" s="105"/>
      <c r="BG407" s="102"/>
      <c r="BH407" s="102"/>
      <c r="BI407" s="102"/>
      <c r="BJ407" s="102"/>
      <c r="BK407" s="97"/>
      <c r="BL407" s="97"/>
      <c r="BM407" s="72"/>
      <c r="BN407" s="96"/>
      <c r="BO407" s="96"/>
      <c r="BP407" s="96"/>
      <c r="BQ407" s="96"/>
    </row>
    <row r="408" spans="18:69" ht="13.8" x14ac:dyDescent="0.25">
      <c r="R408" s="72"/>
      <c r="S408" s="72"/>
      <c r="T408" s="105"/>
      <c r="U408" s="168"/>
      <c r="V408" s="168"/>
      <c r="W408" s="168"/>
      <c r="X408" s="168"/>
      <c r="Y408" s="97"/>
      <c r="Z408" s="102"/>
      <c r="AA408" s="72"/>
      <c r="AB408" s="168"/>
      <c r="AC408" s="168"/>
      <c r="AD408" s="96"/>
      <c r="AE408" s="96"/>
      <c r="AH408" s="72"/>
      <c r="AI408" s="72"/>
      <c r="AJ408" s="72"/>
      <c r="AK408" s="72"/>
      <c r="AL408" s="72"/>
      <c r="AM408" s="105"/>
      <c r="AN408" s="102"/>
      <c r="AO408" s="102"/>
      <c r="AP408" s="102"/>
      <c r="AQ408" s="102"/>
      <c r="AR408" s="97"/>
      <c r="AS408" s="97"/>
      <c r="AT408" s="72"/>
      <c r="AU408" s="96"/>
      <c r="AV408" s="96"/>
      <c r="AW408" s="96"/>
      <c r="AX408" s="96"/>
      <c r="BA408" s="72"/>
      <c r="BB408" s="72"/>
      <c r="BC408" s="72"/>
      <c r="BD408" s="72"/>
      <c r="BE408" s="72"/>
      <c r="BF408" s="105"/>
      <c r="BG408" s="102"/>
      <c r="BH408" s="102"/>
      <c r="BI408" s="102"/>
      <c r="BJ408" s="102"/>
      <c r="BK408" s="97"/>
      <c r="BL408" s="97"/>
      <c r="BM408" s="72"/>
      <c r="BN408" s="96"/>
      <c r="BO408" s="96"/>
      <c r="BP408" s="96"/>
      <c r="BQ408" s="96"/>
    </row>
    <row r="409" spans="18:69" ht="13.8" x14ac:dyDescent="0.25">
      <c r="R409" s="72"/>
      <c r="S409" s="72"/>
      <c r="T409" s="105"/>
      <c r="U409" s="168"/>
      <c r="V409" s="96"/>
      <c r="W409" s="168"/>
      <c r="X409" s="97"/>
      <c r="Y409" s="97"/>
      <c r="Z409" s="72"/>
      <c r="AA409" s="95"/>
      <c r="AB409" s="168"/>
      <c r="AC409" s="168"/>
      <c r="AD409" s="96"/>
      <c r="AE409" s="96"/>
      <c r="AH409" s="72"/>
      <c r="AI409" s="72"/>
      <c r="AJ409" s="72"/>
      <c r="AK409" s="72"/>
      <c r="AL409" s="72"/>
      <c r="AM409" s="105"/>
      <c r="AN409" s="102"/>
      <c r="AO409" s="102"/>
      <c r="AP409" s="102"/>
      <c r="AQ409" s="102"/>
      <c r="AR409" s="97"/>
      <c r="AS409" s="97"/>
      <c r="AT409" s="72"/>
      <c r="AU409" s="96"/>
      <c r="AV409" s="96"/>
      <c r="AW409" s="96"/>
      <c r="AX409" s="96"/>
      <c r="BA409" s="72"/>
      <c r="BB409" s="72"/>
      <c r="BC409" s="72"/>
      <c r="BD409" s="72"/>
      <c r="BE409" s="72"/>
      <c r="BF409" s="105"/>
      <c r="BG409" s="102"/>
      <c r="BH409" s="102"/>
      <c r="BI409" s="102"/>
      <c r="BJ409" s="102"/>
      <c r="BK409" s="97"/>
      <c r="BL409" s="97"/>
      <c r="BM409" s="72"/>
      <c r="BN409" s="96"/>
      <c r="BO409" s="96"/>
      <c r="BP409" s="96"/>
      <c r="BQ409" s="96"/>
    </row>
    <row r="410" spans="18:69" ht="13.8" x14ac:dyDescent="0.25">
      <c r="R410" s="72"/>
      <c r="S410" s="72"/>
      <c r="T410" s="105"/>
      <c r="U410" s="102"/>
      <c r="V410" s="102"/>
      <c r="W410" s="102"/>
      <c r="X410" s="102"/>
      <c r="Y410" s="97"/>
      <c r="Z410" s="97"/>
      <c r="AA410" s="72"/>
      <c r="AB410" s="168"/>
      <c r="AC410" s="168"/>
      <c r="AD410" s="96"/>
      <c r="AE410" s="96"/>
      <c r="AH410" s="72"/>
      <c r="AI410" s="72"/>
      <c r="AJ410" s="72"/>
      <c r="AK410" s="72"/>
      <c r="AL410" s="72"/>
      <c r="AM410" s="105"/>
      <c r="AN410" s="102"/>
      <c r="AO410" s="102"/>
      <c r="AP410" s="102"/>
      <c r="AQ410" s="102"/>
      <c r="AR410" s="97"/>
      <c r="AS410" s="97"/>
      <c r="AT410" s="72"/>
      <c r="AU410" s="96"/>
      <c r="AV410" s="96"/>
      <c r="AW410" s="96"/>
      <c r="AX410" s="96"/>
      <c r="BA410" s="72"/>
      <c r="BB410" s="72"/>
      <c r="BC410" s="72"/>
      <c r="BD410" s="72"/>
      <c r="BE410" s="72"/>
      <c r="BF410" s="105"/>
      <c r="BG410" s="102"/>
      <c r="BH410" s="102"/>
      <c r="BI410" s="102"/>
      <c r="BJ410" s="102"/>
      <c r="BK410" s="97"/>
      <c r="BL410" s="97"/>
      <c r="BM410" s="72"/>
      <c r="BN410" s="96"/>
      <c r="BO410" s="96"/>
      <c r="BP410" s="96"/>
      <c r="BQ410" s="96"/>
    </row>
    <row r="411" spans="18:69" ht="13.8" x14ac:dyDescent="0.25">
      <c r="R411" s="72"/>
      <c r="S411" s="72"/>
      <c r="T411" s="72"/>
      <c r="U411" s="102"/>
      <c r="V411" s="102"/>
      <c r="W411" s="102"/>
      <c r="X411" s="102"/>
      <c r="Y411" s="97"/>
      <c r="Z411" s="97"/>
      <c r="AA411" s="72"/>
      <c r="AB411" s="168"/>
      <c r="AC411" s="168"/>
      <c r="AD411" s="96"/>
      <c r="AE411" s="96"/>
      <c r="AH411" s="72"/>
      <c r="AI411" s="72"/>
      <c r="AJ411" s="72"/>
      <c r="AK411" s="72"/>
      <c r="AL411" s="72"/>
      <c r="AM411" s="105"/>
      <c r="AN411" s="102"/>
      <c r="AO411" s="102"/>
      <c r="AP411" s="102"/>
      <c r="AQ411" s="102"/>
      <c r="AR411" s="97"/>
      <c r="AS411" s="97"/>
      <c r="AT411" s="72"/>
      <c r="AU411" s="96"/>
      <c r="AV411" s="96"/>
      <c r="AW411" s="96"/>
      <c r="AX411" s="96"/>
      <c r="BA411" s="72"/>
      <c r="BB411" s="72"/>
      <c r="BC411" s="72"/>
      <c r="BD411" s="72"/>
      <c r="BE411" s="72"/>
      <c r="BF411" s="105"/>
      <c r="BG411" s="102"/>
      <c r="BH411" s="102"/>
      <c r="BI411" s="102"/>
      <c r="BJ411" s="102"/>
      <c r="BK411" s="97"/>
      <c r="BL411" s="97"/>
      <c r="BM411" s="72"/>
      <c r="BN411" s="96"/>
      <c r="BO411" s="96"/>
      <c r="BP411" s="96"/>
      <c r="BQ411" s="96"/>
    </row>
    <row r="412" spans="18:69" ht="13.8" x14ac:dyDescent="0.25">
      <c r="R412" s="72"/>
      <c r="S412" s="72"/>
      <c r="T412" s="105"/>
      <c r="U412" s="168"/>
      <c r="V412" s="168"/>
      <c r="W412" s="168"/>
      <c r="X412" s="168"/>
      <c r="Y412" s="97"/>
      <c r="Z412" s="97"/>
      <c r="AA412" s="72"/>
      <c r="AB412" s="168"/>
      <c r="AC412" s="168"/>
      <c r="AD412" s="96"/>
      <c r="AE412" s="96"/>
      <c r="AH412" s="72"/>
      <c r="AI412" s="72"/>
      <c r="AJ412" s="72"/>
      <c r="AK412" s="72"/>
      <c r="AL412" s="72"/>
      <c r="AM412" s="105"/>
      <c r="AN412" s="102"/>
      <c r="AO412" s="102"/>
      <c r="AP412" s="102"/>
      <c r="AQ412" s="102"/>
      <c r="AR412" s="97"/>
      <c r="AS412" s="97"/>
      <c r="AT412" s="72"/>
      <c r="AU412" s="96"/>
      <c r="AV412" s="96"/>
      <c r="AW412" s="96"/>
      <c r="AX412" s="96"/>
      <c r="BA412" s="72"/>
      <c r="BB412" s="72"/>
      <c r="BC412" s="72"/>
      <c r="BD412" s="72"/>
      <c r="BE412" s="72"/>
      <c r="BF412" s="105"/>
      <c r="BG412" s="102"/>
      <c r="BH412" s="102"/>
      <c r="BI412" s="102"/>
      <c r="BJ412" s="102"/>
      <c r="BK412" s="97"/>
      <c r="BL412" s="97"/>
      <c r="BM412" s="72"/>
      <c r="BN412" s="96"/>
      <c r="BO412" s="96"/>
      <c r="BP412" s="96"/>
      <c r="BQ412" s="96"/>
    </row>
    <row r="413" spans="18:69" ht="13.8" x14ac:dyDescent="0.25">
      <c r="R413" s="72"/>
      <c r="S413" s="72"/>
      <c r="T413" s="105"/>
      <c r="U413" s="102"/>
      <c r="V413" s="102"/>
      <c r="W413" s="102"/>
      <c r="X413" s="102"/>
      <c r="Y413" s="97"/>
      <c r="Z413" s="97"/>
      <c r="AA413" s="72"/>
      <c r="AB413" s="168"/>
      <c r="AC413" s="168"/>
      <c r="AD413" s="96"/>
      <c r="AE413" s="96"/>
      <c r="AH413" s="72"/>
      <c r="AI413" s="72"/>
      <c r="AJ413" s="72"/>
      <c r="AK413" s="72"/>
      <c r="AL413" s="72"/>
      <c r="AM413" s="105"/>
      <c r="AN413" s="102"/>
      <c r="AO413" s="102"/>
      <c r="AP413" s="102"/>
      <c r="AQ413" s="102"/>
      <c r="AR413" s="97"/>
      <c r="AS413" s="97"/>
      <c r="AT413" s="72"/>
      <c r="AU413" s="96"/>
      <c r="AV413" s="96"/>
      <c r="AW413" s="96"/>
      <c r="AX413" s="96"/>
      <c r="BA413" s="72"/>
      <c r="BB413" s="72"/>
      <c r="BC413" s="72"/>
      <c r="BD413" s="72"/>
      <c r="BE413" s="72"/>
      <c r="BF413" s="105"/>
      <c r="BG413" s="102"/>
      <c r="BH413" s="102"/>
      <c r="BI413" s="102"/>
      <c r="BJ413" s="102"/>
      <c r="BK413" s="97"/>
      <c r="BL413" s="97"/>
      <c r="BM413" s="72"/>
      <c r="BN413" s="96"/>
      <c r="BO413" s="96"/>
      <c r="BP413" s="96"/>
      <c r="BQ413" s="96"/>
    </row>
    <row r="414" spans="18:69" ht="13.8" x14ac:dyDescent="0.25">
      <c r="R414" s="72"/>
      <c r="S414" s="72"/>
      <c r="T414" s="105"/>
      <c r="U414" s="102"/>
      <c r="V414" s="102"/>
      <c r="W414" s="102"/>
      <c r="X414" s="102"/>
      <c r="Y414" s="97"/>
      <c r="Z414" s="97"/>
      <c r="AA414" s="72"/>
      <c r="AB414" s="168"/>
      <c r="AC414" s="168"/>
      <c r="AD414" s="96"/>
      <c r="AE414" s="96"/>
      <c r="AH414" s="72"/>
      <c r="AI414" s="72"/>
      <c r="AJ414" s="72"/>
      <c r="AK414" s="72"/>
      <c r="AL414" s="72"/>
      <c r="AM414" s="105"/>
      <c r="AN414" s="102"/>
      <c r="AO414" s="102"/>
      <c r="AP414" s="102"/>
      <c r="AQ414" s="102"/>
      <c r="AR414" s="97"/>
      <c r="AS414" s="97"/>
      <c r="AT414" s="72"/>
      <c r="AU414" s="96"/>
      <c r="AV414" s="96"/>
      <c r="AW414" s="96"/>
      <c r="AX414" s="96"/>
      <c r="BA414" s="72"/>
      <c r="BB414" s="72"/>
      <c r="BC414" s="72"/>
      <c r="BD414" s="72"/>
      <c r="BE414" s="72"/>
      <c r="BF414" s="105"/>
      <c r="BG414" s="102"/>
      <c r="BH414" s="102"/>
      <c r="BI414" s="102"/>
      <c r="BJ414" s="102"/>
      <c r="BK414" s="97"/>
      <c r="BL414" s="97"/>
      <c r="BM414" s="72"/>
      <c r="BN414" s="96"/>
      <c r="BO414" s="96"/>
      <c r="BP414" s="96"/>
      <c r="BQ414" s="96"/>
    </row>
    <row r="415" spans="18:69" ht="13.8" x14ac:dyDescent="0.25">
      <c r="R415" s="72"/>
      <c r="S415" s="72"/>
      <c r="T415" s="105"/>
      <c r="U415" s="102"/>
      <c r="V415" s="102"/>
      <c r="W415" s="102"/>
      <c r="X415" s="102"/>
      <c r="Y415" s="97"/>
      <c r="Z415" s="97"/>
      <c r="AA415" s="72"/>
      <c r="AB415" s="168"/>
      <c r="AC415" s="168"/>
      <c r="AD415" s="96"/>
      <c r="AE415" s="96"/>
      <c r="AH415" s="72"/>
      <c r="AI415" s="72"/>
      <c r="AJ415" s="72"/>
      <c r="AK415" s="72"/>
      <c r="AL415" s="72"/>
      <c r="AM415" s="105"/>
      <c r="AN415" s="102"/>
      <c r="AO415" s="102"/>
      <c r="AP415" s="102"/>
      <c r="AQ415" s="102"/>
      <c r="AR415" s="97"/>
      <c r="AS415" s="97"/>
      <c r="AT415" s="72"/>
      <c r="AU415" s="96"/>
      <c r="AV415" s="96"/>
      <c r="AW415" s="96"/>
      <c r="AX415" s="96"/>
      <c r="BA415" s="72"/>
      <c r="BB415" s="72"/>
      <c r="BC415" s="72"/>
      <c r="BD415" s="72"/>
      <c r="BE415" s="72"/>
      <c r="BF415" s="105"/>
      <c r="BG415" s="102"/>
      <c r="BH415" s="102"/>
      <c r="BI415" s="102"/>
      <c r="BJ415" s="102"/>
      <c r="BK415" s="97"/>
      <c r="BL415" s="97"/>
      <c r="BM415" s="72"/>
      <c r="BN415" s="96"/>
      <c r="BO415" s="96"/>
      <c r="BP415" s="96"/>
      <c r="BQ415" s="96"/>
    </row>
    <row r="416" spans="18:69" ht="13.8" x14ac:dyDescent="0.25">
      <c r="R416" s="72"/>
      <c r="S416" s="72"/>
      <c r="T416" s="105"/>
      <c r="U416" s="102"/>
      <c r="V416" s="102"/>
      <c r="W416" s="102"/>
      <c r="X416" s="102"/>
      <c r="Y416" s="97"/>
      <c r="Z416" s="97"/>
      <c r="AA416" s="72"/>
      <c r="AB416" s="168"/>
      <c r="AC416" s="168"/>
      <c r="AD416" s="96"/>
      <c r="AE416" s="96"/>
      <c r="AH416" s="72"/>
      <c r="AI416" s="72"/>
      <c r="AJ416" s="72"/>
      <c r="AK416" s="72"/>
      <c r="AL416" s="72"/>
      <c r="AM416" s="105"/>
      <c r="AN416" s="102"/>
      <c r="AO416" s="102"/>
      <c r="AP416" s="102"/>
      <c r="AQ416" s="102"/>
      <c r="AR416" s="97"/>
      <c r="AS416" s="97"/>
      <c r="AT416" s="72"/>
      <c r="AU416" s="96"/>
      <c r="AV416" s="96"/>
      <c r="AW416" s="96"/>
      <c r="AX416" s="96"/>
      <c r="BA416" s="72"/>
      <c r="BB416" s="72"/>
      <c r="BC416" s="72"/>
      <c r="BD416" s="72"/>
      <c r="BE416" s="72"/>
      <c r="BF416" s="105"/>
      <c r="BG416" s="102"/>
      <c r="BH416" s="102"/>
      <c r="BI416" s="102"/>
      <c r="BJ416" s="102"/>
      <c r="BK416" s="97"/>
      <c r="BL416" s="97"/>
      <c r="BM416" s="72"/>
      <c r="BN416" s="96"/>
      <c r="BO416" s="96"/>
      <c r="BP416" s="96"/>
      <c r="BQ416" s="96"/>
    </row>
    <row r="417" spans="18:69" ht="13.8" x14ac:dyDescent="0.25">
      <c r="R417" s="72"/>
      <c r="S417" s="72"/>
      <c r="T417" s="105"/>
      <c r="U417" s="102"/>
      <c r="V417" s="102"/>
      <c r="W417" s="102"/>
      <c r="X417" s="102"/>
      <c r="Y417" s="97"/>
      <c r="Z417" s="97"/>
      <c r="AA417" s="72"/>
      <c r="AB417" s="168"/>
      <c r="AC417" s="168"/>
      <c r="AD417" s="96"/>
      <c r="AE417" s="96"/>
      <c r="AH417" s="72"/>
      <c r="AI417" s="72"/>
      <c r="AJ417" s="72"/>
      <c r="AK417" s="72"/>
      <c r="AL417" s="72"/>
      <c r="AM417" s="105"/>
      <c r="AN417" s="102"/>
      <c r="AO417" s="102"/>
      <c r="AP417" s="102"/>
      <c r="AQ417" s="102"/>
      <c r="AR417" s="97"/>
      <c r="AS417" s="97"/>
      <c r="AT417" s="72"/>
      <c r="AU417" s="96"/>
      <c r="AV417" s="96"/>
      <c r="AW417" s="96"/>
      <c r="AX417" s="96"/>
      <c r="BA417" s="72"/>
      <c r="BB417" s="72"/>
      <c r="BC417" s="72"/>
      <c r="BD417" s="72"/>
      <c r="BE417" s="72"/>
      <c r="BF417" s="105"/>
      <c r="BG417" s="102"/>
      <c r="BH417" s="102"/>
      <c r="BI417" s="102"/>
      <c r="BJ417" s="102"/>
      <c r="BK417" s="97"/>
      <c r="BL417" s="97"/>
      <c r="BM417" s="72"/>
      <c r="BN417" s="96"/>
      <c r="BO417" s="96"/>
      <c r="BP417" s="96"/>
      <c r="BQ417" s="96"/>
    </row>
    <row r="418" spans="18:69" ht="13.8" x14ac:dyDescent="0.25">
      <c r="R418" s="72"/>
      <c r="S418" s="72"/>
      <c r="T418" s="105"/>
      <c r="U418" s="102"/>
      <c r="V418" s="102"/>
      <c r="W418" s="102"/>
      <c r="X418" s="102"/>
      <c r="Y418" s="97"/>
      <c r="Z418" s="97"/>
      <c r="AA418" s="72"/>
      <c r="AB418" s="168"/>
      <c r="AC418" s="96"/>
      <c r="AD418" s="102"/>
      <c r="AE418" s="96"/>
      <c r="AH418" s="72"/>
      <c r="AI418" s="72"/>
      <c r="AJ418" s="72"/>
      <c r="AK418" s="72"/>
      <c r="AL418" s="72"/>
      <c r="AM418" s="72"/>
      <c r="AN418" s="102"/>
      <c r="AO418" s="102"/>
      <c r="AP418" s="102"/>
      <c r="AQ418" s="102"/>
      <c r="AR418" s="97"/>
      <c r="AS418" s="97"/>
      <c r="AT418" s="72"/>
      <c r="AU418" s="102"/>
      <c r="AV418" s="96"/>
      <c r="AW418" s="102"/>
      <c r="AX418" s="96"/>
      <c r="BA418" s="72"/>
      <c r="BB418" s="72"/>
      <c r="BC418" s="72"/>
      <c r="BD418" s="72"/>
      <c r="BE418" s="72"/>
      <c r="BF418" s="72"/>
      <c r="BG418" s="102"/>
      <c r="BH418" s="102"/>
      <c r="BI418" s="102"/>
      <c r="BJ418" s="102"/>
      <c r="BK418" s="97"/>
      <c r="BL418" s="97"/>
      <c r="BM418" s="72"/>
      <c r="BN418" s="102"/>
      <c r="BO418" s="96"/>
      <c r="BP418" s="102"/>
      <c r="BQ418" s="96"/>
    </row>
    <row r="419" spans="18:69" ht="13.8" x14ac:dyDescent="0.25">
      <c r="R419" s="72"/>
      <c r="S419" s="72"/>
      <c r="T419" s="105"/>
      <c r="U419" s="102"/>
      <c r="V419" s="102"/>
      <c r="W419" s="102"/>
      <c r="X419" s="102"/>
      <c r="Y419" s="97"/>
      <c r="Z419" s="97"/>
      <c r="AA419" s="72"/>
      <c r="AB419" s="168"/>
      <c r="AC419" s="72"/>
      <c r="AD419" s="102"/>
      <c r="AE419" s="96"/>
      <c r="AH419" s="72"/>
      <c r="AI419" s="72"/>
      <c r="AJ419" s="72"/>
      <c r="AK419" s="72"/>
      <c r="AL419" s="72"/>
      <c r="AM419" s="105"/>
      <c r="AN419" s="168"/>
      <c r="AO419" s="168"/>
      <c r="AP419" s="168"/>
      <c r="AQ419" s="168"/>
      <c r="AR419" s="97"/>
      <c r="AS419" s="102"/>
      <c r="AT419" s="72"/>
      <c r="AU419" s="102"/>
      <c r="AV419" s="96"/>
      <c r="AW419" s="102"/>
      <c r="AX419" s="96"/>
      <c r="BA419" s="72"/>
      <c r="BB419" s="72"/>
      <c r="BC419" s="72"/>
      <c r="BD419" s="72"/>
      <c r="BE419" s="72"/>
      <c r="BF419" s="105"/>
      <c r="BG419" s="168"/>
      <c r="BH419" s="168"/>
      <c r="BI419" s="168"/>
      <c r="BJ419" s="168"/>
      <c r="BK419" s="97"/>
      <c r="BL419" s="102"/>
      <c r="BM419" s="72"/>
      <c r="BN419" s="72"/>
      <c r="BO419" s="72"/>
      <c r="BP419" s="102"/>
      <c r="BQ419" s="96"/>
    </row>
    <row r="420" spans="18:69" ht="13.8" x14ac:dyDescent="0.25">
      <c r="R420" s="72"/>
      <c r="S420" s="72"/>
      <c r="T420" s="105"/>
      <c r="U420" s="102"/>
      <c r="V420" s="102"/>
      <c r="W420" s="102"/>
      <c r="X420" s="102"/>
      <c r="Y420" s="97"/>
      <c r="Z420" s="97"/>
      <c r="AA420" s="72"/>
      <c r="AB420" s="168"/>
    </row>
    <row r="421" spans="18:69" ht="13.8" x14ac:dyDescent="0.25">
      <c r="R421" s="72"/>
      <c r="S421" s="72"/>
      <c r="T421" s="105"/>
      <c r="U421" s="102"/>
      <c r="V421" s="102"/>
      <c r="W421" s="102"/>
      <c r="X421" s="102"/>
      <c r="Y421" s="97"/>
      <c r="Z421" s="97"/>
      <c r="AA421" s="72"/>
      <c r="AB421" s="102"/>
    </row>
    <row r="422" spans="18:69" ht="13.8" x14ac:dyDescent="0.25">
      <c r="R422" s="72"/>
      <c r="S422" s="72"/>
      <c r="T422" s="105"/>
      <c r="U422" s="102"/>
      <c r="V422" s="102"/>
      <c r="W422" s="102"/>
      <c r="X422" s="102"/>
      <c r="Y422" s="97"/>
      <c r="Z422" s="97"/>
      <c r="AA422" s="72"/>
      <c r="AB422" s="72"/>
    </row>
    <row r="423" spans="18:69" ht="13.8" x14ac:dyDescent="0.25">
      <c r="R423" s="72"/>
      <c r="S423" s="72"/>
      <c r="T423" s="105"/>
      <c r="U423" s="102"/>
      <c r="V423" s="102"/>
      <c r="W423" s="102"/>
      <c r="X423" s="102"/>
      <c r="Y423" s="97"/>
      <c r="Z423" s="97"/>
      <c r="AA423" s="72"/>
    </row>
    <row r="424" spans="18:69" ht="13.8" x14ac:dyDescent="0.25">
      <c r="R424" s="72"/>
      <c r="S424" s="72"/>
      <c r="T424" s="105"/>
      <c r="U424" s="102"/>
      <c r="V424" s="102"/>
      <c r="W424" s="102"/>
      <c r="X424" s="102"/>
      <c r="Y424" s="97"/>
      <c r="Z424" s="97"/>
      <c r="AA424" s="72"/>
    </row>
    <row r="425" spans="18:69" ht="13.8" x14ac:dyDescent="0.25">
      <c r="R425" s="72"/>
      <c r="S425" s="72"/>
      <c r="T425" s="105"/>
      <c r="U425" s="102"/>
      <c r="V425" s="102"/>
      <c r="W425" s="102"/>
      <c r="X425" s="102"/>
      <c r="Y425" s="97"/>
      <c r="Z425" s="97"/>
      <c r="AA425" s="72"/>
    </row>
    <row r="426" spans="18:69" ht="13.8" x14ac:dyDescent="0.25">
      <c r="R426" s="72"/>
      <c r="S426" s="72"/>
      <c r="T426" s="105"/>
      <c r="U426" s="102"/>
      <c r="V426" s="102"/>
      <c r="W426" s="102"/>
      <c r="X426" s="102"/>
      <c r="Y426" s="97"/>
      <c r="Z426" s="97"/>
      <c r="AA426" s="72"/>
    </row>
    <row r="427" spans="18:69" ht="13.8" x14ac:dyDescent="0.25">
      <c r="R427" s="72"/>
      <c r="S427" s="72"/>
      <c r="T427" s="72"/>
      <c r="U427" s="102"/>
      <c r="V427" s="102"/>
      <c r="W427" s="102"/>
      <c r="X427" s="102"/>
      <c r="Y427" s="97"/>
      <c r="Z427" s="97"/>
      <c r="AA427" s="72"/>
    </row>
    <row r="428" spans="18:69" ht="13.8" x14ac:dyDescent="0.25">
      <c r="R428" s="72"/>
      <c r="S428" s="72"/>
      <c r="T428" s="105"/>
      <c r="U428" s="168"/>
      <c r="V428" s="168"/>
      <c r="W428" s="168"/>
      <c r="X428" s="168"/>
      <c r="Y428" s="97"/>
      <c r="Z428" s="102"/>
      <c r="AA428" s="7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24"/>
  <sheetViews>
    <sheetView zoomScale="70" zoomScaleNormal="70" workbookViewId="0">
      <selection sqref="A1:XFD1048576"/>
    </sheetView>
  </sheetViews>
  <sheetFormatPr defaultRowHeight="13.2" x14ac:dyDescent="0.25"/>
  <cols>
    <col min="1" max="1" width="8.88671875" style="36"/>
    <col min="2" max="2" width="18.88671875" style="36" customWidth="1"/>
    <col min="3" max="3" width="31.109375" style="36" bestFit="1" customWidth="1"/>
    <col min="4" max="4" width="31.33203125" style="36" customWidth="1"/>
    <col min="5" max="5" width="24.33203125" style="36" bestFit="1" customWidth="1"/>
    <col min="6" max="6" width="20.33203125" style="36" bestFit="1" customWidth="1"/>
    <col min="7" max="7" width="26" style="36" bestFit="1" customWidth="1"/>
    <col min="8" max="8" width="20.33203125" style="36" bestFit="1" customWidth="1"/>
    <col min="9" max="9" width="27" style="36" customWidth="1"/>
    <col min="10" max="10" width="18.88671875" style="36" bestFit="1" customWidth="1"/>
    <col min="11" max="11" width="26" style="36" bestFit="1" customWidth="1"/>
    <col min="12" max="12" width="31.5546875" style="36" customWidth="1"/>
    <col min="13" max="13" width="17.109375" style="36" bestFit="1" customWidth="1"/>
    <col min="14" max="16384" width="8.88671875" style="36"/>
  </cols>
  <sheetData>
    <row r="1" spans="1:37" x14ac:dyDescent="0.25">
      <c r="M1" s="35"/>
    </row>
    <row r="2" spans="1:37" s="37" customFormat="1" ht="17.399999999999999" x14ac:dyDescent="0.3">
      <c r="A2" s="34"/>
      <c r="B2" s="34" t="s">
        <v>292</v>
      </c>
      <c r="C2" s="34"/>
      <c r="D2" s="34"/>
      <c r="E2" s="34"/>
      <c r="F2" s="36"/>
      <c r="G2" s="36"/>
      <c r="H2" s="36"/>
      <c r="M2" s="72"/>
    </row>
    <row r="3" spans="1:37" s="37" customFormat="1" ht="17.399999999999999" x14ac:dyDescent="0.3">
      <c r="B3" s="73" t="s">
        <v>263</v>
      </c>
      <c r="F3" s="36"/>
      <c r="G3" s="36"/>
      <c r="H3" s="36"/>
      <c r="M3" s="72"/>
      <c r="AK3" s="72"/>
    </row>
    <row r="4" spans="1:37" ht="13.8" x14ac:dyDescent="0.25">
      <c r="I4" s="37" t="s">
        <v>225</v>
      </c>
      <c r="J4" s="37"/>
      <c r="K4" s="37"/>
      <c r="L4" s="37"/>
      <c r="M4" s="37"/>
      <c r="N4" s="37"/>
      <c r="O4" s="37"/>
      <c r="P4" s="37"/>
    </row>
    <row r="5" spans="1:37" ht="13.8" x14ac:dyDescent="0.25">
      <c r="I5" s="37"/>
      <c r="J5" s="37"/>
      <c r="K5" s="37"/>
      <c r="L5" s="37"/>
      <c r="M5" s="37"/>
      <c r="N5" s="37"/>
      <c r="O5" s="37"/>
      <c r="P5" s="37"/>
    </row>
    <row r="6" spans="1:37" ht="13.8" x14ac:dyDescent="0.25">
      <c r="I6" s="38" t="s">
        <v>226</v>
      </c>
      <c r="J6" s="38" t="s">
        <v>232</v>
      </c>
      <c r="K6" s="38"/>
      <c r="L6" s="38"/>
      <c r="M6" s="38"/>
      <c r="N6" s="38"/>
      <c r="O6" s="38"/>
      <c r="P6" s="38"/>
    </row>
    <row r="7" spans="1:37" ht="13.8" x14ac:dyDescent="0.25">
      <c r="I7" s="38"/>
      <c r="J7" s="38"/>
      <c r="K7" s="38"/>
      <c r="L7" s="38"/>
      <c r="M7" s="38"/>
      <c r="N7" s="38"/>
      <c r="O7" s="38"/>
      <c r="P7" s="38"/>
    </row>
    <row r="8" spans="1:37" ht="13.8" x14ac:dyDescent="0.25">
      <c r="B8" s="37"/>
      <c r="C8" s="37"/>
      <c r="D8" s="37"/>
      <c r="E8" s="74" t="s">
        <v>0</v>
      </c>
      <c r="F8" s="37"/>
      <c r="G8" s="37"/>
      <c r="I8" s="41" t="s">
        <v>17</v>
      </c>
      <c r="J8" s="38"/>
      <c r="K8" s="38"/>
      <c r="L8" s="38"/>
      <c r="M8" s="38"/>
      <c r="N8" s="38"/>
      <c r="O8" s="38"/>
      <c r="P8" s="38"/>
      <c r="R8" s="75" t="s">
        <v>308</v>
      </c>
      <c r="S8" s="76"/>
      <c r="T8" s="76"/>
      <c r="U8" s="77"/>
      <c r="V8" s="77"/>
      <c r="W8" s="76"/>
      <c r="X8" s="76"/>
      <c r="Y8" s="76"/>
    </row>
    <row r="9" spans="1:37" s="78" customFormat="1" ht="13.8" x14ac:dyDescent="0.25">
      <c r="B9" s="45" t="s">
        <v>1</v>
      </c>
      <c r="C9" s="45" t="s">
        <v>227</v>
      </c>
      <c r="D9" s="45" t="s">
        <v>3</v>
      </c>
      <c r="E9" s="46" t="s">
        <v>4</v>
      </c>
      <c r="F9" s="79" t="s">
        <v>52</v>
      </c>
      <c r="G9" s="79" t="s">
        <v>273</v>
      </c>
      <c r="I9" s="80" t="s">
        <v>15</v>
      </c>
      <c r="J9" s="80" t="s">
        <v>1</v>
      </c>
      <c r="K9" s="80" t="s">
        <v>2</v>
      </c>
      <c r="L9" s="80" t="s">
        <v>18</v>
      </c>
      <c r="M9" s="80" t="s">
        <v>19</v>
      </c>
      <c r="N9" s="80" t="s">
        <v>20</v>
      </c>
      <c r="O9" s="80" t="s">
        <v>21</v>
      </c>
      <c r="P9" s="80" t="s">
        <v>22</v>
      </c>
      <c r="R9" s="81" t="s">
        <v>7</v>
      </c>
      <c r="S9" s="81" t="s">
        <v>6</v>
      </c>
      <c r="T9" s="81" t="s">
        <v>8</v>
      </c>
      <c r="U9" s="82" t="s">
        <v>9</v>
      </c>
      <c r="V9" s="82" t="s">
        <v>10</v>
      </c>
      <c r="W9" s="83" t="s">
        <v>11</v>
      </c>
      <c r="X9" s="83" t="s">
        <v>12</v>
      </c>
      <c r="Y9" s="83" t="s">
        <v>13</v>
      </c>
    </row>
    <row r="10" spans="1:37" s="78" customFormat="1" ht="14.4" thickBot="1" x14ac:dyDescent="0.3">
      <c r="B10" s="84" t="s">
        <v>280</v>
      </c>
      <c r="C10" s="84" t="s">
        <v>28</v>
      </c>
      <c r="D10" s="84" t="s">
        <v>32</v>
      </c>
      <c r="E10" s="85" t="s">
        <v>33</v>
      </c>
      <c r="F10" s="84" t="s">
        <v>278</v>
      </c>
      <c r="G10" s="84" t="s">
        <v>273</v>
      </c>
      <c r="I10" s="86" t="s">
        <v>228</v>
      </c>
      <c r="J10" s="86" t="s">
        <v>27</v>
      </c>
      <c r="K10" s="86" t="s">
        <v>28</v>
      </c>
      <c r="L10" s="86" t="s">
        <v>29</v>
      </c>
      <c r="M10" s="86" t="s">
        <v>30</v>
      </c>
      <c r="N10" s="86" t="s">
        <v>229</v>
      </c>
      <c r="O10" s="86" t="s">
        <v>230</v>
      </c>
      <c r="P10" s="86" t="s">
        <v>31</v>
      </c>
      <c r="R10" s="87" t="s">
        <v>309</v>
      </c>
      <c r="S10" s="87" t="s">
        <v>23</v>
      </c>
      <c r="T10" s="87" t="s">
        <v>24</v>
      </c>
      <c r="U10" s="88" t="s">
        <v>9</v>
      </c>
      <c r="V10" s="88" t="s">
        <v>310</v>
      </c>
      <c r="W10" s="87" t="s">
        <v>311</v>
      </c>
      <c r="X10" s="87" t="s">
        <v>25</v>
      </c>
      <c r="Y10" s="87" t="s">
        <v>26</v>
      </c>
    </row>
    <row r="11" spans="1:37" ht="13.8" x14ac:dyDescent="0.25">
      <c r="B11" s="89"/>
      <c r="C11" s="90"/>
      <c r="D11" s="90" t="s">
        <v>231</v>
      </c>
      <c r="E11" s="91"/>
      <c r="F11" s="90"/>
      <c r="G11" s="90"/>
      <c r="I11" s="37" t="s">
        <v>272</v>
      </c>
      <c r="J11" s="37" t="str">
        <f>$B$3&amp;"_"&amp;$J$6&amp;"_ST"</f>
        <v>INDNED_N_ST</v>
      </c>
      <c r="K11" s="37" t="s">
        <v>279</v>
      </c>
      <c r="L11" s="37" t="s">
        <v>206</v>
      </c>
      <c r="M11" s="37" t="s">
        <v>242</v>
      </c>
      <c r="N11" s="37"/>
      <c r="O11" s="37"/>
      <c r="P11" s="37"/>
      <c r="R11" s="43" t="s">
        <v>59</v>
      </c>
      <c r="S11" s="43" t="s">
        <v>1074</v>
      </c>
      <c r="T11" s="43" t="s">
        <v>1075</v>
      </c>
      <c r="U11" s="44" t="s">
        <v>206</v>
      </c>
      <c r="V11" s="92"/>
      <c r="W11" s="93"/>
      <c r="X11" s="93"/>
      <c r="Y11" s="93"/>
    </row>
    <row r="12" spans="1:37" ht="13.8" x14ac:dyDescent="0.25">
      <c r="B12" s="72" t="str">
        <f>J11</f>
        <v>INDNED_N_ST</v>
      </c>
      <c r="C12" s="72" t="str">
        <f>K11</f>
        <v>Non Energy Use Standard</v>
      </c>
      <c r="D12" s="72" t="s">
        <v>428</v>
      </c>
      <c r="E12" s="94"/>
      <c r="F12" s="95">
        <v>0</v>
      </c>
      <c r="G12" s="96"/>
      <c r="I12" s="37"/>
      <c r="J12" s="37" t="str">
        <f>$B$3&amp;"_"&amp;$J$6&amp;"_AD"</f>
        <v>INDNED_N_AD</v>
      </c>
      <c r="K12" s="37" t="s">
        <v>1073</v>
      </c>
      <c r="L12" s="37" t="s">
        <v>206</v>
      </c>
      <c r="M12" s="37" t="s">
        <v>242</v>
      </c>
      <c r="N12" s="37"/>
      <c r="O12" s="37"/>
      <c r="P12" s="37"/>
    </row>
    <row r="13" spans="1:37" ht="13.8" x14ac:dyDescent="0.25">
      <c r="B13" s="72"/>
      <c r="C13" s="72"/>
      <c r="D13" s="72" t="s">
        <v>95</v>
      </c>
      <c r="E13" s="94"/>
      <c r="F13" s="95">
        <v>0</v>
      </c>
      <c r="G13" s="96"/>
    </row>
    <row r="14" spans="1:37" ht="13.8" x14ac:dyDescent="0.25">
      <c r="B14" s="72"/>
      <c r="C14" s="72"/>
      <c r="D14" s="72" t="s">
        <v>99</v>
      </c>
      <c r="E14" s="94"/>
      <c r="F14" s="95">
        <v>0</v>
      </c>
      <c r="G14" s="96"/>
    </row>
    <row r="15" spans="1:37" ht="13.8" x14ac:dyDescent="0.25">
      <c r="B15" s="72"/>
      <c r="C15" s="72"/>
      <c r="D15" s="72" t="s">
        <v>1017</v>
      </c>
      <c r="E15" s="94"/>
      <c r="F15" s="95">
        <v>0</v>
      </c>
      <c r="G15" s="96"/>
    </row>
    <row r="16" spans="1:37" ht="13.8" x14ac:dyDescent="0.25">
      <c r="B16" s="72"/>
      <c r="C16" s="72"/>
      <c r="D16" s="72" t="s">
        <v>105</v>
      </c>
      <c r="E16" s="94"/>
      <c r="F16" s="95">
        <v>0</v>
      </c>
      <c r="G16" s="96"/>
    </row>
    <row r="17" spans="2:7" ht="13.8" x14ac:dyDescent="0.25">
      <c r="B17" s="72"/>
      <c r="C17" s="72"/>
      <c r="D17" s="72" t="s">
        <v>103</v>
      </c>
      <c r="E17" s="94"/>
      <c r="F17" s="95">
        <v>0</v>
      </c>
      <c r="G17" s="96"/>
    </row>
    <row r="18" spans="2:7" ht="13.8" x14ac:dyDescent="0.25">
      <c r="B18" s="72"/>
      <c r="C18" s="72"/>
      <c r="D18" s="72" t="s">
        <v>101</v>
      </c>
      <c r="E18" s="94"/>
      <c r="F18" s="95">
        <v>0</v>
      </c>
      <c r="G18" s="96"/>
    </row>
    <row r="19" spans="2:7" ht="13.8" x14ac:dyDescent="0.25">
      <c r="B19" s="72"/>
      <c r="C19" s="72"/>
      <c r="D19" s="72" t="s">
        <v>1018</v>
      </c>
      <c r="E19" s="94"/>
      <c r="F19" s="95">
        <v>0</v>
      </c>
      <c r="G19" s="96"/>
    </row>
    <row r="20" spans="2:7" ht="13.8" x14ac:dyDescent="0.25">
      <c r="B20" s="72"/>
      <c r="C20" s="72"/>
      <c r="D20" s="72" t="s">
        <v>107</v>
      </c>
      <c r="E20" s="94"/>
      <c r="F20" s="97">
        <v>0.5</v>
      </c>
      <c r="G20" s="96"/>
    </row>
    <row r="21" spans="2:7" ht="13.8" x14ac:dyDescent="0.25">
      <c r="B21" s="72"/>
      <c r="C21" s="72"/>
      <c r="D21" s="72" t="s">
        <v>1019</v>
      </c>
      <c r="E21" s="94"/>
      <c r="F21" s="97">
        <v>0.5</v>
      </c>
      <c r="G21" s="96"/>
    </row>
    <row r="22" spans="2:7" ht="13.8" x14ac:dyDescent="0.25">
      <c r="B22" s="98"/>
      <c r="C22" s="67"/>
      <c r="D22" s="98"/>
      <c r="E22" s="99" t="s">
        <v>263</v>
      </c>
      <c r="F22" s="100"/>
      <c r="G22" s="100">
        <v>1</v>
      </c>
    </row>
    <row r="23" spans="2:7" ht="13.8" x14ac:dyDescent="0.25">
      <c r="B23" s="72" t="str">
        <f>J12</f>
        <v>INDNED_N_AD</v>
      </c>
      <c r="C23" s="72" t="str">
        <f>K12</f>
        <v>Non Energy Use Advanced-H2</v>
      </c>
      <c r="D23" s="72" t="s">
        <v>1076</v>
      </c>
      <c r="E23" s="94"/>
      <c r="F23" s="97">
        <v>1.01</v>
      </c>
      <c r="G23" s="96"/>
    </row>
    <row r="24" spans="2:7" ht="13.8" x14ac:dyDescent="0.25">
      <c r="B24" s="98"/>
      <c r="C24" s="67"/>
      <c r="D24" s="98"/>
      <c r="E24" s="99" t="s">
        <v>263</v>
      </c>
      <c r="F24" s="100"/>
      <c r="G24" s="100"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IND_IST</vt:lpstr>
      <vt:lpstr>IND_NFM</vt:lpstr>
      <vt:lpstr>IND_NMM</vt:lpstr>
      <vt:lpstr>IND_FBT</vt:lpstr>
      <vt:lpstr>IND_PCH</vt:lpstr>
      <vt:lpstr>IND_MIQ</vt:lpstr>
      <vt:lpstr>IND_CON</vt:lpstr>
      <vt:lpstr>IND_OTH</vt:lpstr>
      <vt:lpstr>IND_NED</vt:lpstr>
      <vt:lpstr>IND_CCS</vt:lpstr>
      <vt:lpstr>Commodities</vt:lpstr>
      <vt:lpstr>General</vt:lpstr>
      <vt:lpstr>BASE_YEAR</vt:lpstr>
      <vt:lpstr>END_YEAR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2022-09-23T17:03:15Z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991909265518188</vt:r8>
  </property>
</Properties>
</file>